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comments/comment1.xml" ContentType="application/vnd.openxmlformats-officedocument.spreadsheetml.comments+xml"/>
  <Override PartName="/xl/worksheets/sheet3.xml" ContentType="application/vnd.openxmlformats-officedocument.spreadsheetml.worksheet+xml"/>
  <Override PartName="/xl/drawings/drawing3.xml" ContentType="application/vnd.openxmlformats-officedocument.drawing+xml"/>
  <Override PartName="/xl/comments/comment2.xml" ContentType="application/vnd.openxmlformats-officedocument.spreadsheetml.comments+xml"/>
  <Override PartName="/xl/worksheets/sheet4.xml" ContentType="application/vnd.openxmlformats-officedocument.spreadsheetml.worksheet+xml"/>
  <Override PartName="/xl/drawings/drawing4.xml" ContentType="application/vnd.openxmlformats-officedocument.drawing+xml"/>
  <Override PartName="/xl/comments/comment3.xml" ContentType="application/vnd.openxmlformats-officedocument.spreadsheetml.comments+xml"/>
  <Override PartName="/xl/worksheets/sheet5.xml" ContentType="application/vnd.openxmlformats-officedocument.spreadsheetml.worksheet+xml"/>
  <Override PartName="/xl/drawings/drawing5.xml" ContentType="application/vnd.openxmlformats-officedocument.drawing+xml"/>
  <Override PartName="/xl/comments/comment4.xml" ContentType="application/vnd.openxmlformats-officedocument.spreadsheetml.comments+xml"/>
  <Override PartName="/xl/worksheets/sheet6.xml" ContentType="application/vnd.openxmlformats-officedocument.spreadsheetml.worksheet+xml"/>
  <Override PartName="/xl/drawings/drawing6.xml" ContentType="application/vnd.openxmlformats-officedocument.drawing+xml"/>
  <Override PartName="/xl/comments/comment5.xml" ContentType="application/vnd.openxmlformats-officedocument.spreadsheetml.comments+xml"/>
  <Override PartName="/xl/worksheets/sheet7.xml" ContentType="application/vnd.openxmlformats-officedocument.spreadsheetml.worksheet+xml"/>
  <Override PartName="/xl/drawings/drawing7.xml" ContentType="application/vnd.openxmlformats-officedocument.drawing+xml"/>
  <Override PartName="/xl/comments/comment6.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Baseline" sheetId="2" state="visible" r:id="rId2"/>
    <sheet xmlns:r="http://schemas.openxmlformats.org/officeDocument/2006/relationships" name="Work breakdown" sheetId="3" state="visible" r:id="rId3"/>
    <sheet xmlns:r="http://schemas.openxmlformats.org/officeDocument/2006/relationships" name="Estimates" sheetId="4" state="visible" r:id="rId4"/>
    <sheet xmlns:r="http://schemas.openxmlformats.org/officeDocument/2006/relationships" name="Schedule" sheetId="5" state="visible" r:id="rId5"/>
    <sheet xmlns:r="http://schemas.openxmlformats.org/officeDocument/2006/relationships" name="Changes" sheetId="6" state="visible" r:id="rId6"/>
    <sheet xmlns:r="http://schemas.openxmlformats.org/officeDocument/2006/relationships" name="Checks" sheetId="7" state="visible" r:id="rId7"/>
  </sheets>
  <definedNames>
    <definedName name="_xlnm.Print_Area" localSheetId="0">'Read me'!$A$1:$B$96</definedName>
    <definedName name="_xlnm.Print_Area" localSheetId="1">'Baseline'!$A$1:$I$55</definedName>
    <definedName name="_xlnm._FilterDatabase" localSheetId="2" hidden="1">'Work breakdown'!$A$5:$G$65</definedName>
    <definedName name="_xlnm.Print_Titles" localSheetId="2">'Work breakdown'!$5:$5</definedName>
    <definedName name="_xlnm.Print_Area" localSheetId="2">'Work breakdown'!$A$1:$G$65</definedName>
    <definedName name="_xlnm._FilterDatabase" localSheetId="3" hidden="1">'Estimates'!$A$5:$K$45</definedName>
    <definedName name="_xlnm.Print_Titles" localSheetId="3">'Estimates'!$5:$5</definedName>
    <definedName name="_xlnm.Print_Area" localSheetId="3">'Estimates'!$A$1:$K$46</definedName>
    <definedName name="_xlnm._FilterDatabase" localSheetId="4" hidden="1">'Schedule'!$A$5:$P$44</definedName>
    <definedName name="_xlnm.Print_Titles" localSheetId="4">'Schedule'!$5:$5,'Schedule'!$A:$B</definedName>
    <definedName name="_xlnm.Print_Area" localSheetId="4">'Schedule'!$A$1:$P$44</definedName>
    <definedName name="_xlnm._FilterDatabase" localSheetId="5" hidden="1">'Changes'!$A$5:$N$55</definedName>
    <definedName name="_xlnm.Print_Titles" localSheetId="5">'Changes'!$5:$5,'Changes'!$A:$B</definedName>
    <definedName name="_xlnm.Print_Area" localSheetId="5">'Changes'!$A$1:$N$55</definedName>
    <definedName name="_xlnm.Print_Area" localSheetId="6">'Checks'!$A$1:$E$15</definedName>
  </definedNames>
  <calcPr calcId="124519" fullCalcOnLoad="1"/>
</workbook>
</file>

<file path=xl/styles.xml><?xml version="1.0" encoding="utf-8"?>
<styleSheet xmlns="http://schemas.openxmlformats.org/spreadsheetml/2006/main">
  <numFmts count="1">
    <numFmt numFmtId="164" formatCode="ddd d mmm yyyy"/>
  </numFmts>
  <fonts count="7">
    <font>
      <name val="Calibri"/>
      <family val="2"/>
      <color theme="1"/>
      <sz val="11"/>
      <scheme val="minor"/>
    </font>
    <font>
      <name val="Arial"/>
      <sz val="10"/>
    </font>
    <font>
      <name val="Arial"/>
      <b val="1"/>
      <color rgb="000F1115"/>
      <sz val="14"/>
    </font>
    <font>
      <name val="Arial"/>
      <color rgb="000F1115"/>
      <sz val="10"/>
    </font>
    <font>
      <name val="Arial"/>
      <b val="1"/>
      <color rgb="000F1115"/>
      <sz val="10"/>
    </font>
    <font>
      <name val="Arial"/>
      <color rgb="005F6670"/>
      <sz val="10"/>
    </font>
    <font>
      <name val="Arial"/>
      <b val="1"/>
      <i val="1"/>
      <color rgb="000F1115"/>
      <sz val="10"/>
    </font>
  </fonts>
  <fills count="5">
    <fill>
      <patternFill/>
    </fill>
    <fill>
      <patternFill patternType="gray125"/>
    </fill>
    <fill>
      <patternFill patternType="solid">
        <fgColor rgb="00FFFFFF"/>
        <bgColor rgb="00FFFFFF"/>
      </patternFill>
    </fill>
    <fill>
      <patternFill patternType="solid">
        <fgColor rgb="00ECEEF0"/>
        <bgColor rgb="00ECEEF0"/>
      </patternFill>
    </fill>
    <fill>
      <patternFill patternType="solid">
        <fgColor rgb="00F4F5F6"/>
        <bgColor rgb="00F4F5F6"/>
      </patternFill>
    </fill>
  </fills>
  <borders count="3">
    <border>
      <left/>
      <right/>
      <top/>
      <bottom/>
      <diagonal/>
    </border>
    <border>
      <left style="thin">
        <color rgb="00E3E5E8"/>
      </left>
      <right style="thin">
        <color rgb="00E3E5E8"/>
      </right>
      <top style="thin">
        <color rgb="00E3E5E8"/>
      </top>
      <bottom style="thin">
        <color rgb="00E3E5E8"/>
      </bottom>
    </border>
    <border>
      <bottom style="medium">
        <color rgb="000F1115"/>
      </bottom>
    </border>
  </borders>
  <cellStyleXfs count="1">
    <xf numFmtId="0" fontId="1" fillId="0" borderId="0"/>
  </cellStyleXfs>
  <cellXfs count="45">
    <xf numFmtId="0" fontId="0" fillId="0" borderId="0" pivotButton="0" quotePrefix="0" xfId="0"/>
    <xf numFmtId="0" fontId="2" fillId="0" borderId="0" applyAlignment="1" pivotButton="0" quotePrefix="0" xfId="0">
      <alignment horizontal="left" vertical="center"/>
    </xf>
    <xf numFmtId="0" fontId="3" fillId="0" borderId="0" applyAlignment="1" pivotButton="0" quotePrefix="0" xfId="0">
      <alignment vertical="center"/>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horizontal="left" vertical="top" wrapText="1"/>
    </xf>
    <xf numFmtId="0" fontId="4" fillId="0" borderId="0" applyAlignment="1" pivotButton="0" quotePrefix="0" xfId="0">
      <alignment horizontal="left" vertical="top" wrapText="1"/>
    </xf>
    <xf numFmtId="0" fontId="4" fillId="0" borderId="0" pivotButton="0" quotePrefix="0" xfId="0"/>
    <xf numFmtId="0" fontId="3" fillId="2" borderId="1" applyAlignment="1" applyProtection="1" pivotButton="0" quotePrefix="0" xfId="0">
      <alignment vertical="center"/>
      <protection locked="0" hidden="0"/>
    </xf>
    <xf numFmtId="0" fontId="4" fillId="3" borderId="0" applyAlignment="1" pivotButton="0" quotePrefix="0" xfId="0">
      <alignment vertical="center"/>
    </xf>
    <xf numFmtId="0" fontId="5" fillId="0" borderId="0" applyAlignment="1" pivotButton="0" quotePrefix="0" xfId="0">
      <alignment vertical="center" wrapText="1"/>
    </xf>
    <xf numFmtId="0" fontId="3" fillId="2" borderId="1" applyAlignment="1" applyProtection="1" pivotButton="0" quotePrefix="0" xfId="0">
      <alignment horizontal="left" vertical="center" wrapText="1"/>
      <protection locked="0" hidden="0"/>
    </xf>
    <xf numFmtId="0" fontId="5" fillId="0" borderId="0" applyAlignment="1" pivotButton="0" quotePrefix="0" xfId="0">
      <alignment horizontal="right" vertical="center" wrapText="1"/>
    </xf>
    <xf numFmtId="164" fontId="3" fillId="4" borderId="1" applyAlignment="1" pivotButton="0" quotePrefix="0" xfId="0">
      <alignment horizontal="right" vertical="center"/>
    </xf>
    <xf numFmtId="1" fontId="3" fillId="4" borderId="1" applyAlignment="1" pivotButton="0" quotePrefix="0" xfId="0">
      <alignment horizontal="right" vertical="center"/>
    </xf>
    <xf numFmtId="3" fontId="3" fillId="2" borderId="1" applyAlignment="1" applyProtection="1" pivotButton="0" quotePrefix="0" xfId="0">
      <alignment horizontal="left" vertical="center" wrapText="1"/>
      <protection locked="0" hidden="0"/>
    </xf>
    <xf numFmtId="164" fontId="3" fillId="2" borderId="1" applyAlignment="1" applyProtection="1" pivotButton="0" quotePrefix="0" xfId="0">
      <alignment horizontal="left" vertical="center" wrapText="1"/>
      <protection locked="0" hidden="0"/>
    </xf>
    <xf numFmtId="0" fontId="5" fillId="0" borderId="0" applyAlignment="1" pivotButton="0" quotePrefix="0" xfId="0">
      <alignment vertical="center"/>
    </xf>
    <xf numFmtId="1" fontId="3" fillId="2" borderId="1" applyAlignment="1" applyProtection="1" pivotButton="0" quotePrefix="0" xfId="0">
      <alignment horizontal="left" vertical="center" wrapText="1"/>
      <protection locked="0" hidden="0"/>
    </xf>
    <xf numFmtId="0" fontId="4" fillId="2" borderId="2" applyAlignment="1" pivotButton="0" quotePrefix="0" xfId="0">
      <alignment vertical="bottom" wrapText="1"/>
    </xf>
    <xf numFmtId="0" fontId="5" fillId="0" borderId="0" applyAlignment="1" pivotButton="0" quotePrefix="0" xfId="0">
      <alignment horizontal="right" vertical="bottom" wrapText="1"/>
    </xf>
    <xf numFmtId="0" fontId="6" fillId="4" borderId="2" applyAlignment="1" pivotButton="0" quotePrefix="0" xfId="0">
      <alignment vertical="bottom" wrapText="1"/>
    </xf>
    <xf numFmtId="49" fontId="3" fillId="2" borderId="1" applyAlignment="1" applyProtection="1" pivotButton="0" quotePrefix="0" xfId="0">
      <alignment vertical="top"/>
      <protection locked="0" hidden="0"/>
    </xf>
    <xf numFmtId="0" fontId="3" fillId="2" borderId="1" applyAlignment="1" applyProtection="1" pivotButton="0" quotePrefix="0" xfId="0">
      <alignment vertical="top" wrapText="1"/>
      <protection locked="0" hidden="0"/>
    </xf>
    <xf numFmtId="1" fontId="3" fillId="4" borderId="1" applyAlignment="1" pivotButton="0" quotePrefix="0" xfId="0">
      <alignment vertical="center"/>
    </xf>
    <xf numFmtId="49" fontId="3" fillId="2" borderId="1" applyAlignment="1" applyProtection="1" pivotButton="0" quotePrefix="0" xfId="0">
      <alignment horizontal="left" vertical="top"/>
      <protection locked="0" hidden="0"/>
    </xf>
    <xf numFmtId="3" fontId="3" fillId="2" borderId="1" applyAlignment="1" applyProtection="1" pivotButton="0" quotePrefix="0" xfId="0">
      <alignment vertical="top"/>
      <protection locked="0" hidden="0"/>
    </xf>
    <xf numFmtId="3" fontId="3" fillId="4" borderId="1" applyAlignment="1" pivotButton="0" quotePrefix="0" xfId="0">
      <alignment vertical="top"/>
    </xf>
    <xf numFmtId="0" fontId="3" fillId="4" borderId="1" applyAlignment="1" pivotButton="0" quotePrefix="0" xfId="0">
      <alignment vertical="top" wrapText="1"/>
    </xf>
    <xf numFmtId="0" fontId="4" fillId="4" borderId="1" applyAlignment="1" pivotButton="0" quotePrefix="0" xfId="0">
      <alignment vertical="center"/>
    </xf>
    <xf numFmtId="0" fontId="3" fillId="4" borderId="1" applyAlignment="1" pivotButton="0" quotePrefix="0" xfId="0">
      <alignment vertical="center"/>
    </xf>
    <xf numFmtId="3" fontId="4" fillId="4" borderId="1" applyAlignment="1" pivotButton="0" quotePrefix="0" xfId="0">
      <alignment vertical="center"/>
    </xf>
    <xf numFmtId="3" fontId="3" fillId="4" borderId="1" applyAlignment="1" pivotButton="0" quotePrefix="0" xfId="0">
      <alignment horizontal="left" vertical="center"/>
    </xf>
    <xf numFmtId="0" fontId="4" fillId="4" borderId="1" applyAlignment="1" pivotButton="0" quotePrefix="0" xfId="0">
      <alignment horizontal="left" vertical="center"/>
    </xf>
    <xf numFmtId="0" fontId="3" fillId="4" borderId="1" applyAlignment="1" pivotButton="0" quotePrefix="0" xfId="0">
      <alignment horizontal="left" vertical="center"/>
    </xf>
    <xf numFmtId="0" fontId="3" fillId="2" borderId="1" applyAlignment="1" applyProtection="1" pivotButton="0" quotePrefix="0" xfId="0">
      <alignment vertical="top"/>
      <protection locked="0" hidden="0"/>
    </xf>
    <xf numFmtId="3" fontId="3" fillId="4" borderId="1" applyAlignment="1" pivotButton="0" quotePrefix="0" xfId="0">
      <alignment vertical="center"/>
    </xf>
    <xf numFmtId="1" fontId="3" fillId="4" borderId="1" applyAlignment="1" pivotButton="0" quotePrefix="0" xfId="0">
      <alignment horizontal="center" vertical="top"/>
    </xf>
    <xf numFmtId="164" fontId="3" fillId="2" borderId="1" applyAlignment="1" applyProtection="1" pivotButton="0" quotePrefix="0" xfId="0">
      <alignment horizontal="left" vertical="top"/>
      <protection locked="0" hidden="0"/>
    </xf>
    <xf numFmtId="0" fontId="3" fillId="4" borderId="1" applyAlignment="1" pivotButton="0" quotePrefix="0" xfId="0">
      <alignment vertical="top"/>
    </xf>
    <xf numFmtId="164" fontId="3" fillId="4" borderId="1" applyAlignment="1" pivotButton="0" quotePrefix="0" xfId="0">
      <alignment vertical="center"/>
    </xf>
    <xf numFmtId="49" fontId="3" fillId="2" borderId="1" applyAlignment="1" applyProtection="1" pivotButton="0" quotePrefix="0" xfId="0">
      <alignment horizontal="left" vertical="top" wrapText="1"/>
      <protection locked="0" hidden="0"/>
    </xf>
    <xf numFmtId="1" fontId="3" fillId="2" borderId="1" applyAlignment="1" applyProtection="1" pivotButton="0" quotePrefix="0" xfId="0">
      <alignment vertical="top"/>
      <protection locked="0" hidden="0"/>
    </xf>
    <xf numFmtId="0" fontId="4" fillId="0" borderId="0" applyAlignment="1" pivotButton="0" quotePrefix="0" xfId="0">
      <alignment vertical="center"/>
    </xf>
    <xf numFmtId="0" fontId="3" fillId="0" borderId="0" applyAlignment="1" pivotButton="0" quotePrefix="0" xfId="0">
      <alignment horizontal="center" vertical="top"/>
    </xf>
  </cellXfs>
  <cellStyles count="1">
    <cellStyle name="Normal" xfId="0" builtinId="0" hidden="0"/>
  </cellStyles>
  <dxfs count="2">
    <dxf>
      <font>
        <color rgb="00CD2B31"/>
      </font>
      <fill>
        <patternFill patternType="solid">
          <fgColor rgb="00F8D7D7"/>
          <bgColor rgb="00F8D7D7"/>
        </patternFill>
      </fill>
    </dxf>
    <dxf>
      <font>
        <color rgb="00CD2B31"/>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comments/comment1.xml><?xml version="1.0" encoding="utf-8"?>
<comments xmlns="http://schemas.openxmlformats.org/spreadsheetml/2006/main">
  <authors>
    <author>FRQZ</author>
  </authors>
  <commentList>
    <comment ref="C5" authorId="0" shapeId="0">
      <text>
        <t>The project's name exactly as the Register writes it. Row 2 of every tab shows it.</t>
      </text>
    </comment>
    <comment ref="C6" authorId="0" shapeId="0">
      <text>
        <t>The program it sits under, as the Register writes it. Leave it blank if it sits under none.</t>
      </text>
    </comment>
    <comment ref="C7" authorId="0" shapeId="0">
      <text>
        <t>The project's Owner as the Register writes it, such as Anders (Engineering Manager). A question about a row with no owner goes to this person.</t>
      </text>
    </comment>
    <comment ref="C8" authorId="0" shapeId="0">
      <text>
        <t>The sponsor's name, or Not yet named. A change past the Owner's limit clears only when this person has agreed it.</t>
      </text>
    </comment>
    <comment ref="C9" authorId="0" shapeId="0">
      <text>
        <t>The project's share of the envelope, from the program charter and the Register, in the Unit in C18.</t>
      </text>
    </comment>
    <comment ref="C10" authorId="0" shapeId="0">
      <text>
        <t>From the Register. Every date on Schedule falls on or before it, and Close falls on it.</t>
      </text>
    </comment>
    <comment ref="C11" authorId="0" shapeId="0">
      <text>
        <t>v1 from the day the plan is baselined, v2 after the first approved change that moves a Baselined cell, and so on.</t>
      </text>
    </comment>
    <comment ref="C12" authorId="0" shapeId="0">
      <text>
        <t>The day this copy was last changed.</t>
      </text>
    </comment>
    <comment ref="C13" authorId="0" shapeId="0">
      <text>
        <t>The day Plan baselined was decided. Leave it blank until then; the checks on changes read Not done while it is.</t>
      </text>
    </comment>
    <comment ref="C14" authorId="0" shapeId="0">
      <text>
        <t>Optional. The day the checks count from. Leave it blank to use today's date.</t>
      </text>
    </comment>
    <comment ref="C15" authorId="0" shapeId="0">
      <text>
        <t>From the charter: how many working days the Owner may move a date without the sponsor. A whole number from 0 to 60. It colours nothing.</t>
      </text>
    </comment>
    <comment ref="C16" authorId="0" shapeId="0">
      <text>
        <t>From the charter: how much the Owner may add to the baseline without the sponsor, in the Unit. It colours nothing.</t>
      </text>
    </comment>
    <comment ref="C17" authorId="0" shapeId="0">
      <text>
        <t>How far the forecast may go over the Baselined cost before Cost reads Red, as a percent: 10 percent in the Example.</t>
      </text>
    </comment>
    <comment ref="C18" authorId="0" shapeId="0">
      <text>
        <t>Money or Days. Every figure, limit and range in this file is in it.</t>
      </text>
    </comment>
    <comment ref="C19" authorId="0" shapeId="0">
      <text>
        <t>Optional. The least the team thinks the whole project could cost, set at the baseline.</t>
      </text>
    </comment>
    <comment ref="C20" authorId="0" shapeId="0">
      <text>
        <t>Optional. The most the team thinks it could cost. A forecast outside the range fails a check.</t>
      </text>
    </comment>
    <comment ref="C21" authorId="0" shapeId="0">
      <text>
        <t>The one person who stands behind the forecast, such as Anders (Engineering Manager).</t>
      </text>
    </comment>
    <comment ref="C22" authorId="0" shapeId="0">
      <text>
        <t>The day they gave it.</t>
      </text>
    </comment>
    <comment ref="C23" authorId="0" shapeId="0">
      <text>
        <t>How many working days late a date may run before it reads Red: 5 in the Example.</t>
      </text>
    </comment>
    <comment ref="B25" authorId="0" shapeId="0">
      <text>
        <t>From the charter's deliverables: D1, D2 and on. Never reuse an Id, even after its row goes. Work breakdown picks from these.</t>
      </text>
    </comment>
    <comment ref="C25" authorId="0" shapeId="0">
      <text>
        <t>The deliverable, word for word as the charter has it.</t>
      </text>
    </comment>
    <comment ref="D25" authorId="0" shapeId="0">
      <text>
        <t>The one person who accepts it, as the charter names them. Each item that serves it has the same Accepted by.</t>
      </text>
    </comment>
    <comment ref="B36" authorId="0" shapeId="0">
      <text>
        <t>The charter's cost line, letter for letter.</t>
      </text>
    </comment>
    <comment ref="C36" authorId="0" shapeId="0">
      <text>
        <t>The top item on Work breakdown that the line pays for, such as 1 or 4.</t>
      </text>
    </comment>
    <comment ref="D36" authorId="0" shapeId="0">
      <text>
        <t>The line's amount in the charter.</t>
      </text>
    </comment>
    <comment ref="E36" authorId="0" shapeId="0">
      <text>
        <t>Worked out: the Baselined figures of the item and its parts on Estimates, as they stand now.</t>
      </text>
    </comment>
    <comment ref="F36" authorId="0" shapeId="0">
      <text>
        <t>Worked out: the cost of approved changes on Changes that name the item or one of its parts.</t>
      </text>
    </comment>
    <comment ref="G36" authorId="0" shapeId="0">
      <text>
        <t>Worked out: Baselined now less the approved changes, which is what the plan held at v1. Until Baselined on is typed, the Likely figures of the item and its parts.</t>
      </text>
    </comment>
    <comment ref="H36" authorId="0" shapeId="0">
      <text>
        <t>From the finance export for this line: what has been spent so far.</t>
      </text>
    </comment>
    <comment ref="I36" authorId="0" shapeId="0">
      <text>
        <t>Worked out: whether the plan at v1 matches the charter's line.</t>
      </text>
    </comment>
    <comment ref="C48" authorId="0" shapeId="0">
      <text>
        <t>Worked out: the Baselined figures on Estimates added up, after approved changes.</t>
      </text>
    </comment>
    <comment ref="C49" authorId="0" shapeId="0">
      <text>
        <t>Worked out: the Forecasts on Estimates added up, with Baselined where Forecast is blank.</t>
      </text>
    </comment>
    <comment ref="C50" authorId="0" shapeId="0">
      <text>
        <t>Worked out: Spent to date on the cost lines added up.</t>
      </text>
    </comment>
    <comment ref="C51" authorId="0" shapeId="0">
      <text>
        <t>Worked out from the Reading column on Schedule: Red if any row is Red, then Amber, then Green. Not read with no dates.</t>
      </text>
    </comment>
    <comment ref="C52" authorId="0" shapeId="0">
      <text>
        <t>Worked out: Green while the forecast is the Baselined cost or less, Amber while it's over by no more than the Cost tolerance, Red beyond.</t>
      </text>
    </comment>
    <comment ref="C53" authorId="0" shapeId="0">
      <text>
        <t>Worked out: Red when an estimate was added after the baseline with no change, Amber while a Raised request changes scope, otherwise Green. Not read before Baselined on.</t>
      </text>
    </comment>
    <comment ref="C54" authorId="0" shapeId="0">
      <text>
        <t>Worked out: the worst of Date, Cost and Scope.</t>
      </text>
    </comment>
    <comment ref="C55" authorId="0" shapeId="0">
      <text>
        <t>From C15 and C16, so a reader sees what the Owner may decide alone. It colours nothing.</t>
      </text>
    </comment>
  </commentList>
</comments>
</file>

<file path=xl/comments/comment2.xml><?xml version="1.0" encoding="utf-8"?>
<comments xmlns="http://schemas.openxmlformats.org/spreadsheetml/2006/main">
  <authors>
    <author>FRQZ</author>
  </authors>
  <commentList>
    <comment ref="A5" authorId="0" shapeId="0">
      <text>
        <t>1, 2, 3 for the top items, then 1.1, 1.2 for the parts of 1, and so on. A part's number starts with its parent's and a dot. Each number once.</t>
      </text>
    </comment>
    <comment ref="B5" authorId="0" shapeId="0">
      <text>
        <t>A thing delivered, such as Credit notes and refunds, not an activity. Up to 80 characters.</t>
      </text>
    </comment>
    <comment ref="C5" authorId="0" shapeId="0">
      <text>
        <t>Leaf items only, the items with no parts: the deliverable it serves, picked from Deliverables on Baseline.</t>
      </text>
    </comment>
    <comment ref="D5" authorId="0" shapeId="0">
      <text>
        <t>One person who answers for the item, written like Imani (Security Lead).</t>
      </text>
    </comment>
    <comment ref="E5" authorId="0" shapeId="0">
      <text>
        <t>One person who accepts it. On a leaf, the person who accepts its deliverable on Baseline.</t>
      </text>
    </comment>
    <comment ref="F5" authorId="0" shapeId="0">
      <text>
        <t>Worked out: the forecast for the item and all its parts, from Estimates.</t>
      </text>
    </comment>
    <comment ref="G5" authorId="0" shapeId="0">
      <text>
        <t>Worked out: the first thing wrong with the row. Filter on △ to list them.</t>
      </text>
    </comment>
  </commentList>
</comments>
</file>

<file path=xl/comments/comment3.xml><?xml version="1.0" encoding="utf-8"?>
<comments xmlns="http://schemas.openxmlformats.org/spreadsheetml/2006/main">
  <authors>
    <author>FRQZ</author>
  </authors>
  <commentList>
    <comment ref="A5" authorId="0" shapeId="0">
      <text>
        <t>The item's No. on Work breakdown, picked from the list. One row per leaf item; a parent isn't estimated.</t>
      </text>
    </comment>
    <comment ref="B5" authorId="0" shapeId="0">
      <text>
        <t>Worked out: the item's name from Work breakdown.</t>
      </text>
    </comment>
    <comment ref="C5" authorId="0" shapeId="0">
      <text>
        <t>How the number was made: Bottom up, By analogy, Three-point or Fixed scope.</t>
      </text>
    </comment>
    <comment ref="D5" authorId="0" shapeId="0">
      <text>
        <t>Where the number came from, such as a trial load of 200 invoices. Up to 120 characters.</t>
      </text>
    </comment>
    <comment ref="E5" authorId="0" shapeId="0">
      <text>
        <t>The least it could take, in the Unit on Baseline.</t>
      </text>
    </comment>
    <comment ref="F5" authorId="0" shapeId="0">
      <text>
        <t>What you expect it to take. Copied into Baselined on the day the plan is baselined.</t>
      </text>
    </comment>
    <comment ref="G5" authorId="0" shapeId="0">
      <text>
        <t>The most it could take. Low, Likely and High may be equal.</t>
      </text>
    </comment>
    <comment ref="H5" authorId="0" shapeId="0">
      <text>
        <t>Typed once, on the day the plan is baselined, as a copy of Likely. After that it changes only through an approved change on Changes.</t>
      </text>
    </comment>
    <comment ref="I5" authorId="0" shapeId="0">
      <text>
        <t>What the project expects now, if it differs from Baselined. Blank means Baselined. A Forecast that differs needs a Raised change naming the item.</t>
      </text>
    </comment>
    <comment ref="J5" authorId="0" shapeId="0">
      <text>
        <t>High, Medium or Low: how sure the team is of Likely.</t>
      </text>
    </comment>
    <comment ref="K5" authorId="0" shapeId="0">
      <text>
        <t>Worked out: the first thing wrong with the row. Filter on △ to list them.</t>
      </text>
    </comment>
  </commentList>
</comments>
</file>

<file path=xl/comments/comment4.xml><?xml version="1.0" encoding="utf-8"?>
<comments xmlns="http://schemas.openxmlformats.org/spreadsheetml/2006/main">
  <authors>
    <author>FRQZ</author>
  </authors>
  <commentList>
    <comment ref="A5" authorId="0" shapeId="0">
      <text>
        <t>Worked out: the row's place in Original order.</t>
      </text>
    </comment>
    <comment ref="B5" authorId="0" shapeId="0">
      <text>
        <t>The milestone's full name, the same in every file. Gate rows use a name from Gate names on Read me. Each name once, up to 80 characters.</t>
      </text>
    </comment>
    <comment ref="C5" authorId="0" shapeId="0">
      <text>
        <t>Gate: on the gate map. Milestone: a point in the plan. Need: something another team or project provides. Event: happens to the project and needs no owner.</t>
      </text>
    </comment>
    <comment ref="D5" authorId="0" shapeId="0">
      <text>
        <t>The date the plan is held to. For a Need, the day it's needed by.</t>
      </text>
    </comment>
    <comment ref="E5" authorId="0" shapeId="0">
      <text>
        <t>Blank means on its Baselined date. Type a date when it's expected to move. For a Need, the day the provider has promised.</t>
      </text>
    </comment>
    <comment ref="F5" authorId="0" shapeId="0">
      <text>
        <t>The day it happened or was decided. Once it's typed, the row is no longer read.</t>
      </text>
    </comment>
    <comment ref="G5" authorId="0" shapeId="0">
      <text>
        <t>Optional, for something over several days, such as the cutover weekend: the last day.</t>
      </text>
    </comment>
    <comment ref="H5" authorId="0" shapeId="0">
      <text>
        <t>One person who answers for it. For a Gate, the gate map's Decides. Blank means nobody.</t>
      </text>
    </comment>
    <comment ref="I5" authorId="0" shapeId="0">
      <text>
        <t>The line's Id on the RAID log or the program workbook, such as X1, when the date comes from one.</t>
      </text>
    </comment>
    <comment ref="J5" authorId="0" shapeId="0">
      <text>
        <t>For a Need: the milestone it holds up, picked from column B.</t>
      </text>
    </comment>
    <comment ref="K5" authorId="0" shapeId="0">
      <text>
        <t>Baselined as it stood on the day the plan was baselined. Typed once and never changed, so every move stays visible. Keep the rows in this date order, or in Baselined order until it's typed.</t>
      </text>
    </comment>
    <comment ref="L5" authorId="0" shapeId="0">
      <text>
        <t>Anything a reader needs, such as where a copied date came from and when.</t>
      </text>
    </comment>
    <comment ref="M5" authorId="0" shapeId="0">
      <text>
        <t>Worked out: working days from Baselined to Forecast, 0 if not later. Blank once Done on is typed.</t>
      </text>
    </comment>
    <comment ref="N5" authorId="0" shapeId="0">
      <text>
        <t>Worked out: Green on time, Amber late by up to the Date tolerance, Red beyond it or past Baselined and not done. Needs and Events aren't read.</t>
      </text>
    </comment>
    <comment ref="O5" authorId="0" shapeId="0">
      <text>
        <t>Worked out: working days from Original to Done on, or to Forecast while not done. It keeps the trace after a change.</t>
      </text>
    </comment>
    <comment ref="P5" authorId="0" shapeId="0">
      <text>
        <t>Worked out: the first thing wrong with the row. Filter on △ to list them.</t>
      </text>
    </comment>
  </commentList>
</comments>
</file>

<file path=xl/comments/comment5.xml><?xml version="1.0" encoding="utf-8"?>
<comments xmlns="http://schemas.openxmlformats.org/spreadsheetml/2006/main">
  <authors>
    <author>FRQZ</author>
  </authors>
  <commentList>
    <comment ref="A5" authorId="0" shapeId="0">
      <text>
        <t>CR-1, CR-2 and on while it's a request. Once it's approved, the same number becomes CH: CR-5 becomes CH-5. Each number once.</t>
      </text>
    </comment>
    <comment ref="B5" authorId="0" shapeId="0">
      <text>
        <t>The day the change was asked for.</t>
      </text>
    </comment>
    <comment ref="C5" authorId="0" shapeId="0">
      <text>
        <t>The day it was decided. Blank while it's Raised.</t>
      </text>
    </comment>
    <comment ref="D5" authorId="0" shapeId="0">
      <text>
        <t>What changes, the old then the new, such as Build complete, Baselined Fri 6 Nov 2026, now Fri 13 Nov 2026. Up to 160 characters.</t>
      </text>
    </comment>
    <comment ref="E5" authorId="0" shapeId="0">
      <text>
        <t>The item's No. on Work breakdown or the milestone's name on Schedule, exactly. Blank when it names neither.</t>
      </text>
    </comment>
    <comment ref="F5" authorId="0" shapeId="0">
      <text>
        <t>What it does to scope: None, More, Less or Changed.</t>
      </text>
    </comment>
    <comment ref="G5" authorId="0" shapeId="0">
      <text>
        <t>The cost it adds, in the Unit on Baseline. 0 is an answer.</t>
      </text>
    </comment>
    <comment ref="H5" authorId="0" shapeId="0">
      <text>
        <t>The working days it moves the date. 0 is an answer.</t>
      </text>
    </comment>
    <comment ref="I5" authorId="0" shapeId="0">
      <text>
        <t>Raised, Approved, Rejected, Returned or Withdrawn.</t>
      </text>
    </comment>
    <comment ref="J5" authorId="0" shapeId="0">
      <text>
        <t>The one person who decided it, written like Anders (Engineering Manager).</t>
      </text>
    </comment>
    <comment ref="K5" authorId="0" shapeId="0">
      <text>
        <t>The sponsor's name once they agree it, or No sponsor named. Past the Owner's limit, only the Sponsor on Baseline clears it.</t>
      </text>
    </comment>
    <comment ref="L5" authorId="0" shapeId="0">
      <text>
        <t>Yes once the new Baselined cells and Version are typed. Nothing to apply when it moves no Baselined cell.</t>
      </text>
    </comment>
    <comment ref="M5" authorId="0" shapeId="0">
      <text>
        <t>Why, in a line.</t>
      </text>
    </comment>
    <comment ref="N5" authorId="0" shapeId="0">
      <text>
        <t>Worked out: the first thing wrong with the change. Filter on △ to list them.</t>
      </text>
    </comment>
  </commentList>
</comments>
</file>

<file path=xl/comments/comment6.xml><?xml version="1.0" encoding="utf-8"?>
<comments xmlns="http://schemas.openxmlformats.org/spreadsheetml/2006/main">
  <authors>
    <author>FRQZ</author>
  </authors>
  <commentList>
    <comment ref="D6" authorId="0" shapeId="0">
      <text>
        <t>The first row that fails: an item's No., a milestone's name or a change's No. Its Row check says why.</t>
      </text>
    </comment>
  </commentList>
</comment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_rels/drawing5.xml.rels><Relationships xmlns="http://schemas.openxmlformats.org/package/2006/relationships"><Relationship Type="http://schemas.openxmlformats.org/officeDocument/2006/relationships/image" Target="/xl/media/image5.png" Id="rId1"/></Relationships>
</file>

<file path=xl/drawings/_rels/drawing6.xml.rels><Relationships xmlns="http://schemas.openxmlformats.org/package/2006/relationships"><Relationship Type="http://schemas.openxmlformats.org/officeDocument/2006/relationships/image" Target="/xl/media/image6.png" Id="rId1"/></Relationships>
</file>

<file path=xl/drawings/_rels/drawing7.xml.rels><Relationships xmlns="http://schemas.openxmlformats.org/package/2006/relationships"><Relationship Type="http://schemas.openxmlformats.org/officeDocument/2006/relationships/image" Target="/xl/media/image7.png" Id="rId1"/></Relationships>
</file>

<file path=xl/drawings/drawing1.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5.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6.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7.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drawing" Target="/xl/drawings/drawing3.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drawing" Target="/xl/drawings/drawing4.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drawing" Target="/xl/drawings/drawing5.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drawing" Target="/xl/drawings/drawing6.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drawing" Target="/xl/drawings/drawing7.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sheet1.xml><?xml version="1.0" encoding="utf-8"?>
<worksheet xmlns="http://schemas.openxmlformats.org/spreadsheetml/2006/main">
  <sheetPr>
    <outlinePr summaryBelow="1" summaryRight="1"/>
    <pageSetUpPr fitToPage="0"/>
  </sheetPr>
  <dimension ref="A1:B94"/>
  <sheetViews>
    <sheetView showGridLines="0" tabSelected="1" workbookViewId="0">
      <selection activeCell="A1" sqref="A1"/>
    </sheetView>
  </sheetViews>
  <sheetFormatPr baseColWidth="8" defaultRowHeight="15"/>
  <cols>
    <col width="17" customWidth="1" min="1" max="1"/>
    <col width="110" customWidth="1" min="2" max="2"/>
  </cols>
  <sheetData>
    <row r="1" ht="36" customHeight="1">
      <c r="B1" s="1" t="inlineStr">
        <is>
          <t>Plan workbook</t>
        </is>
      </c>
    </row>
    <row r="2" ht="18" customHeight="1">
      <c r="A2" s="2">
        <f>IF(TRIM(Baseline!$C$5)="","","Project: "&amp;Baseline!$C$5&amp;IF(TRIM(Baseline!$C$6)="",".",". Sits under: "&amp;Baseline!$C$6&amp;"."))</f>
        <v/>
      </c>
    </row>
    <row r="3" ht="6" customHeight="1"/>
    <row r="4" ht="46" customHeight="1">
      <c r="B4" s="3" t="inlineStr">
        <is>
          <t>A project's plan in one file: the work broken into items, an estimate for each, the dates against the gates, and every change since the plan was baselined. Seven tabs: Read me, Baseline, Work breakdown, Estimates, Schedule, Changes and Checks.</t>
        </is>
      </c>
    </row>
    <row r="6">
      <c r="A6" s="4" t="inlineStr">
        <is>
          <t>START</t>
        </is>
      </c>
    </row>
    <row r="7" ht="32" customHeight="1">
      <c r="A7" s="5" t="n"/>
      <c r="B7" s="3" t="inlineStr">
        <is>
          <t>Start from the signed project charter and the gate map. Fill the tabs in order, Baseline first. Changes starts on the day the plan is baselined.</t>
        </is>
      </c>
    </row>
    <row r="8" ht="32" customHeight="1">
      <c r="A8" s="5" t="n">
        <v>1</v>
      </c>
      <c r="B8" s="3" t="inlineStr">
        <is>
          <t>On Baseline, type the details from the Register and the charter, then copy the charter's deliverables and cost lines, its Owner's limit and its tolerances.</t>
        </is>
      </c>
    </row>
    <row r="9" ht="32" customHeight="1">
      <c r="A9" s="5" t="n">
        <v>2</v>
      </c>
      <c r="B9" s="3" t="inlineStr">
        <is>
          <t>On Work breakdown, list the items, numbered 1, 1.1, 1.2. Give each one Owner and one person who accepts it, and each leaf the deliverable it serves.</t>
        </is>
      </c>
    </row>
    <row r="10" ht="32" customHeight="1">
      <c r="A10" s="5" t="n">
        <v>3</v>
      </c>
      <c r="B10" s="3" t="inlineStr">
        <is>
          <t>On Estimates, give each leaf a method, a basis, a confidence, and Low, Likely and High. Leave Baselined and Forecast blank for now.</t>
        </is>
      </c>
    </row>
    <row r="11" ht="32" customHeight="1">
      <c r="A11" s="5" t="n">
        <v>4</v>
      </c>
      <c r="B11" s="3" t="inlineStr">
        <is>
          <t>On Schedule, list the gates from the gate map, the milestones, what you need from other teams and the events, in date order, each with its Baselined date.</t>
        </is>
      </c>
    </row>
    <row r="12" ht="32" customHeight="1">
      <c r="A12" s="5" t="n">
        <v>5</v>
      </c>
      <c r="B12" s="3" t="inlineStr">
        <is>
          <t>When Plan baselined is decided, type Baselined on, copy each Likely into Baselined and each Baselined date into Original, and set Version to v1.</t>
        </is>
      </c>
    </row>
    <row r="13" ht="32" customHeight="1">
      <c r="A13" s="5" t="n">
        <v>6</v>
      </c>
      <c r="B13" s="3" t="inlineStr">
        <is>
          <t>From then on, log each change on Changes before you make it. Type a Forecast when a date or a figure is expected to move.</t>
        </is>
      </c>
    </row>
    <row r="14" ht="18" customHeight="1">
      <c r="A14" s="5" t="n">
        <v>7</v>
      </c>
      <c r="B14" s="3" t="inlineStr">
        <is>
          <t>Read Checks, and fix every row whose Row check shows △.</t>
        </is>
      </c>
    </row>
    <row r="16">
      <c r="A16" s="4" t="inlineStr">
        <is>
          <t>TABS</t>
        </is>
      </c>
    </row>
    <row r="17" ht="32" customHeight="1">
      <c r="A17" s="6" t="inlineStr">
        <is>
          <t>Baseline</t>
        </is>
      </c>
      <c r="B17" s="3" t="inlineStr">
        <is>
          <t>The project's details, the charter's deliverables and cost lines, and the readings: Date, Cost, Scope and Overall.</t>
        </is>
      </c>
    </row>
    <row r="18" ht="32" customHeight="1">
      <c r="A18" s="6" t="inlineStr">
        <is>
          <t>Work breakdown</t>
        </is>
      </c>
      <c r="B18" s="3" t="inlineStr">
        <is>
          <t>Every item, numbered, with one Owner and one person who accepts it. An item with no parts is a leaf, and only a leaf serves a deliverable.</t>
        </is>
      </c>
    </row>
    <row r="19" ht="32" customHeight="1">
      <c r="A19" s="6" t="inlineStr">
        <is>
          <t>Estimates</t>
        </is>
      </c>
      <c r="B19" s="3" t="inlineStr">
        <is>
          <t>One row per leaf: Low, Likely and High, the method, the basis and the confidence, then the Baselined figure and the Forecast.</t>
        </is>
      </c>
    </row>
    <row r="20" ht="32" customHeight="1">
      <c r="A20" s="6" t="inlineStr">
        <is>
          <t>Schedule</t>
        </is>
      </c>
      <c r="B20" s="3" t="inlineStr">
        <is>
          <t>Gates, milestones, needs and events in date order by Original, with each one's Forecast, Owner, working days late and reading.</t>
        </is>
      </c>
    </row>
    <row r="21" ht="32" customHeight="1">
      <c r="A21" s="6" t="inlineStr">
        <is>
          <t>Changes</t>
        </is>
      </c>
      <c r="B21" s="3" t="inlineStr">
        <is>
          <t>Every request and every approved change: what it does to scope, cost and date, who decided it, and whether the sponsor agreed.</t>
        </is>
      </c>
    </row>
    <row r="22" ht="18" customHeight="1">
      <c r="A22" s="6" t="inlineStr">
        <is>
          <t>Checks</t>
        </is>
      </c>
      <c r="B22" s="3" t="inlineStr">
        <is>
          <t>The nine checks, the first row each one fails at, and what to do.</t>
        </is>
      </c>
    </row>
    <row r="23" ht="32" customHeight="1">
      <c r="A23" s="6" t="inlineStr">
        <is>
          <t>Sizes</t>
        </is>
      </c>
      <c r="B23" s="3" t="inlineStr">
        <is>
          <t>Work breakdown holds 60 items, Estimates 40, Schedule 39 dates and Changes 50. Baseline holds 8 deliverables and 8 cost lines. A row typed below these is outside every check.</t>
        </is>
      </c>
    </row>
    <row r="25">
      <c r="A25" s="4" t="inlineStr">
        <is>
          <t>CHECKS</t>
        </is>
      </c>
    </row>
    <row r="26" ht="32" customHeight="1">
      <c r="A26" s="5" t="n"/>
      <c r="B26" s="3" t="inlineStr">
        <is>
          <t>Checks runs nine checks on what's typed, counting from As of on Baseline. Each shows its result, the first row it fails at and what to do. The Row check on each tab says what is wrong with each row.</t>
        </is>
      </c>
    </row>
    <row r="27" ht="46" customHeight="1">
      <c r="A27" s="6" t="inlineStr">
        <is>
          <t>1</t>
        </is>
      </c>
      <c r="B27" s="3" t="inlineStr">
        <is>
          <t>Work nobody owns or asked for: an item with no number, name, Owner or Accepted by; a leaf with no estimate or deliverable, or an Accepted by that isn't the deliverable's; a parent with an estimate; a deliverable with no item.</t>
        </is>
      </c>
    </row>
    <row r="28" ht="60" customHeight="1">
      <c r="A28" s="6" t="inlineStr">
        <is>
          <t>2</t>
        </is>
      </c>
      <c r="B28" s="3" t="inlineStr">
        <is>
          <t>Money that doesn't add up: a cost line that differs from its item's figure at v1, lines or a v1 total that differ from the Share, or a forecast outside the range. Until Baselined on is typed, it reads the Likely figures; after it, the Baselined ones. A forecast over the Baselined cost shows in Cost and in check 7.</t>
        </is>
      </c>
    </row>
    <row r="29" ht="32" customHeight="1">
      <c r="A29" s="6" t="inlineStr">
        <is>
          <t>3</t>
        </is>
      </c>
      <c r="B29" s="3" t="inlineStr">
        <is>
          <t>An estimate without its basis: no item, a second row for the same item, or no method, basis or confidence, or Low, Likely and High not in order.</t>
        </is>
      </c>
    </row>
    <row r="30" ht="60" customHeight="1">
      <c r="A30" s="6" t="inlineStr">
        <is>
          <t>4</t>
        </is>
      </c>
      <c r="B30" s="3" t="inlineStr">
        <is>
          <t>Dates that don't hold together: a name used twice, no kind, a Baselined that isn't a date, a gate name not on Read me, an Original before the row above's (a Baselined, until Original is typed), a date after the Planned finish, Close off the Planned finish, or Ends before Baselined. An approved move changes Baselined only, so the row stays where it is.</t>
        </is>
      </c>
    </row>
    <row r="31" ht="18" customHeight="1">
      <c r="A31" s="6" t="inlineStr">
        <is>
          <t>5</t>
        </is>
      </c>
      <c r="B31" s="3" t="inlineStr">
        <is>
          <t>A date nobody answers for: a gate, milestone or need not yet done with no Owner.</t>
        </is>
      </c>
    </row>
    <row r="32" ht="46" customHeight="1">
      <c r="A32" s="6" t="inlineStr">
        <is>
          <t>6</t>
        </is>
      </c>
      <c r="B32" s="3" t="inlineStr">
        <is>
          <t>A date or figure that moved with no change: a Forecast later than or different from Baselined with no Raised change naming it, a Baselined date other than Original with no Approved one, or an estimate added after the baseline with neither.</t>
        </is>
      </c>
    </row>
    <row r="33" ht="46" customHeight="1">
      <c r="A33" s="6" t="inlineStr">
        <is>
          <t>7</t>
        </is>
      </c>
      <c r="B33" s="3" t="inlineStr">
        <is>
          <t>A move past the Owner's limit: a date later than the limit's working days, a forecast over the Baselined cost by more than the limit, or approved changes that add up past a limit without the Sponsor's agreement.</t>
        </is>
      </c>
    </row>
    <row r="34" ht="18" customHeight="1">
      <c r="A34" s="6" t="inlineStr">
        <is>
          <t>8</t>
        </is>
      </c>
      <c r="B34" s="3" t="inlineStr">
        <is>
          <t>A need that arrives after it is needed: a Need whose Forecast is after its Baselined date.</t>
        </is>
      </c>
    </row>
    <row r="35" ht="32" customHeight="1">
      <c r="A35" s="6" t="inlineStr">
        <is>
          <t>9</t>
        </is>
      </c>
      <c r="B35" s="3" t="inlineStr">
        <is>
          <t>A change that isn't finished: a change whose Row check shows △, such as one approved and not applied, or one Raised for more than 14 days.</t>
        </is>
      </c>
    </row>
    <row r="36" ht="18" customHeight="1">
      <c r="A36" s="5" t="n"/>
      <c r="B36" s="3" t="inlineStr">
        <is>
          <t>A small team can read checks 1, 3, 6 and 9 each week and all nine before a gate.</t>
        </is>
      </c>
    </row>
    <row r="37" ht="18" customHeight="1">
      <c r="A37" s="5" t="n"/>
      <c r="B37" s="3" t="inlineStr">
        <is>
          <t>Check 3 finds a blank Basis. Whether a basis is any good is for a person to judge.</t>
        </is>
      </c>
    </row>
    <row r="38" ht="46" customHeight="1">
      <c r="A38" s="5" t="n"/>
      <c r="B38" s="3" t="inlineStr">
        <is>
          <t>Two of the gate map's criteria are read here: every item has an owner and an estimate, at Plan baselined (checks 1 and 3), and every change since the plan was baselined is decided, at Build complete (check 9).</t>
        </is>
      </c>
    </row>
    <row r="40">
      <c r="A40" s="4" t="inlineStr">
        <is>
          <t>RULES</t>
        </is>
      </c>
    </row>
    <row r="41" ht="32" customHeight="1">
      <c r="A41" s="5" t="n"/>
      <c r="B41" s="3" t="inlineStr">
        <is>
          <t>Each item, date and change keeps its number or name for good. Clear a row to remove it. Don't insert or delete rows.</t>
        </is>
      </c>
    </row>
    <row r="42" ht="32" customHeight="1">
      <c r="A42" s="5" t="n"/>
      <c r="B42" s="3" t="inlineStr">
        <is>
          <t>After the plan is baselined, a Baselined cell changes only through an approved change, and Original never changes.</t>
        </is>
      </c>
    </row>
    <row r="43" ht="18" customHeight="1">
      <c r="A43" s="5" t="n"/>
      <c r="B43" s="3" t="inlineStr">
        <is>
          <t>Only a leaf is estimated. A parent's figure is its parts added up.</t>
        </is>
      </c>
    </row>
    <row r="44" ht="32" customHeight="1">
      <c r="A44" s="5" t="n"/>
      <c r="B44" s="3" t="inlineStr">
        <is>
          <t>A Need's Baselined date is the day it's needed by, and its Forecast is the day it's promised. A late Need holds up the milestone in Needed for and doesn't colour Date.</t>
        </is>
      </c>
    </row>
    <row r="45" ht="18" customHeight="1">
      <c r="A45" s="5" t="n"/>
      <c r="B45" s="3" t="inlineStr">
        <is>
          <t>An Event happens to the project, such as someone leaving. It needs no owner and isn't read.</t>
        </is>
      </c>
    </row>
    <row r="46" ht="32" customHeight="1">
      <c r="A46" s="5" t="n"/>
      <c r="B46" s="3" t="inlineStr">
        <is>
          <t>Every figure, limit and range is in the Unit on Baseline, Money or Days. Working days count Monday to Friday.</t>
        </is>
      </c>
    </row>
    <row r="48">
      <c r="A48" s="4" t="inlineStr">
        <is>
          <t>MARKS</t>
        </is>
      </c>
    </row>
    <row r="49" ht="18" customHeight="1">
      <c r="A49" s="6" t="inlineStr">
        <is>
          <t>△</t>
        </is>
      </c>
      <c r="B49" s="3" t="inlineStr">
        <is>
          <t>A check found something, and the words say what. Filter a Row check on △ to list the rows.</t>
        </is>
      </c>
    </row>
    <row r="50" ht="18" customHeight="1">
      <c r="A50" s="6" t="inlineStr">
        <is>
          <t>○ Clear</t>
        </is>
      </c>
      <c r="B50" s="3" t="inlineStr">
        <is>
          <t>The check found nothing.</t>
        </is>
      </c>
    </row>
    <row r="51" ht="18" customHeight="1">
      <c r="A51" s="6" t="inlineStr">
        <is>
          <t>Not done</t>
        </is>
      </c>
      <c r="B51" s="3" t="inlineStr">
        <is>
          <t>The check had nothing to test yet, such as no estimates. It isn't the same as clear.</t>
        </is>
      </c>
    </row>
    <row r="54">
      <c r="A54" s="7" t="inlineStr">
        <is>
          <t>GATE NAMES</t>
        </is>
      </c>
    </row>
    <row r="55" ht="32" customHeight="1">
      <c r="B55" s="3" t="inlineStr">
        <is>
          <t>Gate rows on Schedule use a name from this list, which matches the gate map. Change the names here if your gate map uses others; the three cells below them are spare.</t>
        </is>
      </c>
    </row>
    <row r="56" ht="16" customHeight="1">
      <c r="B56" s="8" t="inlineStr">
        <is>
          <t>Start</t>
        </is>
      </c>
    </row>
    <row r="57" ht="16" customHeight="1">
      <c r="B57" s="8" t="inlineStr">
        <is>
          <t>Plan baselined</t>
        </is>
      </c>
    </row>
    <row r="58" ht="16" customHeight="1">
      <c r="B58" s="8" t="inlineStr">
        <is>
          <t>Build complete</t>
        </is>
      </c>
    </row>
    <row r="59" ht="16" customHeight="1">
      <c r="B59" s="8" t="inlineStr">
        <is>
          <t>Readiness</t>
        </is>
      </c>
    </row>
    <row r="60" ht="16" customHeight="1">
      <c r="B60" s="8" t="inlineStr">
        <is>
          <t>Go/no-go</t>
        </is>
      </c>
    </row>
    <row r="61" ht="16" customHeight="1">
      <c r="B61" s="8" t="inlineStr">
        <is>
          <t>Handover accepted</t>
        </is>
      </c>
    </row>
    <row r="62" ht="16" customHeight="1">
      <c r="B62" s="8" t="inlineStr">
        <is>
          <t>Close</t>
        </is>
      </c>
    </row>
    <row r="63" ht="16" customHeight="1">
      <c r="B63" s="8" t="n"/>
    </row>
    <row r="64" ht="16" customHeight="1">
      <c r="B64" s="8" t="n"/>
    </row>
    <row r="65" ht="16" customHeight="1">
      <c r="B65" s="8" t="n"/>
    </row>
    <row r="67">
      <c r="A67" s="4" t="inlineStr">
        <is>
          <t>READINGS</t>
        </is>
      </c>
    </row>
    <row r="68" ht="46" customHeight="1">
      <c r="A68" s="6" t="inlineStr">
        <is>
          <t>Date</t>
        </is>
      </c>
      <c r="B68" s="3" t="inlineStr">
        <is>
          <t>The worst reading on Schedule. Green while every gate and milestone is on time, Amber when one is late by up to the Date tolerance, Red beyond it or when a Baselined date has passed and the row isn't done.</t>
        </is>
      </c>
    </row>
    <row r="69" ht="32" customHeight="1">
      <c r="A69" s="6" t="inlineStr">
        <is>
          <t>Cost</t>
        </is>
      </c>
      <c r="B69" s="3" t="inlineStr">
        <is>
          <t>Forecast at completion against the Baselined cost. Green at or under it, Amber when over by up to the Cost tolerance, Red beyond.</t>
        </is>
      </c>
    </row>
    <row r="70" ht="32" customHeight="1">
      <c r="A70" s="6" t="inlineStr">
        <is>
          <t>Scope</t>
        </is>
      </c>
      <c r="B70" s="3" t="inlineStr">
        <is>
          <t>Not read until Baselined on is typed. Red when an estimate was added after the baseline with no change, Amber while a Raised request changes scope, otherwise Green.</t>
        </is>
      </c>
    </row>
    <row r="71" ht="18" customHeight="1">
      <c r="A71" s="6" t="inlineStr">
        <is>
          <t>Overall</t>
        </is>
      </c>
      <c r="B71" s="3" t="inlineStr">
        <is>
          <t>The worst of Date, Cost and Scope.</t>
        </is>
      </c>
    </row>
    <row r="72" ht="32" customHeight="1">
      <c r="A72" s="6" t="inlineStr">
        <is>
          <t>Owner's limit</t>
        </is>
      </c>
      <c r="B72" s="3" t="inlineStr">
        <is>
          <t>What the charter lets the Owner do alone: move a date by up to the working days in C15, and add up to C16 to the baseline. It's printed with the readings and colours nothing.</t>
        </is>
      </c>
    </row>
    <row r="73" ht="32" customHeight="1">
      <c r="A73" s="5" t="n"/>
      <c r="B73" s="3" t="inlineStr">
        <is>
          <t>The Status report reads Date, Cost and Scope by the same rules, and both read against the Baselined figures as they stand after approved changes.</t>
        </is>
      </c>
    </row>
    <row r="75">
      <c r="A75" s="4" t="inlineStr">
        <is>
          <t>CHANGES</t>
        </is>
      </c>
    </row>
    <row r="76" ht="18" customHeight="1">
      <c r="A76" s="5" t="n"/>
      <c r="B76" s="3" t="inlineStr">
        <is>
          <t>Number a request CR-1, CR-2 and on. Once it's approved it keeps its number as CH: CR-5 becomes CH-5.</t>
        </is>
      </c>
    </row>
    <row r="77" ht="46" customHeight="1">
      <c r="A77" s="5" t="n"/>
      <c r="B77" s="3" t="inlineStr">
        <is>
          <t>To approve one, change its No. from CR to CH, set Status to Approved with Decided on and Decided by, type the new Baselined figure or date on Estimates or Schedule, raise Version on Baseline, and set Applied to Yes. Original stays as it was, and the Schedule row stays where it is.</t>
        </is>
      </c>
    </row>
    <row r="78" ht="32" customHeight="1">
      <c r="A78" s="5" t="n"/>
      <c r="B78" s="3" t="inlineStr">
        <is>
          <t>After an approved change, Date and Cost read against the new Baselined figures and go back to Green. Original, Moved in all and the change's line keep the trace.</t>
        </is>
      </c>
    </row>
    <row r="79" ht="32" customHeight="1">
      <c r="A79" s="5" t="n"/>
      <c r="B79" s="3" t="inlineStr">
        <is>
          <t>Past the Owner's limit, the sponsor agrees: type their name in Sponsor agreed. With no sponsor named on Baseline, nothing past the limit clears.</t>
        </is>
      </c>
    </row>
    <row r="80" ht="32" customHeight="1">
      <c r="A80" s="5" t="n"/>
      <c r="B80" s="3" t="inlineStr">
        <is>
          <t>Scope, Cost and Date each need an answer, and 0 and None are answers. Decide a request within 14 days of Raised on.</t>
        </is>
      </c>
    </row>
    <row r="82">
      <c r="A82" s="4" t="inlineStr">
        <is>
          <t>WORKING</t>
        </is>
      </c>
    </row>
    <row r="83" ht="32" customHeight="1">
      <c r="A83" s="5" t="n"/>
      <c r="B83" s="3" t="inlineStr">
        <is>
          <t>Grey cells are worked out from what you type, and locked so they aren't typed over. There's no password.</t>
        </is>
      </c>
    </row>
    <row r="84" ht="32" customHeight="1">
      <c r="A84" s="5" t="n"/>
      <c r="B84" s="3" t="inlineStr">
        <is>
          <t>The working is in hidden columns, each with a header: I to L on Work breakdown, L to R on Estimates, R to Y on Schedule, Q and R on Changes, and J and K on Baseline. Unhide them to read it.</t>
        </is>
      </c>
    </row>
    <row r="86">
      <c r="A86" s="4" t="inlineStr">
        <is>
          <t>YOUR LOGO</t>
        </is>
      </c>
    </row>
    <row r="87" ht="32" customHeight="1">
      <c r="A87" s="5" t="n"/>
      <c r="B87" s="3" t="inlineStr">
        <is>
          <t>The FRQZ logo is in cell A1 on every tab. To use your own, delete it and insert your logo in A1, on each tab.</t>
        </is>
      </c>
    </row>
    <row r="89">
      <c r="A89" s="4" t="inlineStr">
        <is>
          <t>OTHER FILES</t>
        </is>
      </c>
    </row>
    <row r="90" ht="32" customHeight="1">
      <c r="A90" s="5" t="n"/>
      <c r="B90" s="3" t="inlineStr">
        <is>
          <t>The deliverables and cost lines on Baseline are copied by hand from the project charter, and the Share and Planned finish from the Register. Change them there first, then here.</t>
        </is>
      </c>
    </row>
    <row r="91" ht="32" customHeight="1">
      <c r="A91" s="5" t="n"/>
      <c r="B91" s="3" t="inlineStr">
        <is>
          <t>Gate dates, and who decides each gate, come from the gate map. X1 and X2 are copies of the program workbook's lines, which the RAID log points to; Note says when they were copied.</t>
        </is>
      </c>
    </row>
    <row r="92" ht="32" customHeight="1">
      <c r="A92" s="5" t="n"/>
      <c r="B92" s="3" t="inlineStr">
        <is>
          <t>The Status report, the Decision log and the project close cite a change by its CR or CH number, so keep each number for good.</t>
        </is>
      </c>
    </row>
    <row r="93" ht="32" customHeight="1">
      <c r="A93" s="5" t="n"/>
      <c r="B93" s="3" t="inlineStr">
        <is>
          <t>Anyone who opens this file sees every cell. To share it with someone outside the company, send them their rows, not the file.</t>
        </is>
      </c>
    </row>
    <row r="94" ht="46" customHeight="1">
      <c r="A94" s="5" t="n"/>
      <c r="B94" s="3" t="inlineStr">
        <is>
          <t>An assistant can check the plan for you. The brief is in frqz-plan-agent-brief.txt, beside this file. Open and save the workbook once in your spreadsheet first, so the assistant can read the results. It never types a date, a figure or a change.</t>
        </is>
      </c>
    </row>
  </sheetData>
  <sheetProtection selectLockedCells="0" selectUnlockedCells="0" sheet="1" objects="0" insertRows="1" insertHyperlinks="1" autoFilter="0" scenarios="0" formatColumns="0" deleteColumns="1" insertColumns="1" pivotTables="1" deleteRows="1" formatCells="0" formatRows="0" sort="0"/>
  <pageMargins left="0.3" right="0.3" top="0.5" bottom="0.5" header="0.2" footer="0.2"/>
  <pageSetup orientation="landscape" paperSize="9" scale="100"/>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0"/>
  </sheetPr>
  <dimension ref="A1:K55"/>
  <sheetViews>
    <sheetView showGridLines="0" tabSelected="0" workbookViewId="0">
      <selection activeCell="A1" sqref="A1"/>
    </sheetView>
  </sheetViews>
  <sheetFormatPr baseColWidth="8" defaultRowHeight="15"/>
  <cols>
    <col width="17" customWidth="1" min="1" max="1"/>
    <col width="24" customWidth="1" min="2" max="2"/>
    <col width="21" customWidth="1" min="3" max="3"/>
    <col width="18" customWidth="1" min="4" max="4"/>
    <col width="10" customWidth="1" min="5" max="5"/>
    <col width="10" customWidth="1" min="6" max="6"/>
    <col width="9" customWidth="1" min="7" max="7"/>
    <col width="10" customWidth="1" min="8" max="8"/>
    <col width="17" customWidth="1" min="9" max="9"/>
    <col width="40" customWidth="1" min="10" max="10"/>
    <col hidden="1" width="12" customWidth="1" min="11" max="11"/>
  </cols>
  <sheetData>
    <row r="1" ht="36" customHeight="1">
      <c r="B1" s="1" t="inlineStr">
        <is>
          <t>Baseline</t>
        </is>
      </c>
    </row>
    <row r="2" ht="18" customHeight="1">
      <c r="A2" s="2">
        <f>IF(TRIM(Baseline!$C$5)="","","Project: "&amp;Baseline!$C$5&amp;IF(TRIM(Baseline!$C$6)="",".",". Sits under: "&amp;Baseline!$C$6&amp;"."))</f>
        <v/>
      </c>
    </row>
    <row r="3" ht="6" customHeight="1"/>
    <row r="4" ht="18" customHeight="1">
      <c r="A4" s="9" t="inlineStr">
        <is>
          <t>DETAILS</t>
        </is>
      </c>
      <c r="B4" s="9" t="n"/>
      <c r="C4" s="9" t="n"/>
      <c r="D4" s="9" t="n"/>
      <c r="E4" s="9" t="n"/>
      <c r="F4" s="9" t="n"/>
      <c r="G4" s="9" t="n"/>
      <c r="H4" s="9" t="n"/>
      <c r="I4" s="9" t="n"/>
    </row>
    <row r="5" ht="18" customHeight="1">
      <c r="B5" s="10" t="inlineStr">
        <is>
          <t>Name</t>
        </is>
      </c>
      <c r="C5" s="11" t="n"/>
      <c r="J5" s="12" t="inlineStr">
        <is>
          <t>As of, as the checks use it</t>
        </is>
      </c>
      <c r="K5" s="13">
        <f>IF($C$14="",TODAY(),$C$14)</f>
        <v/>
      </c>
    </row>
    <row r="6" ht="18" customHeight="1">
      <c r="B6" s="10" t="inlineStr">
        <is>
          <t>Sits under</t>
        </is>
      </c>
      <c r="C6" s="11" t="n"/>
    </row>
    <row r="7" ht="18" customHeight="1">
      <c r="B7" s="10" t="inlineStr">
        <is>
          <t>Owner</t>
        </is>
      </c>
      <c r="C7" s="11" t="n"/>
      <c r="J7" s="12" t="inlineStr">
        <is>
          <t>Forecast more than the Owner's limit over Baselined cost (1 or 0)</t>
        </is>
      </c>
      <c r="K7" s="14">
        <f>IF(AND($C$48&gt;0,$C$49-$C$48&gt;N($C$16)),1,0)</f>
        <v/>
      </c>
    </row>
    <row r="8" ht="18" customHeight="1">
      <c r="B8" s="10" t="inlineStr">
        <is>
          <t>Sponsor</t>
        </is>
      </c>
      <c r="C8" s="11" t="n"/>
    </row>
    <row r="9" ht="18" customHeight="1">
      <c r="B9" s="10" t="inlineStr">
        <is>
          <t>Share of the envelope</t>
        </is>
      </c>
      <c r="C9" s="15" t="n"/>
    </row>
    <row r="10" ht="18" customHeight="1">
      <c r="B10" s="10" t="inlineStr">
        <is>
          <t>Planned finish</t>
        </is>
      </c>
      <c r="C10" s="16" t="n"/>
    </row>
    <row r="11" ht="18" customHeight="1">
      <c r="B11" s="10" t="inlineStr">
        <is>
          <t>Version</t>
        </is>
      </c>
      <c r="C11" s="11" t="n"/>
    </row>
    <row r="12" ht="18" customHeight="1">
      <c r="B12" s="10" t="inlineStr">
        <is>
          <t>Dated</t>
        </is>
      </c>
      <c r="C12" s="16" t="n"/>
    </row>
    <row r="13" ht="18" customHeight="1">
      <c r="B13" s="10" t="inlineStr">
        <is>
          <t>Baselined on</t>
        </is>
      </c>
      <c r="C13" s="16" t="n"/>
    </row>
    <row r="14" ht="18" customHeight="1">
      <c r="B14" s="10" t="inlineStr">
        <is>
          <t>As of</t>
        </is>
      </c>
      <c r="C14" s="16" t="n"/>
      <c r="D14" s="17">
        <f>IF(ISNUMBER($C$14),"","Today's date is used.")</f>
        <v/>
      </c>
    </row>
    <row r="15" ht="31" customHeight="1">
      <c r="B15" s="10" t="inlineStr">
        <is>
          <t>Owner's limit, working days</t>
        </is>
      </c>
      <c r="C15" s="18" t="n"/>
    </row>
    <row r="16" ht="18" customHeight="1">
      <c r="B16" s="10" t="inlineStr">
        <is>
          <t>Owner's limit, cost</t>
        </is>
      </c>
      <c r="C16" s="15" t="n"/>
    </row>
    <row r="17" ht="31" customHeight="1">
      <c r="B17" s="10" t="inlineStr">
        <is>
          <t>Cost tolerance (percent)</t>
        </is>
      </c>
      <c r="C17" s="18" t="n"/>
    </row>
    <row r="18" ht="18" customHeight="1">
      <c r="B18" s="10" t="inlineStr">
        <is>
          <t>Unit</t>
        </is>
      </c>
      <c r="C18" s="11" t="n"/>
    </row>
    <row r="19" ht="18" customHeight="1">
      <c r="B19" s="10" t="inlineStr">
        <is>
          <t>Range low</t>
        </is>
      </c>
      <c r="C19" s="15" t="n"/>
    </row>
    <row r="20" ht="18" customHeight="1">
      <c r="B20" s="10" t="inlineStr">
        <is>
          <t>Range high</t>
        </is>
      </c>
      <c r="C20" s="15" t="n"/>
    </row>
    <row r="21" ht="18" customHeight="1">
      <c r="B21" s="10" t="inlineStr">
        <is>
          <t>Forecast given by</t>
        </is>
      </c>
      <c r="C21" s="11" t="n"/>
    </row>
    <row r="22" ht="18" customHeight="1">
      <c r="B22" s="10" t="inlineStr">
        <is>
          <t>Forecast given on</t>
        </is>
      </c>
      <c r="C22" s="16" t="n"/>
    </row>
    <row r="23" ht="31" customHeight="1">
      <c r="B23" s="10" t="inlineStr">
        <is>
          <t>Date tolerance (working days)</t>
        </is>
      </c>
      <c r="C23" s="18" t="n"/>
    </row>
    <row r="24" ht="18" customHeight="1">
      <c r="A24" s="9" t="inlineStr">
        <is>
          <t>DELIVERABLES</t>
        </is>
      </c>
      <c r="B24" s="9" t="n"/>
      <c r="C24" s="9" t="n"/>
      <c r="D24" s="9" t="n"/>
      <c r="E24" s="9" t="n"/>
      <c r="F24" s="9" t="n"/>
      <c r="G24" s="9" t="n"/>
      <c r="H24" s="9" t="n"/>
      <c r="I24" s="9" t="n"/>
    </row>
    <row r="25" ht="18" customHeight="1">
      <c r="B25" s="19" t="inlineStr">
        <is>
          <t>Id</t>
        </is>
      </c>
      <c r="C25" s="19" t="inlineStr">
        <is>
          <t>Deliverable</t>
        </is>
      </c>
      <c r="D25" s="19" t="inlineStr">
        <is>
          <t>Accepted by</t>
        </is>
      </c>
      <c r="J25" s="20" t="inlineStr">
        <is>
          <t>Items on Work breakdown serving it</t>
        </is>
      </c>
      <c r="K25" s="21" t="inlineStr">
        <is>
          <t>Helper, worked out</t>
        </is>
      </c>
    </row>
    <row r="26" ht="18" customHeight="1">
      <c r="B26" s="22" t="n"/>
      <c r="C26" s="23" t="n"/>
      <c r="D26" s="23" t="n"/>
      <c r="K26" s="24">
        <f>IF(TRIM($B26)="","",SUMPRODUCT(--('Work breakdown'!$C$6:$C$65=$B26)))</f>
        <v/>
      </c>
    </row>
    <row r="27" ht="18" customHeight="1">
      <c r="B27" s="22" t="n"/>
      <c r="C27" s="23" t="n"/>
      <c r="D27" s="23" t="n"/>
      <c r="K27" s="24">
        <f>IF(TRIM($B27)="","",SUMPRODUCT(--('Work breakdown'!$C$6:$C$65=$B27)))</f>
        <v/>
      </c>
    </row>
    <row r="28" ht="18" customHeight="1">
      <c r="B28" s="22" t="n"/>
      <c r="C28" s="23" t="n"/>
      <c r="D28" s="23" t="n"/>
      <c r="K28" s="24">
        <f>IF(TRIM($B28)="","",SUMPRODUCT(--('Work breakdown'!$C$6:$C$65=$B28)))</f>
        <v/>
      </c>
    </row>
    <row r="29" ht="18" customHeight="1">
      <c r="B29" s="22" t="n"/>
      <c r="C29" s="23" t="n"/>
      <c r="D29" s="23" t="n"/>
      <c r="K29" s="24">
        <f>IF(TRIM($B29)="","",SUMPRODUCT(--('Work breakdown'!$C$6:$C$65=$B29)))</f>
        <v/>
      </c>
    </row>
    <row r="30" ht="18" customHeight="1">
      <c r="B30" s="22" t="n"/>
      <c r="C30" s="23" t="n"/>
      <c r="D30" s="23" t="n"/>
      <c r="K30" s="24">
        <f>IF(TRIM($B30)="","",SUMPRODUCT(--('Work breakdown'!$C$6:$C$65=$B30)))</f>
        <v/>
      </c>
    </row>
    <row r="31" ht="18" customHeight="1">
      <c r="B31" s="22" t="n"/>
      <c r="C31" s="23" t="n"/>
      <c r="D31" s="23" t="n"/>
      <c r="K31" s="24">
        <f>IF(TRIM($B31)="","",SUMPRODUCT(--('Work breakdown'!$C$6:$C$65=$B31)))</f>
        <v/>
      </c>
    </row>
    <row r="32" ht="18" customHeight="1">
      <c r="B32" s="22" t="n"/>
      <c r="C32" s="23" t="n"/>
      <c r="D32" s="23" t="n"/>
      <c r="K32" s="24">
        <f>IF(TRIM($B32)="","",SUMPRODUCT(--('Work breakdown'!$C$6:$C$65=$B32)))</f>
        <v/>
      </c>
    </row>
    <row r="33" ht="18" customHeight="1">
      <c r="B33" s="22" t="n"/>
      <c r="C33" s="23" t="n"/>
      <c r="D33" s="23" t="n"/>
      <c r="K33" s="24">
        <f>IF(TRIM($B33)="","",SUMPRODUCT(--('Work breakdown'!$C$6:$C$65=$B33)))</f>
        <v/>
      </c>
    </row>
    <row r="35" ht="18" customHeight="1">
      <c r="A35" s="9" t="inlineStr">
        <is>
          <t>COST LINES</t>
        </is>
      </c>
      <c r="B35" s="9" t="n"/>
      <c r="C35" s="9" t="n"/>
      <c r="D35" s="9" t="n"/>
      <c r="E35" s="9" t="n"/>
      <c r="F35" s="9" t="n"/>
      <c r="G35" s="9" t="n"/>
      <c r="H35" s="9" t="n"/>
      <c r="I35" s="9" t="n"/>
    </row>
    <row r="36" ht="42" customHeight="1">
      <c r="B36" s="19" t="inlineStr">
        <is>
          <t>Line</t>
        </is>
      </c>
      <c r="C36" s="19" t="inlineStr">
        <is>
          <t>Item</t>
        </is>
      </c>
      <c r="D36" s="19" t="inlineStr">
        <is>
          <t>Charter amount</t>
        </is>
      </c>
      <c r="E36" s="21" t="inlineStr">
        <is>
          <t>Baselined now</t>
        </is>
      </c>
      <c r="F36" s="21" t="inlineStr">
        <is>
          <t>Moved by approved changes</t>
        </is>
      </c>
      <c r="G36" s="21" t="inlineStr">
        <is>
          <t>At v1</t>
        </is>
      </c>
      <c r="H36" s="19" t="inlineStr">
        <is>
          <t>Spent to date</t>
        </is>
      </c>
      <c r="I36" s="21" t="inlineStr">
        <is>
          <t>Match</t>
        </is>
      </c>
    </row>
    <row r="37" ht="18" customHeight="1">
      <c r="B37" s="23" t="n"/>
      <c r="C37" s="25" t="n"/>
      <c r="D37" s="26" t="n"/>
      <c r="E37" s="27">
        <f>IF($C37="","",SUMPRODUCT(--(((Estimates!$A$6:$A$45=$C37)+(LEFT(Estimates!$A$6:$A$45,LEN($C37)+1)=$C37&amp;"."))&gt;0),Estimates!$Q$6:$Q$45))</f>
        <v/>
      </c>
      <c r="F37" s="27">
        <f>IF($C37="","",SUMPRODUCT(--(Changes!$I$6:$I$55="Approved"),--(((Changes!$E$6:$E$55=$C37)+(LEFT(Changes!$E$6:$E$55,LEN($C37)+1)=$C37&amp;"."))&gt;0),Changes!$G$6:$G$55))</f>
        <v/>
      </c>
      <c r="G37" s="27">
        <f>IF($C37="","",IF($C$13="",SUMPRODUCT(--(((Estimates!$A$6:$A$45=$C37)+(LEFT(Estimates!$A$6:$A$45,LEN($C37)+1)=$C37&amp;"."))&gt;0),Estimates!$F$6:$F$45),E37-F37))</f>
        <v/>
      </c>
      <c r="H37" s="26" t="n"/>
      <c r="I37" s="28">
        <f>IF($C37="","",IF(G37=N(D37),"○ Clear","△ At v1 the plan had "&amp;TEXT(G37,"#,##0")&amp;"; the charter line has "&amp;TEXT(N(D37),"#,##0")))</f>
        <v/>
      </c>
    </row>
    <row r="38" ht="18" customHeight="1">
      <c r="B38" s="23" t="n"/>
      <c r="C38" s="25" t="n"/>
      <c r="D38" s="26" t="n"/>
      <c r="E38" s="27">
        <f>IF($C38="","",SUMPRODUCT(--(((Estimates!$A$6:$A$45=$C38)+(LEFT(Estimates!$A$6:$A$45,LEN($C38)+1)=$C38&amp;"."))&gt;0),Estimates!$Q$6:$Q$45))</f>
        <v/>
      </c>
      <c r="F38" s="27">
        <f>IF($C38="","",SUMPRODUCT(--(Changes!$I$6:$I$55="Approved"),--(((Changes!$E$6:$E$55=$C38)+(LEFT(Changes!$E$6:$E$55,LEN($C38)+1)=$C38&amp;"."))&gt;0),Changes!$G$6:$G$55))</f>
        <v/>
      </c>
      <c r="G38" s="27">
        <f>IF($C38="","",IF($C$13="",SUMPRODUCT(--(((Estimates!$A$6:$A$45=$C38)+(LEFT(Estimates!$A$6:$A$45,LEN($C38)+1)=$C38&amp;"."))&gt;0),Estimates!$F$6:$F$45),E38-F38))</f>
        <v/>
      </c>
      <c r="H38" s="26" t="n"/>
      <c r="I38" s="28">
        <f>IF($C38="","",IF(G38=N(D38),"○ Clear","△ At v1 the plan had "&amp;TEXT(G38,"#,##0")&amp;"; the charter line has "&amp;TEXT(N(D38),"#,##0")))</f>
        <v/>
      </c>
    </row>
    <row r="39" ht="18" customHeight="1">
      <c r="B39" s="23" t="n"/>
      <c r="C39" s="25" t="n"/>
      <c r="D39" s="26" t="n"/>
      <c r="E39" s="27">
        <f>IF($C39="","",SUMPRODUCT(--(((Estimates!$A$6:$A$45=$C39)+(LEFT(Estimates!$A$6:$A$45,LEN($C39)+1)=$C39&amp;"."))&gt;0),Estimates!$Q$6:$Q$45))</f>
        <v/>
      </c>
      <c r="F39" s="27">
        <f>IF($C39="","",SUMPRODUCT(--(Changes!$I$6:$I$55="Approved"),--(((Changes!$E$6:$E$55=$C39)+(LEFT(Changes!$E$6:$E$55,LEN($C39)+1)=$C39&amp;"."))&gt;0),Changes!$G$6:$G$55))</f>
        <v/>
      </c>
      <c r="G39" s="27">
        <f>IF($C39="","",IF($C$13="",SUMPRODUCT(--(((Estimates!$A$6:$A$45=$C39)+(LEFT(Estimates!$A$6:$A$45,LEN($C39)+1)=$C39&amp;"."))&gt;0),Estimates!$F$6:$F$45),E39-F39))</f>
        <v/>
      </c>
      <c r="H39" s="26" t="n"/>
      <c r="I39" s="28">
        <f>IF($C39="","",IF(G39=N(D39),"○ Clear","△ At v1 the plan had "&amp;TEXT(G39,"#,##0")&amp;"; the charter line has "&amp;TEXT(N(D39),"#,##0")))</f>
        <v/>
      </c>
    </row>
    <row r="40" ht="18" customHeight="1">
      <c r="B40" s="23" t="n"/>
      <c r="C40" s="25" t="n"/>
      <c r="D40" s="26" t="n"/>
      <c r="E40" s="27">
        <f>IF($C40="","",SUMPRODUCT(--(((Estimates!$A$6:$A$45=$C40)+(LEFT(Estimates!$A$6:$A$45,LEN($C40)+1)=$C40&amp;"."))&gt;0),Estimates!$Q$6:$Q$45))</f>
        <v/>
      </c>
      <c r="F40" s="27">
        <f>IF($C40="","",SUMPRODUCT(--(Changes!$I$6:$I$55="Approved"),--(((Changes!$E$6:$E$55=$C40)+(LEFT(Changes!$E$6:$E$55,LEN($C40)+1)=$C40&amp;"."))&gt;0),Changes!$G$6:$G$55))</f>
        <v/>
      </c>
      <c r="G40" s="27">
        <f>IF($C40="","",IF($C$13="",SUMPRODUCT(--(((Estimates!$A$6:$A$45=$C40)+(LEFT(Estimates!$A$6:$A$45,LEN($C40)+1)=$C40&amp;"."))&gt;0),Estimates!$F$6:$F$45),E40-F40))</f>
        <v/>
      </c>
      <c r="H40" s="26" t="n"/>
      <c r="I40" s="28">
        <f>IF($C40="","",IF(G40=N(D40),"○ Clear","△ At v1 the plan had "&amp;TEXT(G40,"#,##0")&amp;"; the charter line has "&amp;TEXT(N(D40),"#,##0")))</f>
        <v/>
      </c>
    </row>
    <row r="41" ht="18" customHeight="1">
      <c r="B41" s="23" t="n"/>
      <c r="C41" s="25" t="n"/>
      <c r="D41" s="26" t="n"/>
      <c r="E41" s="27">
        <f>IF($C41="","",SUMPRODUCT(--(((Estimates!$A$6:$A$45=$C41)+(LEFT(Estimates!$A$6:$A$45,LEN($C41)+1)=$C41&amp;"."))&gt;0),Estimates!$Q$6:$Q$45))</f>
        <v/>
      </c>
      <c r="F41" s="27">
        <f>IF($C41="","",SUMPRODUCT(--(Changes!$I$6:$I$55="Approved"),--(((Changes!$E$6:$E$55=$C41)+(LEFT(Changes!$E$6:$E$55,LEN($C41)+1)=$C41&amp;"."))&gt;0),Changes!$G$6:$G$55))</f>
        <v/>
      </c>
      <c r="G41" s="27">
        <f>IF($C41="","",IF($C$13="",SUMPRODUCT(--(((Estimates!$A$6:$A$45=$C41)+(LEFT(Estimates!$A$6:$A$45,LEN($C41)+1)=$C41&amp;"."))&gt;0),Estimates!$F$6:$F$45),E41-F41))</f>
        <v/>
      </c>
      <c r="H41" s="26" t="n"/>
      <c r="I41" s="28">
        <f>IF($C41="","",IF(G41=N(D41),"○ Clear","△ At v1 the plan had "&amp;TEXT(G41,"#,##0")&amp;"; the charter line has "&amp;TEXT(N(D41),"#,##0")))</f>
        <v/>
      </c>
    </row>
    <row r="42" ht="18" customHeight="1">
      <c r="B42" s="23" t="n"/>
      <c r="C42" s="25" t="n"/>
      <c r="D42" s="26" t="n"/>
      <c r="E42" s="27">
        <f>IF($C42="","",SUMPRODUCT(--(((Estimates!$A$6:$A$45=$C42)+(LEFT(Estimates!$A$6:$A$45,LEN($C42)+1)=$C42&amp;"."))&gt;0),Estimates!$Q$6:$Q$45))</f>
        <v/>
      </c>
      <c r="F42" s="27">
        <f>IF($C42="","",SUMPRODUCT(--(Changes!$I$6:$I$55="Approved"),--(((Changes!$E$6:$E$55=$C42)+(LEFT(Changes!$E$6:$E$55,LEN($C42)+1)=$C42&amp;"."))&gt;0),Changes!$G$6:$G$55))</f>
        <v/>
      </c>
      <c r="G42" s="27">
        <f>IF($C42="","",IF($C$13="",SUMPRODUCT(--(((Estimates!$A$6:$A$45=$C42)+(LEFT(Estimates!$A$6:$A$45,LEN($C42)+1)=$C42&amp;"."))&gt;0),Estimates!$F$6:$F$45),E42-F42))</f>
        <v/>
      </c>
      <c r="H42" s="26" t="n"/>
      <c r="I42" s="28">
        <f>IF($C42="","",IF(G42=N(D42),"○ Clear","△ At v1 the plan had "&amp;TEXT(G42,"#,##0")&amp;"; the charter line has "&amp;TEXT(N(D42),"#,##0")))</f>
        <v/>
      </c>
    </row>
    <row r="43" ht="18" customHeight="1">
      <c r="B43" s="23" t="n"/>
      <c r="C43" s="25" t="n"/>
      <c r="D43" s="26" t="n"/>
      <c r="E43" s="27">
        <f>IF($C43="","",SUMPRODUCT(--(((Estimates!$A$6:$A$45=$C43)+(LEFT(Estimates!$A$6:$A$45,LEN($C43)+1)=$C43&amp;"."))&gt;0),Estimates!$Q$6:$Q$45))</f>
        <v/>
      </c>
      <c r="F43" s="27">
        <f>IF($C43="","",SUMPRODUCT(--(Changes!$I$6:$I$55="Approved"),--(((Changes!$E$6:$E$55=$C43)+(LEFT(Changes!$E$6:$E$55,LEN($C43)+1)=$C43&amp;"."))&gt;0),Changes!$G$6:$G$55))</f>
        <v/>
      </c>
      <c r="G43" s="27">
        <f>IF($C43="","",IF($C$13="",SUMPRODUCT(--(((Estimates!$A$6:$A$45=$C43)+(LEFT(Estimates!$A$6:$A$45,LEN($C43)+1)=$C43&amp;"."))&gt;0),Estimates!$F$6:$F$45),E43-F43))</f>
        <v/>
      </c>
      <c r="H43" s="26" t="n"/>
      <c r="I43" s="28">
        <f>IF($C43="","",IF(G43=N(D43),"○ Clear","△ At v1 the plan had "&amp;TEXT(G43,"#,##0")&amp;"; the charter line has "&amp;TEXT(N(D43),"#,##0")))</f>
        <v/>
      </c>
    </row>
    <row r="44" ht="18" customHeight="1">
      <c r="B44" s="23" t="n"/>
      <c r="C44" s="25" t="n"/>
      <c r="D44" s="26" t="n"/>
      <c r="E44" s="27">
        <f>IF($C44="","",SUMPRODUCT(--(((Estimates!$A$6:$A$45=$C44)+(LEFT(Estimates!$A$6:$A$45,LEN($C44)+1)=$C44&amp;"."))&gt;0),Estimates!$Q$6:$Q$45))</f>
        <v/>
      </c>
      <c r="F44" s="27">
        <f>IF($C44="","",SUMPRODUCT(--(Changes!$I$6:$I$55="Approved"),--(((Changes!$E$6:$E$55=$C44)+(LEFT(Changes!$E$6:$E$55,LEN($C44)+1)=$C44&amp;"."))&gt;0),Changes!$G$6:$G$55))</f>
        <v/>
      </c>
      <c r="G44" s="27">
        <f>IF($C44="","",IF($C$13="",SUMPRODUCT(--(((Estimates!$A$6:$A$45=$C44)+(LEFT(Estimates!$A$6:$A$45,LEN($C44)+1)=$C44&amp;"."))&gt;0),Estimates!$F$6:$F$45),E44-F44))</f>
        <v/>
      </c>
      <c r="H44" s="26" t="n"/>
      <c r="I44" s="28">
        <f>IF($C44="","",IF(G44=N(D44),"○ Clear","△ At v1 the plan had "&amp;TEXT(G44,"#,##0")&amp;"; the charter line has "&amp;TEXT(N(D44),"#,##0")))</f>
        <v/>
      </c>
    </row>
    <row r="45" ht="18" customHeight="1">
      <c r="B45" s="29" t="inlineStr">
        <is>
          <t>Total</t>
        </is>
      </c>
      <c r="C45" s="30" t="n"/>
      <c r="D45" s="31">
        <f>SUM(D37:D44)</f>
        <v/>
      </c>
      <c r="E45" s="31">
        <f>SUM(E37:E44)</f>
        <v/>
      </c>
      <c r="F45" s="31">
        <f>SUM(F37:F44)</f>
        <v/>
      </c>
      <c r="G45" s="31">
        <f>SUM(G37:G44)</f>
        <v/>
      </c>
      <c r="H45" s="31">
        <f>SUM(H37:H44)</f>
        <v/>
      </c>
      <c r="I45" s="30" t="n"/>
    </row>
    <row r="47" ht="18" customHeight="1">
      <c r="A47" s="9" t="inlineStr">
        <is>
          <t>READINGS</t>
        </is>
      </c>
      <c r="B47" s="9" t="n"/>
      <c r="C47" s="9" t="n"/>
      <c r="D47" s="9" t="n"/>
      <c r="E47" s="9" t="n"/>
      <c r="F47" s="9" t="n"/>
      <c r="G47" s="9" t="n"/>
      <c r="H47" s="9" t="n"/>
      <c r="I47" s="9" t="n"/>
    </row>
    <row r="48" ht="18" customHeight="1">
      <c r="B48" s="10" t="inlineStr">
        <is>
          <t>Baselined cost</t>
        </is>
      </c>
      <c r="C48" s="32">
        <f>SUM(Estimates!$Q$6:$Q$45)</f>
        <v/>
      </c>
    </row>
    <row r="49" ht="18" customHeight="1">
      <c r="B49" s="10" t="inlineStr">
        <is>
          <t>Forecast at completion</t>
        </is>
      </c>
      <c r="C49" s="32">
        <f>SUM(Estimates!$P$6:$P$45)</f>
        <v/>
      </c>
      <c r="D49" s="17">
        <f>IF(TRIM($C$21)="",IF($C$49&gt;0,"No one has given this forecast yet.",""),"Given by "&amp;$C$21&amp;IF(ISNUMBER($C$22),", "&amp;TEXT($C$22,"ddd d mmm yyyy"),""))</f>
        <v/>
      </c>
    </row>
    <row r="50" ht="18" customHeight="1">
      <c r="B50" s="10" t="inlineStr">
        <is>
          <t>Spent to date</t>
        </is>
      </c>
      <c r="C50" s="32">
        <f>SUM(H37:H44)</f>
        <v/>
      </c>
    </row>
    <row r="51" ht="18" customHeight="1">
      <c r="B51" s="10" t="inlineStr">
        <is>
          <t>Date</t>
        </is>
      </c>
      <c r="C51" s="33">
        <f>IF(COUNTIF(Schedule!$N$6:$N$44,"Red")&gt;0,"Red",IF(COUNTIF(Schedule!$N$6:$N$44,"Amber")&gt;0,"Amber",IF(COUNTIF(Schedule!$N$6:$N$44,"Green")&gt;0,"Green","Not read")))</f>
        <v/>
      </c>
    </row>
    <row r="52" ht="18" customHeight="1">
      <c r="B52" s="10" t="inlineStr">
        <is>
          <t>Cost</t>
        </is>
      </c>
      <c r="C52" s="33">
        <f>IF($C$48=0,"Not read",IF($C$49&lt;=$C$48,"Green",IF($C$49-$C$48&lt;=$C$48*N($C$17)/100,"Amber","Red")))</f>
        <v/>
      </c>
    </row>
    <row r="53" ht="18" customHeight="1">
      <c r="B53" s="10" t="inlineStr">
        <is>
          <t>Scope</t>
        </is>
      </c>
      <c r="C53" s="33">
        <f>IF($C$13="","Not read",IF(SUM(Estimates!$R$6:$R$45)&gt;0,"Red",IF(SUMPRODUCT(--(Changes!$I$6:$I$55="Raised"),--(Changes!$F$6:$F$55&lt;&gt;"None"),--(Changes!$F$6:$F$55&lt;&gt;""))&gt;0,"Amber","Green")))</f>
        <v/>
      </c>
    </row>
    <row r="54" ht="18" customHeight="1">
      <c r="B54" s="10" t="inlineStr">
        <is>
          <t>Overall</t>
        </is>
      </c>
      <c r="C54" s="33">
        <f>IF(COUNTIF($C$51:$C$53,"Red")&gt;0,"Red",IF(COUNTIF($C$51:$C$53,"Amber")&gt;0,"Amber",IF(COUNTIF($C$51:$C$53,"Green")&gt;0,"Green","Not read")))</f>
        <v/>
      </c>
    </row>
    <row r="55" ht="18" customHeight="1">
      <c r="B55" s="10" t="inlineStr">
        <is>
          <t>Owner's limit</t>
        </is>
      </c>
      <c r="C55" s="34">
        <f>IF(AND($C$15="",$C$16=""),"",N($C$15)&amp;" working days; "&amp;TEXT(N($C$16),"#,##0"))</f>
        <v/>
      </c>
    </row>
  </sheetData>
  <sheetProtection selectLockedCells="0" selectUnlockedCells="0" sheet="1" objects="0" insertRows="1" insertHyperlinks="1" autoFilter="0" scenarios="0" formatColumns="0" deleteColumns="1" insertColumns="1" pivotTables="1" deleteRows="1" formatCells="0" formatRows="0" sort="0"/>
  <conditionalFormatting sqref="I37:I44">
    <cfRule type="expression" priority="1" dxfId="0" stopIfTrue="0">
      <formula>LEFT($I37,1)="△"</formula>
    </cfRule>
  </conditionalFormatting>
  <dataValidations count="16">
    <dataValidation sqref="C10" showDropDown="0" showInputMessage="0" showErrorMessage="1" allowBlank="1" errorTitle="Check this entry" error="Type a date, such as 30 Jun 2027." type="date" errorStyle="stop" operator="between">
      <formula1>36526</formula1>
      <formula2>73415</formula2>
    </dataValidation>
    <dataValidation sqref="C12" showDropDown="0" showInputMessage="0" showErrorMessage="1" allowBlank="1" errorTitle="Check this entry" error="Type a date, such as 30 Jun 2027." type="date" errorStyle="stop" operator="between">
      <formula1>36526</formula1>
      <formula2>73415</formula2>
    </dataValidation>
    <dataValidation sqref="C13" showDropDown="0" showInputMessage="0" showErrorMessage="1" allowBlank="1" errorTitle="Check this entry" error="Type a date, such as 30 Jun 2027." type="date" errorStyle="stop" operator="between">
      <formula1>36526</formula1>
      <formula2>73415</formula2>
    </dataValidation>
    <dataValidation sqref="C14" showDropDown="0" showInputMessage="0" showErrorMessage="1" allowBlank="1" errorTitle="Check this entry" error="Type a date, such as 30 Jun 2027." type="date" errorStyle="stop" operator="between">
      <formula1>36526</formula1>
      <formula2>73415</formula2>
    </dataValidation>
    <dataValidation sqref="C22" showDropDown="0" showInputMessage="0" showErrorMessage="1" allowBlank="1" errorTitle="Check this entry" error="Type a date, such as 30 Jun 2027." type="date" errorStyle="stop" operator="between">
      <formula1>36526</formula1>
      <formula2>73415</formula2>
    </dataValidation>
    <dataValidation sqref="C9" showDropDown="0" showInputMessage="0" showErrorMessage="1" allowBlank="1" errorTitle="Check this entry" error="Type a number, 0 or more, in the Unit on Baseline." type="decimal" errorStyle="stop" operator="between">
      <formula1>0</formula1>
      <formula2>1000000000000</formula2>
    </dataValidation>
    <dataValidation sqref="C16" showDropDown="0" showInputMessage="0" showErrorMessage="1" allowBlank="1" errorTitle="Check this entry" error="Type a number, 0 or more, in the Unit on Baseline." type="decimal" errorStyle="stop" operator="between">
      <formula1>0</formula1>
      <formula2>1000000000000</formula2>
    </dataValidation>
    <dataValidation sqref="C19" showDropDown="0" showInputMessage="0" showErrorMessage="1" allowBlank="1" errorTitle="Check this entry" error="Type a number, 0 or more, in the Unit on Baseline." type="decimal" errorStyle="stop" operator="between">
      <formula1>0</formula1>
      <formula2>1000000000000</formula2>
    </dataValidation>
    <dataValidation sqref="C20" showDropDown="0" showInputMessage="0" showErrorMessage="1" allowBlank="1" errorTitle="Check this entry" error="Type a number, 0 or more, in the Unit on Baseline." type="decimal" errorStyle="stop" operator="between">
      <formula1>0</formula1>
      <formula2>1000000000000</formula2>
    </dataValidation>
    <dataValidation sqref="C15" showDropDown="0" showInputMessage="0" showErrorMessage="1" allowBlank="1" errorTitle="Check this entry" error="Type a whole number of working days from 0 to 60." type="whole" errorStyle="stop" operator="between">
      <formula1>0</formula1>
      <formula2>60</formula2>
    </dataValidation>
    <dataValidation sqref="C23" showDropDown="0" showInputMessage="0" showErrorMessage="1" allowBlank="1" errorTitle="Check this entry" error="Type a whole number of working days from 0 to 60." type="whole" errorStyle="stop" operator="between">
      <formula1>0</formula1>
      <formula2>60</formula2>
    </dataValidation>
    <dataValidation sqref="C17" showDropDown="0" showInputMessage="0" showErrorMessage="1" allowBlank="1" errorTitle="Check this entry" error="Type a percent from 0 to 100, such as 10." type="decimal" errorStyle="stop" operator="between">
      <formula1>0</formula1>
      <formula2>100</formula2>
    </dataValidation>
    <dataValidation sqref="C18" showDropDown="0" showInputMessage="0" showErrorMessage="1" allowBlank="1" errorTitle="Check this entry" error="Pick Money or Days." type="list" errorStyle="stop">
      <formula1>"Money,Days"</formula1>
    </dataValidation>
    <dataValidation sqref="B26:B33" showDropDown="0" showInputMessage="0" showErrorMessage="1" allowBlank="1" errorTitle="Check this entry" error="Another deliverable already has this Id." type="custom" errorStyle="stop">
      <formula1>SUMPRODUCT(--($B$26:$B$33=B26))=1</formula1>
    </dataValidation>
    <dataValidation sqref="D37:D44" showDropDown="0" showInputMessage="0" showErrorMessage="1" allowBlank="1" errorTitle="Check this entry" error="Type a number, 0 or more, in the Unit on Baseline." type="decimal" errorStyle="stop" operator="between">
      <formula1>0</formula1>
      <formula2>1000000000000</formula2>
    </dataValidation>
    <dataValidation sqref="H37:H44" showDropDown="0" showInputMessage="0" showErrorMessage="1" allowBlank="1" errorTitle="Check this entry" error="Type a number, 0 or more, in the Unit on Baseline." type="decimal" errorStyle="stop" operator="between">
      <formula1>0</formula1>
      <formula2>1000000000000</formula2>
    </dataValidation>
  </dataValidations>
  <pageMargins left="0.3" right="0.3" top="0.5" bottom="0.5" header="0.2" footer="0.2"/>
  <pageSetup orientation="landscape" paperSize="9" scale="100"/>
  <drawing xmlns:r="http://schemas.openxmlformats.org/officeDocument/2006/relationships" r:id="rId1"/>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fitToPage="0"/>
  </sheetPr>
  <dimension ref="A1:L65"/>
  <sheetViews>
    <sheetView showGridLines="0" tabSelected="0" workbookViewId="0">
      <pane xSplit="2" ySplit="5" topLeftCell="C6" activePane="bottomRight" state="frozen"/>
      <selection pane="topRight"/>
      <selection pane="bottomLeft"/>
      <selection pane="bottomRight" activeCell="A1" sqref="A1"/>
    </sheetView>
  </sheetViews>
  <sheetFormatPr baseColWidth="8" defaultRowHeight="15"/>
  <cols>
    <col width="17" customWidth="1" min="1" max="1"/>
    <col width="30" customWidth="1" min="2" max="2"/>
    <col width="11" customWidth="1" min="3" max="3"/>
    <col width="22" customWidth="1" min="4" max="4"/>
    <col width="22" customWidth="1" min="5" max="5"/>
    <col width="10" customWidth="1" min="6" max="6"/>
    <col width="24" customWidth="1" min="7" max="7"/>
    <col width="2" customWidth="1" min="8" max="8"/>
    <col hidden="1" outlineLevel="1" width="12" customWidth="1" min="9" max="12"/>
    <col width="12" customWidth="1" min="10" max="10"/>
    <col width="12" customWidth="1" min="11" max="11"/>
    <col width="14" customWidth="1" min="12" max="12"/>
  </cols>
  <sheetData>
    <row r="1" ht="36" customHeight="1">
      <c r="B1" s="1" t="inlineStr">
        <is>
          <t>Work breakdown</t>
        </is>
      </c>
    </row>
    <row r="2" ht="18" customHeight="1">
      <c r="A2" s="2">
        <f>IF(TRIM(Baseline!$C$5)="","","Project: "&amp;Baseline!$C$5&amp;IF(TRIM(Baseline!$C$6)="",".",". Sits under: "&amp;Baseline!$C$6&amp;"."))</f>
        <v/>
      </c>
    </row>
    <row r="3" ht="6" customHeight="1"/>
    <row r="4" ht="18" customHeight="1">
      <c r="A4" s="9" t="inlineStr">
        <is>
          <t>ITEMS</t>
        </is>
      </c>
      <c r="B4" s="9" t="n"/>
      <c r="C4" s="9" t="n"/>
      <c r="D4" s="9" t="n"/>
      <c r="E4" s="9" t="n"/>
      <c r="F4" s="9" t="n"/>
      <c r="G4" s="9" t="n"/>
    </row>
    <row r="5" ht="44" customHeight="1">
      <c r="A5" s="19" t="inlineStr">
        <is>
          <t>No.</t>
        </is>
      </c>
      <c r="B5" s="19" t="inlineStr">
        <is>
          <t>Item</t>
        </is>
      </c>
      <c r="C5" s="19" t="inlineStr">
        <is>
          <t>Deliverable</t>
        </is>
      </c>
      <c r="D5" s="19" t="inlineStr">
        <is>
          <t>Owner</t>
        </is>
      </c>
      <c r="E5" s="19" t="inlineStr">
        <is>
          <t>Accepted by</t>
        </is>
      </c>
      <c r="F5" s="21" t="inlineStr">
        <is>
          <t>Forecast</t>
        </is>
      </c>
      <c r="G5" s="21" t="inlineStr">
        <is>
          <t>Row check</t>
        </is>
      </c>
      <c r="I5" s="21" t="inlineStr">
        <is>
          <t>Parts below it</t>
        </is>
      </c>
      <c r="J5" s="21" t="inlineStr">
        <is>
          <t>Rows on Estimates for it</t>
        </is>
      </c>
      <c r="K5" s="21" t="inlineStr">
        <is>
          <t>Row in use (1 or 0)</t>
        </is>
      </c>
      <c r="L5" s="21" t="inlineStr">
        <is>
          <t>Fails: work nobody owns or asked for (1 or 0)</t>
        </is>
      </c>
    </row>
    <row r="6">
      <c r="A6" s="25" t="n"/>
      <c r="B6" s="23" t="n"/>
      <c r="C6" s="35" t="n"/>
      <c r="D6" s="23" t="n"/>
      <c r="E6" s="23" t="n"/>
      <c r="F6" s="27">
        <f>IF($K6=0,"",SUMPRODUCT(--(((Estimates!$A$6:$A$45=$A6)+(LEFT(Estimates!$A$6:$A$45,LEN($A6)+1)=$A6&amp;"."))&gt;0),Estimates!$P$6:$P$45))</f>
        <v/>
      </c>
      <c r="G6" s="28">
        <f>IF($K6=0,"",IF(AND(TRIM($A6)&lt;&gt;"",SUMPRODUCT(--($A$6:$A$65=$A6))&gt;1),"△ Number used twice",IF(TRIM($A6)="","△ No number",IF(TRIM($B6)="","△ No name",IF(TRIM($D6)="","△ No owner",IF(TRIM($E6)="","△ No one accepts it",IF($I6=0,IF(TRIM($C6)="","△ Serves no deliverable",IF(SUMPRODUCT(--(Baseline!$B$26:$B$33=$C6))=0,"△ "&amp;$C6&amp;" isn't a deliverable on Baseline",IF(LEFT(TRIM($E6),MIN(FIND(" ",TRIM($E6)&amp;" "),FIND("(",TRIM($E6)&amp;"("))-1)&lt;&gt;LEFT(TRIM(INDEX(Baseline!$D$26:$D$33,MATCH($C6,Baseline!$B$26:$B$33,0))),MIN(FIND(" ",TRIM(INDEX(Baseline!$D$26:$D$33,MATCH($C6,Baseline!$B$26:$B$33,0)))&amp;" "),FIND("(",TRIM(INDEX(Baseline!$D$26:$D$33,MATCH($C6,Baseline!$B$26:$B$33,0)))&amp;"("))-1),"△ Accepted by differs from the deliverable's on Baseline",IF($J6=0,"△ No estimate","○ Clear")))),IF($J6&gt;0,"△ Estimate its parts. A parent has no estimate of its own","○ Clear"))))))))</f>
        <v/>
      </c>
      <c r="I6" s="24">
        <f>IF($K6=0,"",SUMPRODUCT(--(LEFT($A$6:$A$65,LEN($A6)+1)=$A6&amp;".")))</f>
        <v/>
      </c>
      <c r="J6" s="24">
        <f>IF(OR($K6=0,TRIM($A6)=""),0,SUMPRODUCT(--(Estimates!$A$6:$A$45=$A6)))</f>
        <v/>
      </c>
      <c r="K6" s="24">
        <f>IF(COUNTA($A6:$E6)&gt;0,1,0)</f>
        <v/>
      </c>
      <c r="L6" s="24">
        <f>IF(AND($K6=1,$G6&lt;&gt;"○ Clear"),1,0)</f>
        <v/>
      </c>
    </row>
    <row r="7">
      <c r="A7" s="25" t="n"/>
      <c r="B7" s="23" t="n"/>
      <c r="C7" s="35" t="n"/>
      <c r="D7" s="23" t="n"/>
      <c r="E7" s="23" t="n"/>
      <c r="F7" s="27">
        <f>IF($K7=0,"",SUMPRODUCT(--(((Estimates!$A$6:$A$45=$A7)+(LEFT(Estimates!$A$6:$A$45,LEN($A7)+1)=$A7&amp;"."))&gt;0),Estimates!$P$6:$P$45))</f>
        <v/>
      </c>
      <c r="G7" s="28">
        <f>IF($K7=0,"",IF(AND(TRIM($A7)&lt;&gt;"",SUMPRODUCT(--($A$6:$A$65=$A7))&gt;1),"△ Number used twice",IF(TRIM($A7)="","△ No number",IF(TRIM($B7)="","△ No name",IF(TRIM($D7)="","△ No owner",IF(TRIM($E7)="","△ No one accepts it",IF($I7=0,IF(TRIM($C7)="","△ Serves no deliverable",IF(SUMPRODUCT(--(Baseline!$B$26:$B$33=$C7))=0,"△ "&amp;$C7&amp;" isn't a deliverable on Baseline",IF(LEFT(TRIM($E7),MIN(FIND(" ",TRIM($E7)&amp;" "),FIND("(",TRIM($E7)&amp;"("))-1)&lt;&gt;LEFT(TRIM(INDEX(Baseline!$D$26:$D$33,MATCH($C7,Baseline!$B$26:$B$33,0))),MIN(FIND(" ",TRIM(INDEX(Baseline!$D$26:$D$33,MATCH($C7,Baseline!$B$26:$B$33,0)))&amp;" "),FIND("(",TRIM(INDEX(Baseline!$D$26:$D$33,MATCH($C7,Baseline!$B$26:$B$33,0)))&amp;"("))-1),"△ Accepted by differs from the deliverable's on Baseline",IF($J7=0,"△ No estimate","○ Clear")))),IF($J7&gt;0,"△ Estimate its parts. A parent has no estimate of its own","○ Clear"))))))))</f>
        <v/>
      </c>
      <c r="I7" s="24">
        <f>IF($K7=0,"",SUMPRODUCT(--(LEFT($A$6:$A$65,LEN($A7)+1)=$A7&amp;".")))</f>
        <v/>
      </c>
      <c r="J7" s="24">
        <f>IF(OR($K7=0,TRIM($A7)=""),0,SUMPRODUCT(--(Estimates!$A$6:$A$45=$A7)))</f>
        <v/>
      </c>
      <c r="K7" s="24">
        <f>IF(COUNTA($A7:$E7)&gt;0,1,0)</f>
        <v/>
      </c>
      <c r="L7" s="24">
        <f>IF(AND($K7=1,$G7&lt;&gt;"○ Clear"),1,0)</f>
        <v/>
      </c>
    </row>
    <row r="8">
      <c r="A8" s="25" t="n"/>
      <c r="B8" s="23" t="n"/>
      <c r="C8" s="35" t="n"/>
      <c r="D8" s="23" t="n"/>
      <c r="E8" s="23" t="n"/>
      <c r="F8" s="27">
        <f>IF($K8=0,"",SUMPRODUCT(--(((Estimates!$A$6:$A$45=$A8)+(LEFT(Estimates!$A$6:$A$45,LEN($A8)+1)=$A8&amp;"."))&gt;0),Estimates!$P$6:$P$45))</f>
        <v/>
      </c>
      <c r="G8" s="28">
        <f>IF($K8=0,"",IF(AND(TRIM($A8)&lt;&gt;"",SUMPRODUCT(--($A$6:$A$65=$A8))&gt;1),"△ Number used twice",IF(TRIM($A8)="","△ No number",IF(TRIM($B8)="","△ No name",IF(TRIM($D8)="","△ No owner",IF(TRIM($E8)="","△ No one accepts it",IF($I8=0,IF(TRIM($C8)="","△ Serves no deliverable",IF(SUMPRODUCT(--(Baseline!$B$26:$B$33=$C8))=0,"△ "&amp;$C8&amp;" isn't a deliverable on Baseline",IF(LEFT(TRIM($E8),MIN(FIND(" ",TRIM($E8)&amp;" "),FIND("(",TRIM($E8)&amp;"("))-1)&lt;&gt;LEFT(TRIM(INDEX(Baseline!$D$26:$D$33,MATCH($C8,Baseline!$B$26:$B$33,0))),MIN(FIND(" ",TRIM(INDEX(Baseline!$D$26:$D$33,MATCH($C8,Baseline!$B$26:$B$33,0)))&amp;" "),FIND("(",TRIM(INDEX(Baseline!$D$26:$D$33,MATCH($C8,Baseline!$B$26:$B$33,0)))&amp;"("))-1),"△ Accepted by differs from the deliverable's on Baseline",IF($J8=0,"△ No estimate","○ Clear")))),IF($J8&gt;0,"△ Estimate its parts. A parent has no estimate of its own","○ Clear"))))))))</f>
        <v/>
      </c>
      <c r="I8" s="24">
        <f>IF($K8=0,"",SUMPRODUCT(--(LEFT($A$6:$A$65,LEN($A8)+1)=$A8&amp;".")))</f>
        <v/>
      </c>
      <c r="J8" s="24">
        <f>IF(OR($K8=0,TRIM($A8)=""),0,SUMPRODUCT(--(Estimates!$A$6:$A$45=$A8)))</f>
        <v/>
      </c>
      <c r="K8" s="24">
        <f>IF(COUNTA($A8:$E8)&gt;0,1,0)</f>
        <v/>
      </c>
      <c r="L8" s="24">
        <f>IF(AND($K8=1,$G8&lt;&gt;"○ Clear"),1,0)</f>
        <v/>
      </c>
    </row>
    <row r="9">
      <c r="A9" s="25" t="n"/>
      <c r="B9" s="23" t="n"/>
      <c r="C9" s="35" t="n"/>
      <c r="D9" s="23" t="n"/>
      <c r="E9" s="23" t="n"/>
      <c r="F9" s="27">
        <f>IF($K9=0,"",SUMPRODUCT(--(((Estimates!$A$6:$A$45=$A9)+(LEFT(Estimates!$A$6:$A$45,LEN($A9)+1)=$A9&amp;"."))&gt;0),Estimates!$P$6:$P$45))</f>
        <v/>
      </c>
      <c r="G9" s="28">
        <f>IF($K9=0,"",IF(AND(TRIM($A9)&lt;&gt;"",SUMPRODUCT(--($A$6:$A$65=$A9))&gt;1),"△ Number used twice",IF(TRIM($A9)="","△ No number",IF(TRIM($B9)="","△ No name",IF(TRIM($D9)="","△ No owner",IF(TRIM($E9)="","△ No one accepts it",IF($I9=0,IF(TRIM($C9)="","△ Serves no deliverable",IF(SUMPRODUCT(--(Baseline!$B$26:$B$33=$C9))=0,"△ "&amp;$C9&amp;" isn't a deliverable on Baseline",IF(LEFT(TRIM($E9),MIN(FIND(" ",TRIM($E9)&amp;" "),FIND("(",TRIM($E9)&amp;"("))-1)&lt;&gt;LEFT(TRIM(INDEX(Baseline!$D$26:$D$33,MATCH($C9,Baseline!$B$26:$B$33,0))),MIN(FIND(" ",TRIM(INDEX(Baseline!$D$26:$D$33,MATCH($C9,Baseline!$B$26:$B$33,0)))&amp;" "),FIND("(",TRIM(INDEX(Baseline!$D$26:$D$33,MATCH($C9,Baseline!$B$26:$B$33,0)))&amp;"("))-1),"△ Accepted by differs from the deliverable's on Baseline",IF($J9=0,"△ No estimate","○ Clear")))),IF($J9&gt;0,"△ Estimate its parts. A parent has no estimate of its own","○ Clear"))))))))</f>
        <v/>
      </c>
      <c r="I9" s="24">
        <f>IF($K9=0,"",SUMPRODUCT(--(LEFT($A$6:$A$65,LEN($A9)+1)=$A9&amp;".")))</f>
        <v/>
      </c>
      <c r="J9" s="24">
        <f>IF(OR($K9=0,TRIM($A9)=""),0,SUMPRODUCT(--(Estimates!$A$6:$A$45=$A9)))</f>
        <v/>
      </c>
      <c r="K9" s="24">
        <f>IF(COUNTA($A9:$E9)&gt;0,1,0)</f>
        <v/>
      </c>
      <c r="L9" s="24">
        <f>IF(AND($K9=1,$G9&lt;&gt;"○ Clear"),1,0)</f>
        <v/>
      </c>
    </row>
    <row r="10">
      <c r="A10" s="25" t="n"/>
      <c r="B10" s="23" t="n"/>
      <c r="C10" s="35" t="n"/>
      <c r="D10" s="23" t="n"/>
      <c r="E10" s="23" t="n"/>
      <c r="F10" s="27">
        <f>IF($K10=0,"",SUMPRODUCT(--(((Estimates!$A$6:$A$45=$A10)+(LEFT(Estimates!$A$6:$A$45,LEN($A10)+1)=$A10&amp;"."))&gt;0),Estimates!$P$6:$P$45))</f>
        <v/>
      </c>
      <c r="G10" s="28">
        <f>IF($K10=0,"",IF(AND(TRIM($A10)&lt;&gt;"",SUMPRODUCT(--($A$6:$A$65=$A10))&gt;1),"△ Number used twice",IF(TRIM($A10)="","△ No number",IF(TRIM($B10)="","△ No name",IF(TRIM($D10)="","△ No owner",IF(TRIM($E10)="","△ No one accepts it",IF($I10=0,IF(TRIM($C10)="","△ Serves no deliverable",IF(SUMPRODUCT(--(Baseline!$B$26:$B$33=$C10))=0,"△ "&amp;$C10&amp;" isn't a deliverable on Baseline",IF(LEFT(TRIM($E10),MIN(FIND(" ",TRIM($E10)&amp;" "),FIND("(",TRIM($E10)&amp;"("))-1)&lt;&gt;LEFT(TRIM(INDEX(Baseline!$D$26:$D$33,MATCH($C10,Baseline!$B$26:$B$33,0))),MIN(FIND(" ",TRIM(INDEX(Baseline!$D$26:$D$33,MATCH($C10,Baseline!$B$26:$B$33,0)))&amp;" "),FIND("(",TRIM(INDEX(Baseline!$D$26:$D$33,MATCH($C10,Baseline!$B$26:$B$33,0)))&amp;"("))-1),"△ Accepted by differs from the deliverable's on Baseline",IF($J10=0,"△ No estimate","○ Clear")))),IF($J10&gt;0,"△ Estimate its parts. A parent has no estimate of its own","○ Clear"))))))))</f>
        <v/>
      </c>
      <c r="I10" s="24">
        <f>IF($K10=0,"",SUMPRODUCT(--(LEFT($A$6:$A$65,LEN($A10)+1)=$A10&amp;".")))</f>
        <v/>
      </c>
      <c r="J10" s="24">
        <f>IF(OR($K10=0,TRIM($A10)=""),0,SUMPRODUCT(--(Estimates!$A$6:$A$45=$A10)))</f>
        <v/>
      </c>
      <c r="K10" s="24">
        <f>IF(COUNTA($A10:$E10)&gt;0,1,0)</f>
        <v/>
      </c>
      <c r="L10" s="24">
        <f>IF(AND($K10=1,$G10&lt;&gt;"○ Clear"),1,0)</f>
        <v/>
      </c>
    </row>
    <row r="11">
      <c r="A11" s="25" t="n"/>
      <c r="B11" s="23" t="n"/>
      <c r="C11" s="35" t="n"/>
      <c r="D11" s="23" t="n"/>
      <c r="E11" s="23" t="n"/>
      <c r="F11" s="27">
        <f>IF($K11=0,"",SUMPRODUCT(--(((Estimates!$A$6:$A$45=$A11)+(LEFT(Estimates!$A$6:$A$45,LEN($A11)+1)=$A11&amp;"."))&gt;0),Estimates!$P$6:$P$45))</f>
        <v/>
      </c>
      <c r="G11" s="28">
        <f>IF($K11=0,"",IF(AND(TRIM($A11)&lt;&gt;"",SUMPRODUCT(--($A$6:$A$65=$A11))&gt;1),"△ Number used twice",IF(TRIM($A11)="","△ No number",IF(TRIM($B11)="","△ No name",IF(TRIM($D11)="","△ No owner",IF(TRIM($E11)="","△ No one accepts it",IF($I11=0,IF(TRIM($C11)="","△ Serves no deliverable",IF(SUMPRODUCT(--(Baseline!$B$26:$B$33=$C11))=0,"△ "&amp;$C11&amp;" isn't a deliverable on Baseline",IF(LEFT(TRIM($E11),MIN(FIND(" ",TRIM($E11)&amp;" "),FIND("(",TRIM($E11)&amp;"("))-1)&lt;&gt;LEFT(TRIM(INDEX(Baseline!$D$26:$D$33,MATCH($C11,Baseline!$B$26:$B$33,0))),MIN(FIND(" ",TRIM(INDEX(Baseline!$D$26:$D$33,MATCH($C11,Baseline!$B$26:$B$33,0)))&amp;" "),FIND("(",TRIM(INDEX(Baseline!$D$26:$D$33,MATCH($C11,Baseline!$B$26:$B$33,0)))&amp;"("))-1),"△ Accepted by differs from the deliverable's on Baseline",IF($J11=0,"△ No estimate","○ Clear")))),IF($J11&gt;0,"△ Estimate its parts. A parent has no estimate of its own","○ Clear"))))))))</f>
        <v/>
      </c>
      <c r="I11" s="24">
        <f>IF($K11=0,"",SUMPRODUCT(--(LEFT($A$6:$A$65,LEN($A11)+1)=$A11&amp;".")))</f>
        <v/>
      </c>
      <c r="J11" s="24">
        <f>IF(OR($K11=0,TRIM($A11)=""),0,SUMPRODUCT(--(Estimates!$A$6:$A$45=$A11)))</f>
        <v/>
      </c>
      <c r="K11" s="24">
        <f>IF(COUNTA($A11:$E11)&gt;0,1,0)</f>
        <v/>
      </c>
      <c r="L11" s="24">
        <f>IF(AND($K11=1,$G11&lt;&gt;"○ Clear"),1,0)</f>
        <v/>
      </c>
    </row>
    <row r="12">
      <c r="A12" s="25" t="n"/>
      <c r="B12" s="23" t="n"/>
      <c r="C12" s="35" t="n"/>
      <c r="D12" s="23" t="n"/>
      <c r="E12" s="23" t="n"/>
      <c r="F12" s="27">
        <f>IF($K12=0,"",SUMPRODUCT(--(((Estimates!$A$6:$A$45=$A12)+(LEFT(Estimates!$A$6:$A$45,LEN($A12)+1)=$A12&amp;"."))&gt;0),Estimates!$P$6:$P$45))</f>
        <v/>
      </c>
      <c r="G12" s="28">
        <f>IF($K12=0,"",IF(AND(TRIM($A12)&lt;&gt;"",SUMPRODUCT(--($A$6:$A$65=$A12))&gt;1),"△ Number used twice",IF(TRIM($A12)="","△ No number",IF(TRIM($B12)="","△ No name",IF(TRIM($D12)="","△ No owner",IF(TRIM($E12)="","△ No one accepts it",IF($I12=0,IF(TRIM($C12)="","△ Serves no deliverable",IF(SUMPRODUCT(--(Baseline!$B$26:$B$33=$C12))=0,"△ "&amp;$C12&amp;" isn't a deliverable on Baseline",IF(LEFT(TRIM($E12),MIN(FIND(" ",TRIM($E12)&amp;" "),FIND("(",TRIM($E12)&amp;"("))-1)&lt;&gt;LEFT(TRIM(INDEX(Baseline!$D$26:$D$33,MATCH($C12,Baseline!$B$26:$B$33,0))),MIN(FIND(" ",TRIM(INDEX(Baseline!$D$26:$D$33,MATCH($C12,Baseline!$B$26:$B$33,0)))&amp;" "),FIND("(",TRIM(INDEX(Baseline!$D$26:$D$33,MATCH($C12,Baseline!$B$26:$B$33,0)))&amp;"("))-1),"△ Accepted by differs from the deliverable's on Baseline",IF($J12=0,"△ No estimate","○ Clear")))),IF($J12&gt;0,"△ Estimate its parts. A parent has no estimate of its own","○ Clear"))))))))</f>
        <v/>
      </c>
      <c r="I12" s="24">
        <f>IF($K12=0,"",SUMPRODUCT(--(LEFT($A$6:$A$65,LEN($A12)+1)=$A12&amp;".")))</f>
        <v/>
      </c>
      <c r="J12" s="24">
        <f>IF(OR($K12=0,TRIM($A12)=""),0,SUMPRODUCT(--(Estimates!$A$6:$A$45=$A12)))</f>
        <v/>
      </c>
      <c r="K12" s="24">
        <f>IF(COUNTA($A12:$E12)&gt;0,1,0)</f>
        <v/>
      </c>
      <c r="L12" s="24">
        <f>IF(AND($K12=1,$G12&lt;&gt;"○ Clear"),1,0)</f>
        <v/>
      </c>
    </row>
    <row r="13">
      <c r="A13" s="25" t="n"/>
      <c r="B13" s="23" t="n"/>
      <c r="C13" s="35" t="n"/>
      <c r="D13" s="23" t="n"/>
      <c r="E13" s="23" t="n"/>
      <c r="F13" s="27">
        <f>IF($K13=0,"",SUMPRODUCT(--(((Estimates!$A$6:$A$45=$A13)+(LEFT(Estimates!$A$6:$A$45,LEN($A13)+1)=$A13&amp;"."))&gt;0),Estimates!$P$6:$P$45))</f>
        <v/>
      </c>
      <c r="G13" s="28">
        <f>IF($K13=0,"",IF(AND(TRIM($A13)&lt;&gt;"",SUMPRODUCT(--($A$6:$A$65=$A13))&gt;1),"△ Number used twice",IF(TRIM($A13)="","△ No number",IF(TRIM($B13)="","△ No name",IF(TRIM($D13)="","△ No owner",IF(TRIM($E13)="","△ No one accepts it",IF($I13=0,IF(TRIM($C13)="","△ Serves no deliverable",IF(SUMPRODUCT(--(Baseline!$B$26:$B$33=$C13))=0,"△ "&amp;$C13&amp;" isn't a deliverable on Baseline",IF(LEFT(TRIM($E13),MIN(FIND(" ",TRIM($E13)&amp;" "),FIND("(",TRIM($E13)&amp;"("))-1)&lt;&gt;LEFT(TRIM(INDEX(Baseline!$D$26:$D$33,MATCH($C13,Baseline!$B$26:$B$33,0))),MIN(FIND(" ",TRIM(INDEX(Baseline!$D$26:$D$33,MATCH($C13,Baseline!$B$26:$B$33,0)))&amp;" "),FIND("(",TRIM(INDEX(Baseline!$D$26:$D$33,MATCH($C13,Baseline!$B$26:$B$33,0)))&amp;"("))-1),"△ Accepted by differs from the deliverable's on Baseline",IF($J13=0,"△ No estimate","○ Clear")))),IF($J13&gt;0,"△ Estimate its parts. A parent has no estimate of its own","○ Clear"))))))))</f>
        <v/>
      </c>
      <c r="I13" s="24">
        <f>IF($K13=0,"",SUMPRODUCT(--(LEFT($A$6:$A$65,LEN($A13)+1)=$A13&amp;".")))</f>
        <v/>
      </c>
      <c r="J13" s="24">
        <f>IF(OR($K13=0,TRIM($A13)=""),0,SUMPRODUCT(--(Estimates!$A$6:$A$45=$A13)))</f>
        <v/>
      </c>
      <c r="K13" s="24">
        <f>IF(COUNTA($A13:$E13)&gt;0,1,0)</f>
        <v/>
      </c>
      <c r="L13" s="24">
        <f>IF(AND($K13=1,$G13&lt;&gt;"○ Clear"),1,0)</f>
        <v/>
      </c>
    </row>
    <row r="14">
      <c r="A14" s="25" t="n"/>
      <c r="B14" s="23" t="n"/>
      <c r="C14" s="35" t="n"/>
      <c r="D14" s="23" t="n"/>
      <c r="E14" s="23" t="n"/>
      <c r="F14" s="27">
        <f>IF($K14=0,"",SUMPRODUCT(--(((Estimates!$A$6:$A$45=$A14)+(LEFT(Estimates!$A$6:$A$45,LEN($A14)+1)=$A14&amp;"."))&gt;0),Estimates!$P$6:$P$45))</f>
        <v/>
      </c>
      <c r="G14" s="28">
        <f>IF($K14=0,"",IF(AND(TRIM($A14)&lt;&gt;"",SUMPRODUCT(--($A$6:$A$65=$A14))&gt;1),"△ Number used twice",IF(TRIM($A14)="","△ No number",IF(TRIM($B14)="","△ No name",IF(TRIM($D14)="","△ No owner",IF(TRIM($E14)="","△ No one accepts it",IF($I14=0,IF(TRIM($C14)="","△ Serves no deliverable",IF(SUMPRODUCT(--(Baseline!$B$26:$B$33=$C14))=0,"△ "&amp;$C14&amp;" isn't a deliverable on Baseline",IF(LEFT(TRIM($E14),MIN(FIND(" ",TRIM($E14)&amp;" "),FIND("(",TRIM($E14)&amp;"("))-1)&lt;&gt;LEFT(TRIM(INDEX(Baseline!$D$26:$D$33,MATCH($C14,Baseline!$B$26:$B$33,0))),MIN(FIND(" ",TRIM(INDEX(Baseline!$D$26:$D$33,MATCH($C14,Baseline!$B$26:$B$33,0)))&amp;" "),FIND("(",TRIM(INDEX(Baseline!$D$26:$D$33,MATCH($C14,Baseline!$B$26:$B$33,0)))&amp;"("))-1),"△ Accepted by differs from the deliverable's on Baseline",IF($J14=0,"△ No estimate","○ Clear")))),IF($J14&gt;0,"△ Estimate its parts. A parent has no estimate of its own","○ Clear"))))))))</f>
        <v/>
      </c>
      <c r="I14" s="24">
        <f>IF($K14=0,"",SUMPRODUCT(--(LEFT($A$6:$A$65,LEN($A14)+1)=$A14&amp;".")))</f>
        <v/>
      </c>
      <c r="J14" s="24">
        <f>IF(OR($K14=0,TRIM($A14)=""),0,SUMPRODUCT(--(Estimates!$A$6:$A$45=$A14)))</f>
        <v/>
      </c>
      <c r="K14" s="24">
        <f>IF(COUNTA($A14:$E14)&gt;0,1,0)</f>
        <v/>
      </c>
      <c r="L14" s="24">
        <f>IF(AND($K14=1,$G14&lt;&gt;"○ Clear"),1,0)</f>
        <v/>
      </c>
    </row>
    <row r="15">
      <c r="A15" s="25" t="n"/>
      <c r="B15" s="23" t="n"/>
      <c r="C15" s="35" t="n"/>
      <c r="D15" s="23" t="n"/>
      <c r="E15" s="23" t="n"/>
      <c r="F15" s="27">
        <f>IF($K15=0,"",SUMPRODUCT(--(((Estimates!$A$6:$A$45=$A15)+(LEFT(Estimates!$A$6:$A$45,LEN($A15)+1)=$A15&amp;"."))&gt;0),Estimates!$P$6:$P$45))</f>
        <v/>
      </c>
      <c r="G15" s="28">
        <f>IF($K15=0,"",IF(AND(TRIM($A15)&lt;&gt;"",SUMPRODUCT(--($A$6:$A$65=$A15))&gt;1),"△ Number used twice",IF(TRIM($A15)="","△ No number",IF(TRIM($B15)="","△ No name",IF(TRIM($D15)="","△ No owner",IF(TRIM($E15)="","△ No one accepts it",IF($I15=0,IF(TRIM($C15)="","△ Serves no deliverable",IF(SUMPRODUCT(--(Baseline!$B$26:$B$33=$C15))=0,"△ "&amp;$C15&amp;" isn't a deliverable on Baseline",IF(LEFT(TRIM($E15),MIN(FIND(" ",TRIM($E15)&amp;" "),FIND("(",TRIM($E15)&amp;"("))-1)&lt;&gt;LEFT(TRIM(INDEX(Baseline!$D$26:$D$33,MATCH($C15,Baseline!$B$26:$B$33,0))),MIN(FIND(" ",TRIM(INDEX(Baseline!$D$26:$D$33,MATCH($C15,Baseline!$B$26:$B$33,0)))&amp;" "),FIND("(",TRIM(INDEX(Baseline!$D$26:$D$33,MATCH($C15,Baseline!$B$26:$B$33,0)))&amp;"("))-1),"△ Accepted by differs from the deliverable's on Baseline",IF($J15=0,"△ No estimate","○ Clear")))),IF($J15&gt;0,"△ Estimate its parts. A parent has no estimate of its own","○ Clear"))))))))</f>
        <v/>
      </c>
      <c r="I15" s="24">
        <f>IF($K15=0,"",SUMPRODUCT(--(LEFT($A$6:$A$65,LEN($A15)+1)=$A15&amp;".")))</f>
        <v/>
      </c>
      <c r="J15" s="24">
        <f>IF(OR($K15=0,TRIM($A15)=""),0,SUMPRODUCT(--(Estimates!$A$6:$A$45=$A15)))</f>
        <v/>
      </c>
      <c r="K15" s="24">
        <f>IF(COUNTA($A15:$E15)&gt;0,1,0)</f>
        <v/>
      </c>
      <c r="L15" s="24">
        <f>IF(AND($K15=1,$G15&lt;&gt;"○ Clear"),1,0)</f>
        <v/>
      </c>
    </row>
    <row r="16">
      <c r="A16" s="25" t="n"/>
      <c r="B16" s="23" t="n"/>
      <c r="C16" s="35" t="n"/>
      <c r="D16" s="23" t="n"/>
      <c r="E16" s="23" t="n"/>
      <c r="F16" s="27">
        <f>IF($K16=0,"",SUMPRODUCT(--(((Estimates!$A$6:$A$45=$A16)+(LEFT(Estimates!$A$6:$A$45,LEN($A16)+1)=$A16&amp;"."))&gt;0),Estimates!$P$6:$P$45))</f>
        <v/>
      </c>
      <c r="G16" s="28">
        <f>IF($K16=0,"",IF(AND(TRIM($A16)&lt;&gt;"",SUMPRODUCT(--($A$6:$A$65=$A16))&gt;1),"△ Number used twice",IF(TRIM($A16)="","△ No number",IF(TRIM($B16)="","△ No name",IF(TRIM($D16)="","△ No owner",IF(TRIM($E16)="","△ No one accepts it",IF($I16=0,IF(TRIM($C16)="","△ Serves no deliverable",IF(SUMPRODUCT(--(Baseline!$B$26:$B$33=$C16))=0,"△ "&amp;$C16&amp;" isn't a deliverable on Baseline",IF(LEFT(TRIM($E16),MIN(FIND(" ",TRIM($E16)&amp;" "),FIND("(",TRIM($E16)&amp;"("))-1)&lt;&gt;LEFT(TRIM(INDEX(Baseline!$D$26:$D$33,MATCH($C16,Baseline!$B$26:$B$33,0))),MIN(FIND(" ",TRIM(INDEX(Baseline!$D$26:$D$33,MATCH($C16,Baseline!$B$26:$B$33,0)))&amp;" "),FIND("(",TRIM(INDEX(Baseline!$D$26:$D$33,MATCH($C16,Baseline!$B$26:$B$33,0)))&amp;"("))-1),"△ Accepted by differs from the deliverable's on Baseline",IF($J16=0,"△ No estimate","○ Clear")))),IF($J16&gt;0,"△ Estimate its parts. A parent has no estimate of its own","○ Clear"))))))))</f>
        <v/>
      </c>
      <c r="I16" s="24">
        <f>IF($K16=0,"",SUMPRODUCT(--(LEFT($A$6:$A$65,LEN($A16)+1)=$A16&amp;".")))</f>
        <v/>
      </c>
      <c r="J16" s="24">
        <f>IF(OR($K16=0,TRIM($A16)=""),0,SUMPRODUCT(--(Estimates!$A$6:$A$45=$A16)))</f>
        <v/>
      </c>
      <c r="K16" s="24">
        <f>IF(COUNTA($A16:$E16)&gt;0,1,0)</f>
        <v/>
      </c>
      <c r="L16" s="24">
        <f>IF(AND($K16=1,$G16&lt;&gt;"○ Clear"),1,0)</f>
        <v/>
      </c>
    </row>
    <row r="17">
      <c r="A17" s="25" t="n"/>
      <c r="B17" s="23" t="n"/>
      <c r="C17" s="35" t="n"/>
      <c r="D17" s="23" t="n"/>
      <c r="E17" s="23" t="n"/>
      <c r="F17" s="27">
        <f>IF($K17=0,"",SUMPRODUCT(--(((Estimates!$A$6:$A$45=$A17)+(LEFT(Estimates!$A$6:$A$45,LEN($A17)+1)=$A17&amp;"."))&gt;0),Estimates!$P$6:$P$45))</f>
        <v/>
      </c>
      <c r="G17" s="28">
        <f>IF($K17=0,"",IF(AND(TRIM($A17)&lt;&gt;"",SUMPRODUCT(--($A$6:$A$65=$A17))&gt;1),"△ Number used twice",IF(TRIM($A17)="","△ No number",IF(TRIM($B17)="","△ No name",IF(TRIM($D17)="","△ No owner",IF(TRIM($E17)="","△ No one accepts it",IF($I17=0,IF(TRIM($C17)="","△ Serves no deliverable",IF(SUMPRODUCT(--(Baseline!$B$26:$B$33=$C17))=0,"△ "&amp;$C17&amp;" isn't a deliverable on Baseline",IF(LEFT(TRIM($E17),MIN(FIND(" ",TRIM($E17)&amp;" "),FIND("(",TRIM($E17)&amp;"("))-1)&lt;&gt;LEFT(TRIM(INDEX(Baseline!$D$26:$D$33,MATCH($C17,Baseline!$B$26:$B$33,0))),MIN(FIND(" ",TRIM(INDEX(Baseline!$D$26:$D$33,MATCH($C17,Baseline!$B$26:$B$33,0)))&amp;" "),FIND("(",TRIM(INDEX(Baseline!$D$26:$D$33,MATCH($C17,Baseline!$B$26:$B$33,0)))&amp;"("))-1),"△ Accepted by differs from the deliverable's on Baseline",IF($J17=0,"△ No estimate","○ Clear")))),IF($J17&gt;0,"△ Estimate its parts. A parent has no estimate of its own","○ Clear"))))))))</f>
        <v/>
      </c>
      <c r="I17" s="24">
        <f>IF($K17=0,"",SUMPRODUCT(--(LEFT($A$6:$A$65,LEN($A17)+1)=$A17&amp;".")))</f>
        <v/>
      </c>
      <c r="J17" s="24">
        <f>IF(OR($K17=0,TRIM($A17)=""),0,SUMPRODUCT(--(Estimates!$A$6:$A$45=$A17)))</f>
        <v/>
      </c>
      <c r="K17" s="24">
        <f>IF(COUNTA($A17:$E17)&gt;0,1,0)</f>
        <v/>
      </c>
      <c r="L17" s="24">
        <f>IF(AND($K17=1,$G17&lt;&gt;"○ Clear"),1,0)</f>
        <v/>
      </c>
    </row>
    <row r="18">
      <c r="A18" s="25" t="n"/>
      <c r="B18" s="23" t="n"/>
      <c r="C18" s="35" t="n"/>
      <c r="D18" s="23" t="n"/>
      <c r="E18" s="23" t="n"/>
      <c r="F18" s="27">
        <f>IF($K18=0,"",SUMPRODUCT(--(((Estimates!$A$6:$A$45=$A18)+(LEFT(Estimates!$A$6:$A$45,LEN($A18)+1)=$A18&amp;"."))&gt;0),Estimates!$P$6:$P$45))</f>
        <v/>
      </c>
      <c r="G18" s="28">
        <f>IF($K18=0,"",IF(AND(TRIM($A18)&lt;&gt;"",SUMPRODUCT(--($A$6:$A$65=$A18))&gt;1),"△ Number used twice",IF(TRIM($A18)="","△ No number",IF(TRIM($B18)="","△ No name",IF(TRIM($D18)="","△ No owner",IF(TRIM($E18)="","△ No one accepts it",IF($I18=0,IF(TRIM($C18)="","△ Serves no deliverable",IF(SUMPRODUCT(--(Baseline!$B$26:$B$33=$C18))=0,"△ "&amp;$C18&amp;" isn't a deliverable on Baseline",IF(LEFT(TRIM($E18),MIN(FIND(" ",TRIM($E18)&amp;" "),FIND("(",TRIM($E18)&amp;"("))-1)&lt;&gt;LEFT(TRIM(INDEX(Baseline!$D$26:$D$33,MATCH($C18,Baseline!$B$26:$B$33,0))),MIN(FIND(" ",TRIM(INDEX(Baseline!$D$26:$D$33,MATCH($C18,Baseline!$B$26:$B$33,0)))&amp;" "),FIND("(",TRIM(INDEX(Baseline!$D$26:$D$33,MATCH($C18,Baseline!$B$26:$B$33,0)))&amp;"("))-1),"△ Accepted by differs from the deliverable's on Baseline",IF($J18=0,"△ No estimate","○ Clear")))),IF($J18&gt;0,"△ Estimate its parts. A parent has no estimate of its own","○ Clear"))))))))</f>
        <v/>
      </c>
      <c r="I18" s="24">
        <f>IF($K18=0,"",SUMPRODUCT(--(LEFT($A$6:$A$65,LEN($A18)+1)=$A18&amp;".")))</f>
        <v/>
      </c>
      <c r="J18" s="24">
        <f>IF(OR($K18=0,TRIM($A18)=""),0,SUMPRODUCT(--(Estimates!$A$6:$A$45=$A18)))</f>
        <v/>
      </c>
      <c r="K18" s="24">
        <f>IF(COUNTA($A18:$E18)&gt;0,1,0)</f>
        <v/>
      </c>
      <c r="L18" s="24">
        <f>IF(AND($K18=1,$G18&lt;&gt;"○ Clear"),1,0)</f>
        <v/>
      </c>
    </row>
    <row r="19">
      <c r="A19" s="25" t="n"/>
      <c r="B19" s="23" t="n"/>
      <c r="C19" s="35" t="n"/>
      <c r="D19" s="23" t="n"/>
      <c r="E19" s="23" t="n"/>
      <c r="F19" s="27">
        <f>IF($K19=0,"",SUMPRODUCT(--(((Estimates!$A$6:$A$45=$A19)+(LEFT(Estimates!$A$6:$A$45,LEN($A19)+1)=$A19&amp;"."))&gt;0),Estimates!$P$6:$P$45))</f>
        <v/>
      </c>
      <c r="G19" s="28">
        <f>IF($K19=0,"",IF(AND(TRIM($A19)&lt;&gt;"",SUMPRODUCT(--($A$6:$A$65=$A19))&gt;1),"△ Number used twice",IF(TRIM($A19)="","△ No number",IF(TRIM($B19)="","△ No name",IF(TRIM($D19)="","△ No owner",IF(TRIM($E19)="","△ No one accepts it",IF($I19=0,IF(TRIM($C19)="","△ Serves no deliverable",IF(SUMPRODUCT(--(Baseline!$B$26:$B$33=$C19))=0,"△ "&amp;$C19&amp;" isn't a deliverable on Baseline",IF(LEFT(TRIM($E19),MIN(FIND(" ",TRIM($E19)&amp;" "),FIND("(",TRIM($E19)&amp;"("))-1)&lt;&gt;LEFT(TRIM(INDEX(Baseline!$D$26:$D$33,MATCH($C19,Baseline!$B$26:$B$33,0))),MIN(FIND(" ",TRIM(INDEX(Baseline!$D$26:$D$33,MATCH($C19,Baseline!$B$26:$B$33,0)))&amp;" "),FIND("(",TRIM(INDEX(Baseline!$D$26:$D$33,MATCH($C19,Baseline!$B$26:$B$33,0)))&amp;"("))-1),"△ Accepted by differs from the deliverable's on Baseline",IF($J19=0,"△ No estimate","○ Clear")))),IF($J19&gt;0,"△ Estimate its parts. A parent has no estimate of its own","○ Clear"))))))))</f>
        <v/>
      </c>
      <c r="I19" s="24">
        <f>IF($K19=0,"",SUMPRODUCT(--(LEFT($A$6:$A$65,LEN($A19)+1)=$A19&amp;".")))</f>
        <v/>
      </c>
      <c r="J19" s="24">
        <f>IF(OR($K19=0,TRIM($A19)=""),0,SUMPRODUCT(--(Estimates!$A$6:$A$45=$A19)))</f>
        <v/>
      </c>
      <c r="K19" s="24">
        <f>IF(COUNTA($A19:$E19)&gt;0,1,0)</f>
        <v/>
      </c>
      <c r="L19" s="24">
        <f>IF(AND($K19=1,$G19&lt;&gt;"○ Clear"),1,0)</f>
        <v/>
      </c>
    </row>
    <row r="20">
      <c r="A20" s="25" t="n"/>
      <c r="B20" s="23" t="n"/>
      <c r="C20" s="35" t="n"/>
      <c r="D20" s="23" t="n"/>
      <c r="E20" s="23" t="n"/>
      <c r="F20" s="27">
        <f>IF($K20=0,"",SUMPRODUCT(--(((Estimates!$A$6:$A$45=$A20)+(LEFT(Estimates!$A$6:$A$45,LEN($A20)+1)=$A20&amp;"."))&gt;0),Estimates!$P$6:$P$45))</f>
        <v/>
      </c>
      <c r="G20" s="28">
        <f>IF($K20=0,"",IF(AND(TRIM($A20)&lt;&gt;"",SUMPRODUCT(--($A$6:$A$65=$A20))&gt;1),"△ Number used twice",IF(TRIM($A20)="","△ No number",IF(TRIM($B20)="","△ No name",IF(TRIM($D20)="","△ No owner",IF(TRIM($E20)="","△ No one accepts it",IF($I20=0,IF(TRIM($C20)="","△ Serves no deliverable",IF(SUMPRODUCT(--(Baseline!$B$26:$B$33=$C20))=0,"△ "&amp;$C20&amp;" isn't a deliverable on Baseline",IF(LEFT(TRIM($E20),MIN(FIND(" ",TRIM($E20)&amp;" "),FIND("(",TRIM($E20)&amp;"("))-1)&lt;&gt;LEFT(TRIM(INDEX(Baseline!$D$26:$D$33,MATCH($C20,Baseline!$B$26:$B$33,0))),MIN(FIND(" ",TRIM(INDEX(Baseline!$D$26:$D$33,MATCH($C20,Baseline!$B$26:$B$33,0)))&amp;" "),FIND("(",TRIM(INDEX(Baseline!$D$26:$D$33,MATCH($C20,Baseline!$B$26:$B$33,0)))&amp;"("))-1),"△ Accepted by differs from the deliverable's on Baseline",IF($J20=0,"△ No estimate","○ Clear")))),IF($J20&gt;0,"△ Estimate its parts. A parent has no estimate of its own","○ Clear"))))))))</f>
        <v/>
      </c>
      <c r="I20" s="24">
        <f>IF($K20=0,"",SUMPRODUCT(--(LEFT($A$6:$A$65,LEN($A20)+1)=$A20&amp;".")))</f>
        <v/>
      </c>
      <c r="J20" s="24">
        <f>IF(OR($K20=0,TRIM($A20)=""),0,SUMPRODUCT(--(Estimates!$A$6:$A$45=$A20)))</f>
        <v/>
      </c>
      <c r="K20" s="24">
        <f>IF(COUNTA($A20:$E20)&gt;0,1,0)</f>
        <v/>
      </c>
      <c r="L20" s="24">
        <f>IF(AND($K20=1,$G20&lt;&gt;"○ Clear"),1,0)</f>
        <v/>
      </c>
    </row>
    <row r="21">
      <c r="A21" s="25" t="n"/>
      <c r="B21" s="23" t="n"/>
      <c r="C21" s="35" t="n"/>
      <c r="D21" s="23" t="n"/>
      <c r="E21" s="23" t="n"/>
      <c r="F21" s="27">
        <f>IF($K21=0,"",SUMPRODUCT(--(((Estimates!$A$6:$A$45=$A21)+(LEFT(Estimates!$A$6:$A$45,LEN($A21)+1)=$A21&amp;"."))&gt;0),Estimates!$P$6:$P$45))</f>
        <v/>
      </c>
      <c r="G21" s="28">
        <f>IF($K21=0,"",IF(AND(TRIM($A21)&lt;&gt;"",SUMPRODUCT(--($A$6:$A$65=$A21))&gt;1),"△ Number used twice",IF(TRIM($A21)="","△ No number",IF(TRIM($B21)="","△ No name",IF(TRIM($D21)="","△ No owner",IF(TRIM($E21)="","△ No one accepts it",IF($I21=0,IF(TRIM($C21)="","△ Serves no deliverable",IF(SUMPRODUCT(--(Baseline!$B$26:$B$33=$C21))=0,"△ "&amp;$C21&amp;" isn't a deliverable on Baseline",IF(LEFT(TRIM($E21),MIN(FIND(" ",TRIM($E21)&amp;" "),FIND("(",TRIM($E21)&amp;"("))-1)&lt;&gt;LEFT(TRIM(INDEX(Baseline!$D$26:$D$33,MATCH($C21,Baseline!$B$26:$B$33,0))),MIN(FIND(" ",TRIM(INDEX(Baseline!$D$26:$D$33,MATCH($C21,Baseline!$B$26:$B$33,0)))&amp;" "),FIND("(",TRIM(INDEX(Baseline!$D$26:$D$33,MATCH($C21,Baseline!$B$26:$B$33,0)))&amp;"("))-1),"△ Accepted by differs from the deliverable's on Baseline",IF($J21=0,"△ No estimate","○ Clear")))),IF($J21&gt;0,"△ Estimate its parts. A parent has no estimate of its own","○ Clear"))))))))</f>
        <v/>
      </c>
      <c r="I21" s="24">
        <f>IF($K21=0,"",SUMPRODUCT(--(LEFT($A$6:$A$65,LEN($A21)+1)=$A21&amp;".")))</f>
        <v/>
      </c>
      <c r="J21" s="24">
        <f>IF(OR($K21=0,TRIM($A21)=""),0,SUMPRODUCT(--(Estimates!$A$6:$A$45=$A21)))</f>
        <v/>
      </c>
      <c r="K21" s="24">
        <f>IF(COUNTA($A21:$E21)&gt;0,1,0)</f>
        <v/>
      </c>
      <c r="L21" s="24">
        <f>IF(AND($K21=1,$G21&lt;&gt;"○ Clear"),1,0)</f>
        <v/>
      </c>
    </row>
    <row r="22">
      <c r="A22" s="25" t="n"/>
      <c r="B22" s="23" t="n"/>
      <c r="C22" s="35" t="n"/>
      <c r="D22" s="23" t="n"/>
      <c r="E22" s="23" t="n"/>
      <c r="F22" s="27">
        <f>IF($K22=0,"",SUMPRODUCT(--(((Estimates!$A$6:$A$45=$A22)+(LEFT(Estimates!$A$6:$A$45,LEN($A22)+1)=$A22&amp;"."))&gt;0),Estimates!$P$6:$P$45))</f>
        <v/>
      </c>
      <c r="G22" s="28">
        <f>IF($K22=0,"",IF(AND(TRIM($A22)&lt;&gt;"",SUMPRODUCT(--($A$6:$A$65=$A22))&gt;1),"△ Number used twice",IF(TRIM($A22)="","△ No number",IF(TRIM($B22)="","△ No name",IF(TRIM($D22)="","△ No owner",IF(TRIM($E22)="","△ No one accepts it",IF($I22=0,IF(TRIM($C22)="","△ Serves no deliverable",IF(SUMPRODUCT(--(Baseline!$B$26:$B$33=$C22))=0,"△ "&amp;$C22&amp;" isn't a deliverable on Baseline",IF(LEFT(TRIM($E22),MIN(FIND(" ",TRIM($E22)&amp;" "),FIND("(",TRIM($E22)&amp;"("))-1)&lt;&gt;LEFT(TRIM(INDEX(Baseline!$D$26:$D$33,MATCH($C22,Baseline!$B$26:$B$33,0))),MIN(FIND(" ",TRIM(INDEX(Baseline!$D$26:$D$33,MATCH($C22,Baseline!$B$26:$B$33,0)))&amp;" "),FIND("(",TRIM(INDEX(Baseline!$D$26:$D$33,MATCH($C22,Baseline!$B$26:$B$33,0)))&amp;"("))-1),"△ Accepted by differs from the deliverable's on Baseline",IF($J22=0,"△ No estimate","○ Clear")))),IF($J22&gt;0,"△ Estimate its parts. A parent has no estimate of its own","○ Clear"))))))))</f>
        <v/>
      </c>
      <c r="I22" s="24">
        <f>IF($K22=0,"",SUMPRODUCT(--(LEFT($A$6:$A$65,LEN($A22)+1)=$A22&amp;".")))</f>
        <v/>
      </c>
      <c r="J22" s="24">
        <f>IF(OR($K22=0,TRIM($A22)=""),0,SUMPRODUCT(--(Estimates!$A$6:$A$45=$A22)))</f>
        <v/>
      </c>
      <c r="K22" s="24">
        <f>IF(COUNTA($A22:$E22)&gt;0,1,0)</f>
        <v/>
      </c>
      <c r="L22" s="24">
        <f>IF(AND($K22=1,$G22&lt;&gt;"○ Clear"),1,0)</f>
        <v/>
      </c>
    </row>
    <row r="23">
      <c r="A23" s="25" t="n"/>
      <c r="B23" s="23" t="n"/>
      <c r="C23" s="35" t="n"/>
      <c r="D23" s="23" t="n"/>
      <c r="E23" s="23" t="n"/>
      <c r="F23" s="27">
        <f>IF($K23=0,"",SUMPRODUCT(--(((Estimates!$A$6:$A$45=$A23)+(LEFT(Estimates!$A$6:$A$45,LEN($A23)+1)=$A23&amp;"."))&gt;0),Estimates!$P$6:$P$45))</f>
        <v/>
      </c>
      <c r="G23" s="28">
        <f>IF($K23=0,"",IF(AND(TRIM($A23)&lt;&gt;"",SUMPRODUCT(--($A$6:$A$65=$A23))&gt;1),"△ Number used twice",IF(TRIM($A23)="","△ No number",IF(TRIM($B23)="","△ No name",IF(TRIM($D23)="","△ No owner",IF(TRIM($E23)="","△ No one accepts it",IF($I23=0,IF(TRIM($C23)="","△ Serves no deliverable",IF(SUMPRODUCT(--(Baseline!$B$26:$B$33=$C23))=0,"△ "&amp;$C23&amp;" isn't a deliverable on Baseline",IF(LEFT(TRIM($E23),MIN(FIND(" ",TRIM($E23)&amp;" "),FIND("(",TRIM($E23)&amp;"("))-1)&lt;&gt;LEFT(TRIM(INDEX(Baseline!$D$26:$D$33,MATCH($C23,Baseline!$B$26:$B$33,0))),MIN(FIND(" ",TRIM(INDEX(Baseline!$D$26:$D$33,MATCH($C23,Baseline!$B$26:$B$33,0)))&amp;" "),FIND("(",TRIM(INDEX(Baseline!$D$26:$D$33,MATCH($C23,Baseline!$B$26:$B$33,0)))&amp;"("))-1),"△ Accepted by differs from the deliverable's on Baseline",IF($J23=0,"△ No estimate","○ Clear")))),IF($J23&gt;0,"△ Estimate its parts. A parent has no estimate of its own","○ Clear"))))))))</f>
        <v/>
      </c>
      <c r="I23" s="24">
        <f>IF($K23=0,"",SUMPRODUCT(--(LEFT($A$6:$A$65,LEN($A23)+1)=$A23&amp;".")))</f>
        <v/>
      </c>
      <c r="J23" s="24">
        <f>IF(OR($K23=0,TRIM($A23)=""),0,SUMPRODUCT(--(Estimates!$A$6:$A$45=$A23)))</f>
        <v/>
      </c>
      <c r="K23" s="24">
        <f>IF(COUNTA($A23:$E23)&gt;0,1,0)</f>
        <v/>
      </c>
      <c r="L23" s="24">
        <f>IF(AND($K23=1,$G23&lt;&gt;"○ Clear"),1,0)</f>
        <v/>
      </c>
    </row>
    <row r="24">
      <c r="A24" s="25" t="n"/>
      <c r="B24" s="23" t="n"/>
      <c r="C24" s="35" t="n"/>
      <c r="D24" s="23" t="n"/>
      <c r="E24" s="23" t="n"/>
      <c r="F24" s="27">
        <f>IF($K24=0,"",SUMPRODUCT(--(((Estimates!$A$6:$A$45=$A24)+(LEFT(Estimates!$A$6:$A$45,LEN($A24)+1)=$A24&amp;"."))&gt;0),Estimates!$P$6:$P$45))</f>
        <v/>
      </c>
      <c r="G24" s="28">
        <f>IF($K24=0,"",IF(AND(TRIM($A24)&lt;&gt;"",SUMPRODUCT(--($A$6:$A$65=$A24))&gt;1),"△ Number used twice",IF(TRIM($A24)="","△ No number",IF(TRIM($B24)="","△ No name",IF(TRIM($D24)="","△ No owner",IF(TRIM($E24)="","△ No one accepts it",IF($I24=0,IF(TRIM($C24)="","△ Serves no deliverable",IF(SUMPRODUCT(--(Baseline!$B$26:$B$33=$C24))=0,"△ "&amp;$C24&amp;" isn't a deliverable on Baseline",IF(LEFT(TRIM($E24),MIN(FIND(" ",TRIM($E24)&amp;" "),FIND("(",TRIM($E24)&amp;"("))-1)&lt;&gt;LEFT(TRIM(INDEX(Baseline!$D$26:$D$33,MATCH($C24,Baseline!$B$26:$B$33,0))),MIN(FIND(" ",TRIM(INDEX(Baseline!$D$26:$D$33,MATCH($C24,Baseline!$B$26:$B$33,0)))&amp;" "),FIND("(",TRIM(INDEX(Baseline!$D$26:$D$33,MATCH($C24,Baseline!$B$26:$B$33,0)))&amp;"("))-1),"△ Accepted by differs from the deliverable's on Baseline",IF($J24=0,"△ No estimate","○ Clear")))),IF($J24&gt;0,"△ Estimate its parts. A parent has no estimate of its own","○ Clear"))))))))</f>
        <v/>
      </c>
      <c r="I24" s="24">
        <f>IF($K24=0,"",SUMPRODUCT(--(LEFT($A$6:$A$65,LEN($A24)+1)=$A24&amp;".")))</f>
        <v/>
      </c>
      <c r="J24" s="24">
        <f>IF(OR($K24=0,TRIM($A24)=""),0,SUMPRODUCT(--(Estimates!$A$6:$A$45=$A24)))</f>
        <v/>
      </c>
      <c r="K24" s="24">
        <f>IF(COUNTA($A24:$E24)&gt;0,1,0)</f>
        <v/>
      </c>
      <c r="L24" s="24">
        <f>IF(AND($K24=1,$G24&lt;&gt;"○ Clear"),1,0)</f>
        <v/>
      </c>
    </row>
    <row r="25">
      <c r="A25" s="25" t="n"/>
      <c r="B25" s="23" t="n"/>
      <c r="C25" s="35" t="n"/>
      <c r="D25" s="23" t="n"/>
      <c r="E25" s="23" t="n"/>
      <c r="F25" s="27">
        <f>IF($K25=0,"",SUMPRODUCT(--(((Estimates!$A$6:$A$45=$A25)+(LEFT(Estimates!$A$6:$A$45,LEN($A25)+1)=$A25&amp;"."))&gt;0),Estimates!$P$6:$P$45))</f>
        <v/>
      </c>
      <c r="G25" s="28">
        <f>IF($K25=0,"",IF(AND(TRIM($A25)&lt;&gt;"",SUMPRODUCT(--($A$6:$A$65=$A25))&gt;1),"△ Number used twice",IF(TRIM($A25)="","△ No number",IF(TRIM($B25)="","△ No name",IF(TRIM($D25)="","△ No owner",IF(TRIM($E25)="","△ No one accepts it",IF($I25=0,IF(TRIM($C25)="","△ Serves no deliverable",IF(SUMPRODUCT(--(Baseline!$B$26:$B$33=$C25))=0,"△ "&amp;$C25&amp;" isn't a deliverable on Baseline",IF(LEFT(TRIM($E25),MIN(FIND(" ",TRIM($E25)&amp;" "),FIND("(",TRIM($E25)&amp;"("))-1)&lt;&gt;LEFT(TRIM(INDEX(Baseline!$D$26:$D$33,MATCH($C25,Baseline!$B$26:$B$33,0))),MIN(FIND(" ",TRIM(INDEX(Baseline!$D$26:$D$33,MATCH($C25,Baseline!$B$26:$B$33,0)))&amp;" "),FIND("(",TRIM(INDEX(Baseline!$D$26:$D$33,MATCH($C25,Baseline!$B$26:$B$33,0)))&amp;"("))-1),"△ Accepted by differs from the deliverable's on Baseline",IF($J25=0,"△ No estimate","○ Clear")))),IF($J25&gt;0,"△ Estimate its parts. A parent has no estimate of its own","○ Clear"))))))))</f>
        <v/>
      </c>
      <c r="I25" s="24">
        <f>IF($K25=0,"",SUMPRODUCT(--(LEFT($A$6:$A$65,LEN($A25)+1)=$A25&amp;".")))</f>
        <v/>
      </c>
      <c r="J25" s="24">
        <f>IF(OR($K25=0,TRIM($A25)=""),0,SUMPRODUCT(--(Estimates!$A$6:$A$45=$A25)))</f>
        <v/>
      </c>
      <c r="K25" s="24">
        <f>IF(COUNTA($A25:$E25)&gt;0,1,0)</f>
        <v/>
      </c>
      <c r="L25" s="24">
        <f>IF(AND($K25=1,$G25&lt;&gt;"○ Clear"),1,0)</f>
        <v/>
      </c>
    </row>
    <row r="26">
      <c r="A26" s="25" t="n"/>
      <c r="B26" s="23" t="n"/>
      <c r="C26" s="35" t="n"/>
      <c r="D26" s="23" t="n"/>
      <c r="E26" s="23" t="n"/>
      <c r="F26" s="27">
        <f>IF($K26=0,"",SUMPRODUCT(--(((Estimates!$A$6:$A$45=$A26)+(LEFT(Estimates!$A$6:$A$45,LEN($A26)+1)=$A26&amp;"."))&gt;0),Estimates!$P$6:$P$45))</f>
        <v/>
      </c>
      <c r="G26" s="28">
        <f>IF($K26=0,"",IF(AND(TRIM($A26)&lt;&gt;"",SUMPRODUCT(--($A$6:$A$65=$A26))&gt;1),"△ Number used twice",IF(TRIM($A26)="","△ No number",IF(TRIM($B26)="","△ No name",IF(TRIM($D26)="","△ No owner",IF(TRIM($E26)="","△ No one accepts it",IF($I26=0,IF(TRIM($C26)="","△ Serves no deliverable",IF(SUMPRODUCT(--(Baseline!$B$26:$B$33=$C26))=0,"△ "&amp;$C26&amp;" isn't a deliverable on Baseline",IF(LEFT(TRIM($E26),MIN(FIND(" ",TRIM($E26)&amp;" "),FIND("(",TRIM($E26)&amp;"("))-1)&lt;&gt;LEFT(TRIM(INDEX(Baseline!$D$26:$D$33,MATCH($C26,Baseline!$B$26:$B$33,0))),MIN(FIND(" ",TRIM(INDEX(Baseline!$D$26:$D$33,MATCH($C26,Baseline!$B$26:$B$33,0)))&amp;" "),FIND("(",TRIM(INDEX(Baseline!$D$26:$D$33,MATCH($C26,Baseline!$B$26:$B$33,0)))&amp;"("))-1),"△ Accepted by differs from the deliverable's on Baseline",IF($J26=0,"△ No estimate","○ Clear")))),IF($J26&gt;0,"△ Estimate its parts. A parent has no estimate of its own","○ Clear"))))))))</f>
        <v/>
      </c>
      <c r="I26" s="24">
        <f>IF($K26=0,"",SUMPRODUCT(--(LEFT($A$6:$A$65,LEN($A26)+1)=$A26&amp;".")))</f>
        <v/>
      </c>
      <c r="J26" s="24">
        <f>IF(OR($K26=0,TRIM($A26)=""),0,SUMPRODUCT(--(Estimates!$A$6:$A$45=$A26)))</f>
        <v/>
      </c>
      <c r="K26" s="24">
        <f>IF(COUNTA($A26:$E26)&gt;0,1,0)</f>
        <v/>
      </c>
      <c r="L26" s="24">
        <f>IF(AND($K26=1,$G26&lt;&gt;"○ Clear"),1,0)</f>
        <v/>
      </c>
    </row>
    <row r="27">
      <c r="A27" s="25" t="n"/>
      <c r="B27" s="23" t="n"/>
      <c r="C27" s="35" t="n"/>
      <c r="D27" s="23" t="n"/>
      <c r="E27" s="23" t="n"/>
      <c r="F27" s="27">
        <f>IF($K27=0,"",SUMPRODUCT(--(((Estimates!$A$6:$A$45=$A27)+(LEFT(Estimates!$A$6:$A$45,LEN($A27)+1)=$A27&amp;"."))&gt;0),Estimates!$P$6:$P$45))</f>
        <v/>
      </c>
      <c r="G27" s="28">
        <f>IF($K27=0,"",IF(AND(TRIM($A27)&lt;&gt;"",SUMPRODUCT(--($A$6:$A$65=$A27))&gt;1),"△ Number used twice",IF(TRIM($A27)="","△ No number",IF(TRIM($B27)="","△ No name",IF(TRIM($D27)="","△ No owner",IF(TRIM($E27)="","△ No one accepts it",IF($I27=0,IF(TRIM($C27)="","△ Serves no deliverable",IF(SUMPRODUCT(--(Baseline!$B$26:$B$33=$C27))=0,"△ "&amp;$C27&amp;" isn't a deliverable on Baseline",IF(LEFT(TRIM($E27),MIN(FIND(" ",TRIM($E27)&amp;" "),FIND("(",TRIM($E27)&amp;"("))-1)&lt;&gt;LEFT(TRIM(INDEX(Baseline!$D$26:$D$33,MATCH($C27,Baseline!$B$26:$B$33,0))),MIN(FIND(" ",TRIM(INDEX(Baseline!$D$26:$D$33,MATCH($C27,Baseline!$B$26:$B$33,0)))&amp;" "),FIND("(",TRIM(INDEX(Baseline!$D$26:$D$33,MATCH($C27,Baseline!$B$26:$B$33,0)))&amp;"("))-1),"△ Accepted by differs from the deliverable's on Baseline",IF($J27=0,"△ No estimate","○ Clear")))),IF($J27&gt;0,"△ Estimate its parts. A parent has no estimate of its own","○ Clear"))))))))</f>
        <v/>
      </c>
      <c r="I27" s="24">
        <f>IF($K27=0,"",SUMPRODUCT(--(LEFT($A$6:$A$65,LEN($A27)+1)=$A27&amp;".")))</f>
        <v/>
      </c>
      <c r="J27" s="24">
        <f>IF(OR($K27=0,TRIM($A27)=""),0,SUMPRODUCT(--(Estimates!$A$6:$A$45=$A27)))</f>
        <v/>
      </c>
      <c r="K27" s="24">
        <f>IF(COUNTA($A27:$E27)&gt;0,1,0)</f>
        <v/>
      </c>
      <c r="L27" s="24">
        <f>IF(AND($K27=1,$G27&lt;&gt;"○ Clear"),1,0)</f>
        <v/>
      </c>
    </row>
    <row r="28">
      <c r="A28" s="25" t="n"/>
      <c r="B28" s="23" t="n"/>
      <c r="C28" s="35" t="n"/>
      <c r="D28" s="23" t="n"/>
      <c r="E28" s="23" t="n"/>
      <c r="F28" s="27">
        <f>IF($K28=0,"",SUMPRODUCT(--(((Estimates!$A$6:$A$45=$A28)+(LEFT(Estimates!$A$6:$A$45,LEN($A28)+1)=$A28&amp;"."))&gt;0),Estimates!$P$6:$P$45))</f>
        <v/>
      </c>
      <c r="G28" s="28">
        <f>IF($K28=0,"",IF(AND(TRIM($A28)&lt;&gt;"",SUMPRODUCT(--($A$6:$A$65=$A28))&gt;1),"△ Number used twice",IF(TRIM($A28)="","△ No number",IF(TRIM($B28)="","△ No name",IF(TRIM($D28)="","△ No owner",IF(TRIM($E28)="","△ No one accepts it",IF($I28=0,IF(TRIM($C28)="","△ Serves no deliverable",IF(SUMPRODUCT(--(Baseline!$B$26:$B$33=$C28))=0,"△ "&amp;$C28&amp;" isn't a deliverable on Baseline",IF(LEFT(TRIM($E28),MIN(FIND(" ",TRIM($E28)&amp;" "),FIND("(",TRIM($E28)&amp;"("))-1)&lt;&gt;LEFT(TRIM(INDEX(Baseline!$D$26:$D$33,MATCH($C28,Baseline!$B$26:$B$33,0))),MIN(FIND(" ",TRIM(INDEX(Baseline!$D$26:$D$33,MATCH($C28,Baseline!$B$26:$B$33,0)))&amp;" "),FIND("(",TRIM(INDEX(Baseline!$D$26:$D$33,MATCH($C28,Baseline!$B$26:$B$33,0)))&amp;"("))-1),"△ Accepted by differs from the deliverable's on Baseline",IF($J28=0,"△ No estimate","○ Clear")))),IF($J28&gt;0,"△ Estimate its parts. A parent has no estimate of its own","○ Clear"))))))))</f>
        <v/>
      </c>
      <c r="I28" s="24">
        <f>IF($K28=0,"",SUMPRODUCT(--(LEFT($A$6:$A$65,LEN($A28)+1)=$A28&amp;".")))</f>
        <v/>
      </c>
      <c r="J28" s="24">
        <f>IF(OR($K28=0,TRIM($A28)=""),0,SUMPRODUCT(--(Estimates!$A$6:$A$45=$A28)))</f>
        <v/>
      </c>
      <c r="K28" s="24">
        <f>IF(COUNTA($A28:$E28)&gt;0,1,0)</f>
        <v/>
      </c>
      <c r="L28" s="24">
        <f>IF(AND($K28=1,$G28&lt;&gt;"○ Clear"),1,0)</f>
        <v/>
      </c>
    </row>
    <row r="29">
      <c r="A29" s="25" t="n"/>
      <c r="B29" s="23" t="n"/>
      <c r="C29" s="35" t="n"/>
      <c r="D29" s="23" t="n"/>
      <c r="E29" s="23" t="n"/>
      <c r="F29" s="27">
        <f>IF($K29=0,"",SUMPRODUCT(--(((Estimates!$A$6:$A$45=$A29)+(LEFT(Estimates!$A$6:$A$45,LEN($A29)+1)=$A29&amp;"."))&gt;0),Estimates!$P$6:$P$45))</f>
        <v/>
      </c>
      <c r="G29" s="28">
        <f>IF($K29=0,"",IF(AND(TRIM($A29)&lt;&gt;"",SUMPRODUCT(--($A$6:$A$65=$A29))&gt;1),"△ Number used twice",IF(TRIM($A29)="","△ No number",IF(TRIM($B29)="","△ No name",IF(TRIM($D29)="","△ No owner",IF(TRIM($E29)="","△ No one accepts it",IF($I29=0,IF(TRIM($C29)="","△ Serves no deliverable",IF(SUMPRODUCT(--(Baseline!$B$26:$B$33=$C29))=0,"△ "&amp;$C29&amp;" isn't a deliverable on Baseline",IF(LEFT(TRIM($E29),MIN(FIND(" ",TRIM($E29)&amp;" "),FIND("(",TRIM($E29)&amp;"("))-1)&lt;&gt;LEFT(TRIM(INDEX(Baseline!$D$26:$D$33,MATCH($C29,Baseline!$B$26:$B$33,0))),MIN(FIND(" ",TRIM(INDEX(Baseline!$D$26:$D$33,MATCH($C29,Baseline!$B$26:$B$33,0)))&amp;" "),FIND("(",TRIM(INDEX(Baseline!$D$26:$D$33,MATCH($C29,Baseline!$B$26:$B$33,0)))&amp;"("))-1),"△ Accepted by differs from the deliverable's on Baseline",IF($J29=0,"△ No estimate","○ Clear")))),IF($J29&gt;0,"△ Estimate its parts. A parent has no estimate of its own","○ Clear"))))))))</f>
        <v/>
      </c>
      <c r="I29" s="24">
        <f>IF($K29=0,"",SUMPRODUCT(--(LEFT($A$6:$A$65,LEN($A29)+1)=$A29&amp;".")))</f>
        <v/>
      </c>
      <c r="J29" s="24">
        <f>IF(OR($K29=0,TRIM($A29)=""),0,SUMPRODUCT(--(Estimates!$A$6:$A$45=$A29)))</f>
        <v/>
      </c>
      <c r="K29" s="24">
        <f>IF(COUNTA($A29:$E29)&gt;0,1,0)</f>
        <v/>
      </c>
      <c r="L29" s="24">
        <f>IF(AND($K29=1,$G29&lt;&gt;"○ Clear"),1,0)</f>
        <v/>
      </c>
    </row>
    <row r="30">
      <c r="A30" s="25" t="n"/>
      <c r="B30" s="23" t="n"/>
      <c r="C30" s="35" t="n"/>
      <c r="D30" s="23" t="n"/>
      <c r="E30" s="23" t="n"/>
      <c r="F30" s="27">
        <f>IF($K30=0,"",SUMPRODUCT(--(((Estimates!$A$6:$A$45=$A30)+(LEFT(Estimates!$A$6:$A$45,LEN($A30)+1)=$A30&amp;"."))&gt;0),Estimates!$P$6:$P$45))</f>
        <v/>
      </c>
      <c r="G30" s="28">
        <f>IF($K30=0,"",IF(AND(TRIM($A30)&lt;&gt;"",SUMPRODUCT(--($A$6:$A$65=$A30))&gt;1),"△ Number used twice",IF(TRIM($A30)="","△ No number",IF(TRIM($B30)="","△ No name",IF(TRIM($D30)="","△ No owner",IF(TRIM($E30)="","△ No one accepts it",IF($I30=0,IF(TRIM($C30)="","△ Serves no deliverable",IF(SUMPRODUCT(--(Baseline!$B$26:$B$33=$C30))=0,"△ "&amp;$C30&amp;" isn't a deliverable on Baseline",IF(LEFT(TRIM($E30),MIN(FIND(" ",TRIM($E30)&amp;" "),FIND("(",TRIM($E30)&amp;"("))-1)&lt;&gt;LEFT(TRIM(INDEX(Baseline!$D$26:$D$33,MATCH($C30,Baseline!$B$26:$B$33,0))),MIN(FIND(" ",TRIM(INDEX(Baseline!$D$26:$D$33,MATCH($C30,Baseline!$B$26:$B$33,0)))&amp;" "),FIND("(",TRIM(INDEX(Baseline!$D$26:$D$33,MATCH($C30,Baseline!$B$26:$B$33,0)))&amp;"("))-1),"△ Accepted by differs from the deliverable's on Baseline",IF($J30=0,"△ No estimate","○ Clear")))),IF($J30&gt;0,"△ Estimate its parts. A parent has no estimate of its own","○ Clear"))))))))</f>
        <v/>
      </c>
      <c r="I30" s="24">
        <f>IF($K30=0,"",SUMPRODUCT(--(LEFT($A$6:$A$65,LEN($A30)+1)=$A30&amp;".")))</f>
        <v/>
      </c>
      <c r="J30" s="24">
        <f>IF(OR($K30=0,TRIM($A30)=""),0,SUMPRODUCT(--(Estimates!$A$6:$A$45=$A30)))</f>
        <v/>
      </c>
      <c r="K30" s="24">
        <f>IF(COUNTA($A30:$E30)&gt;0,1,0)</f>
        <v/>
      </c>
      <c r="L30" s="24">
        <f>IF(AND($K30=1,$G30&lt;&gt;"○ Clear"),1,0)</f>
        <v/>
      </c>
    </row>
    <row r="31">
      <c r="A31" s="25" t="n"/>
      <c r="B31" s="23" t="n"/>
      <c r="C31" s="35" t="n"/>
      <c r="D31" s="23" t="n"/>
      <c r="E31" s="23" t="n"/>
      <c r="F31" s="27">
        <f>IF($K31=0,"",SUMPRODUCT(--(((Estimates!$A$6:$A$45=$A31)+(LEFT(Estimates!$A$6:$A$45,LEN($A31)+1)=$A31&amp;"."))&gt;0),Estimates!$P$6:$P$45))</f>
        <v/>
      </c>
      <c r="G31" s="28">
        <f>IF($K31=0,"",IF(AND(TRIM($A31)&lt;&gt;"",SUMPRODUCT(--($A$6:$A$65=$A31))&gt;1),"△ Number used twice",IF(TRIM($A31)="","△ No number",IF(TRIM($B31)="","△ No name",IF(TRIM($D31)="","△ No owner",IF(TRIM($E31)="","△ No one accepts it",IF($I31=0,IF(TRIM($C31)="","△ Serves no deliverable",IF(SUMPRODUCT(--(Baseline!$B$26:$B$33=$C31))=0,"△ "&amp;$C31&amp;" isn't a deliverable on Baseline",IF(LEFT(TRIM($E31),MIN(FIND(" ",TRIM($E31)&amp;" "),FIND("(",TRIM($E31)&amp;"("))-1)&lt;&gt;LEFT(TRIM(INDEX(Baseline!$D$26:$D$33,MATCH($C31,Baseline!$B$26:$B$33,0))),MIN(FIND(" ",TRIM(INDEX(Baseline!$D$26:$D$33,MATCH($C31,Baseline!$B$26:$B$33,0)))&amp;" "),FIND("(",TRIM(INDEX(Baseline!$D$26:$D$33,MATCH($C31,Baseline!$B$26:$B$33,0)))&amp;"("))-1),"△ Accepted by differs from the deliverable's on Baseline",IF($J31=0,"△ No estimate","○ Clear")))),IF($J31&gt;0,"△ Estimate its parts. A parent has no estimate of its own","○ Clear"))))))))</f>
        <v/>
      </c>
      <c r="I31" s="24">
        <f>IF($K31=0,"",SUMPRODUCT(--(LEFT($A$6:$A$65,LEN($A31)+1)=$A31&amp;".")))</f>
        <v/>
      </c>
      <c r="J31" s="24">
        <f>IF(OR($K31=0,TRIM($A31)=""),0,SUMPRODUCT(--(Estimates!$A$6:$A$45=$A31)))</f>
        <v/>
      </c>
      <c r="K31" s="24">
        <f>IF(COUNTA($A31:$E31)&gt;0,1,0)</f>
        <v/>
      </c>
      <c r="L31" s="24">
        <f>IF(AND($K31=1,$G31&lt;&gt;"○ Clear"),1,0)</f>
        <v/>
      </c>
    </row>
    <row r="32">
      <c r="A32" s="25" t="n"/>
      <c r="B32" s="23" t="n"/>
      <c r="C32" s="35" t="n"/>
      <c r="D32" s="23" t="n"/>
      <c r="E32" s="23" t="n"/>
      <c r="F32" s="27">
        <f>IF($K32=0,"",SUMPRODUCT(--(((Estimates!$A$6:$A$45=$A32)+(LEFT(Estimates!$A$6:$A$45,LEN($A32)+1)=$A32&amp;"."))&gt;0),Estimates!$P$6:$P$45))</f>
        <v/>
      </c>
      <c r="G32" s="28">
        <f>IF($K32=0,"",IF(AND(TRIM($A32)&lt;&gt;"",SUMPRODUCT(--($A$6:$A$65=$A32))&gt;1),"△ Number used twice",IF(TRIM($A32)="","△ No number",IF(TRIM($B32)="","△ No name",IF(TRIM($D32)="","△ No owner",IF(TRIM($E32)="","△ No one accepts it",IF($I32=0,IF(TRIM($C32)="","△ Serves no deliverable",IF(SUMPRODUCT(--(Baseline!$B$26:$B$33=$C32))=0,"△ "&amp;$C32&amp;" isn't a deliverable on Baseline",IF(LEFT(TRIM($E32),MIN(FIND(" ",TRIM($E32)&amp;" "),FIND("(",TRIM($E32)&amp;"("))-1)&lt;&gt;LEFT(TRIM(INDEX(Baseline!$D$26:$D$33,MATCH($C32,Baseline!$B$26:$B$33,0))),MIN(FIND(" ",TRIM(INDEX(Baseline!$D$26:$D$33,MATCH($C32,Baseline!$B$26:$B$33,0)))&amp;" "),FIND("(",TRIM(INDEX(Baseline!$D$26:$D$33,MATCH($C32,Baseline!$B$26:$B$33,0)))&amp;"("))-1),"△ Accepted by differs from the deliverable's on Baseline",IF($J32=0,"△ No estimate","○ Clear")))),IF($J32&gt;0,"△ Estimate its parts. A parent has no estimate of its own","○ Clear"))))))))</f>
        <v/>
      </c>
      <c r="I32" s="24">
        <f>IF($K32=0,"",SUMPRODUCT(--(LEFT($A$6:$A$65,LEN($A32)+1)=$A32&amp;".")))</f>
        <v/>
      </c>
      <c r="J32" s="24">
        <f>IF(OR($K32=0,TRIM($A32)=""),0,SUMPRODUCT(--(Estimates!$A$6:$A$45=$A32)))</f>
        <v/>
      </c>
      <c r="K32" s="24">
        <f>IF(COUNTA($A32:$E32)&gt;0,1,0)</f>
        <v/>
      </c>
      <c r="L32" s="24">
        <f>IF(AND($K32=1,$G32&lt;&gt;"○ Clear"),1,0)</f>
        <v/>
      </c>
    </row>
    <row r="33">
      <c r="A33" s="25" t="n"/>
      <c r="B33" s="23" t="n"/>
      <c r="C33" s="35" t="n"/>
      <c r="D33" s="23" t="n"/>
      <c r="E33" s="23" t="n"/>
      <c r="F33" s="27">
        <f>IF($K33=0,"",SUMPRODUCT(--(((Estimates!$A$6:$A$45=$A33)+(LEFT(Estimates!$A$6:$A$45,LEN($A33)+1)=$A33&amp;"."))&gt;0),Estimates!$P$6:$P$45))</f>
        <v/>
      </c>
      <c r="G33" s="28">
        <f>IF($K33=0,"",IF(AND(TRIM($A33)&lt;&gt;"",SUMPRODUCT(--($A$6:$A$65=$A33))&gt;1),"△ Number used twice",IF(TRIM($A33)="","△ No number",IF(TRIM($B33)="","△ No name",IF(TRIM($D33)="","△ No owner",IF(TRIM($E33)="","△ No one accepts it",IF($I33=0,IF(TRIM($C33)="","△ Serves no deliverable",IF(SUMPRODUCT(--(Baseline!$B$26:$B$33=$C33))=0,"△ "&amp;$C33&amp;" isn't a deliverable on Baseline",IF(LEFT(TRIM($E33),MIN(FIND(" ",TRIM($E33)&amp;" "),FIND("(",TRIM($E33)&amp;"("))-1)&lt;&gt;LEFT(TRIM(INDEX(Baseline!$D$26:$D$33,MATCH($C33,Baseline!$B$26:$B$33,0))),MIN(FIND(" ",TRIM(INDEX(Baseline!$D$26:$D$33,MATCH($C33,Baseline!$B$26:$B$33,0)))&amp;" "),FIND("(",TRIM(INDEX(Baseline!$D$26:$D$33,MATCH($C33,Baseline!$B$26:$B$33,0)))&amp;"("))-1),"△ Accepted by differs from the deliverable's on Baseline",IF($J33=0,"△ No estimate","○ Clear")))),IF($J33&gt;0,"△ Estimate its parts. A parent has no estimate of its own","○ Clear"))))))))</f>
        <v/>
      </c>
      <c r="I33" s="24">
        <f>IF($K33=0,"",SUMPRODUCT(--(LEFT($A$6:$A$65,LEN($A33)+1)=$A33&amp;".")))</f>
        <v/>
      </c>
      <c r="J33" s="24">
        <f>IF(OR($K33=0,TRIM($A33)=""),0,SUMPRODUCT(--(Estimates!$A$6:$A$45=$A33)))</f>
        <v/>
      </c>
      <c r="K33" s="24">
        <f>IF(COUNTA($A33:$E33)&gt;0,1,0)</f>
        <v/>
      </c>
      <c r="L33" s="24">
        <f>IF(AND($K33=1,$G33&lt;&gt;"○ Clear"),1,0)</f>
        <v/>
      </c>
    </row>
    <row r="34">
      <c r="A34" s="25" t="n"/>
      <c r="B34" s="23" t="n"/>
      <c r="C34" s="35" t="n"/>
      <c r="D34" s="23" t="n"/>
      <c r="E34" s="23" t="n"/>
      <c r="F34" s="27">
        <f>IF($K34=0,"",SUMPRODUCT(--(((Estimates!$A$6:$A$45=$A34)+(LEFT(Estimates!$A$6:$A$45,LEN($A34)+1)=$A34&amp;"."))&gt;0),Estimates!$P$6:$P$45))</f>
        <v/>
      </c>
      <c r="G34" s="28">
        <f>IF($K34=0,"",IF(AND(TRIM($A34)&lt;&gt;"",SUMPRODUCT(--($A$6:$A$65=$A34))&gt;1),"△ Number used twice",IF(TRIM($A34)="","△ No number",IF(TRIM($B34)="","△ No name",IF(TRIM($D34)="","△ No owner",IF(TRIM($E34)="","△ No one accepts it",IF($I34=0,IF(TRIM($C34)="","△ Serves no deliverable",IF(SUMPRODUCT(--(Baseline!$B$26:$B$33=$C34))=0,"△ "&amp;$C34&amp;" isn't a deliverable on Baseline",IF(LEFT(TRIM($E34),MIN(FIND(" ",TRIM($E34)&amp;" "),FIND("(",TRIM($E34)&amp;"("))-1)&lt;&gt;LEFT(TRIM(INDEX(Baseline!$D$26:$D$33,MATCH($C34,Baseline!$B$26:$B$33,0))),MIN(FIND(" ",TRIM(INDEX(Baseline!$D$26:$D$33,MATCH($C34,Baseline!$B$26:$B$33,0)))&amp;" "),FIND("(",TRIM(INDEX(Baseline!$D$26:$D$33,MATCH($C34,Baseline!$B$26:$B$33,0)))&amp;"("))-1),"△ Accepted by differs from the deliverable's on Baseline",IF($J34=0,"△ No estimate","○ Clear")))),IF($J34&gt;0,"△ Estimate its parts. A parent has no estimate of its own","○ Clear"))))))))</f>
        <v/>
      </c>
      <c r="I34" s="24">
        <f>IF($K34=0,"",SUMPRODUCT(--(LEFT($A$6:$A$65,LEN($A34)+1)=$A34&amp;".")))</f>
        <v/>
      </c>
      <c r="J34" s="24">
        <f>IF(OR($K34=0,TRIM($A34)=""),0,SUMPRODUCT(--(Estimates!$A$6:$A$45=$A34)))</f>
        <v/>
      </c>
      <c r="K34" s="24">
        <f>IF(COUNTA($A34:$E34)&gt;0,1,0)</f>
        <v/>
      </c>
      <c r="L34" s="24">
        <f>IF(AND($K34=1,$G34&lt;&gt;"○ Clear"),1,0)</f>
        <v/>
      </c>
    </row>
    <row r="35">
      <c r="A35" s="25" t="n"/>
      <c r="B35" s="23" t="n"/>
      <c r="C35" s="35" t="n"/>
      <c r="D35" s="23" t="n"/>
      <c r="E35" s="23" t="n"/>
      <c r="F35" s="27">
        <f>IF($K35=0,"",SUMPRODUCT(--(((Estimates!$A$6:$A$45=$A35)+(LEFT(Estimates!$A$6:$A$45,LEN($A35)+1)=$A35&amp;"."))&gt;0),Estimates!$P$6:$P$45))</f>
        <v/>
      </c>
      <c r="G35" s="28">
        <f>IF($K35=0,"",IF(AND(TRIM($A35)&lt;&gt;"",SUMPRODUCT(--($A$6:$A$65=$A35))&gt;1),"△ Number used twice",IF(TRIM($A35)="","△ No number",IF(TRIM($B35)="","△ No name",IF(TRIM($D35)="","△ No owner",IF(TRIM($E35)="","△ No one accepts it",IF($I35=0,IF(TRIM($C35)="","△ Serves no deliverable",IF(SUMPRODUCT(--(Baseline!$B$26:$B$33=$C35))=0,"△ "&amp;$C35&amp;" isn't a deliverable on Baseline",IF(LEFT(TRIM($E35),MIN(FIND(" ",TRIM($E35)&amp;" "),FIND("(",TRIM($E35)&amp;"("))-1)&lt;&gt;LEFT(TRIM(INDEX(Baseline!$D$26:$D$33,MATCH($C35,Baseline!$B$26:$B$33,0))),MIN(FIND(" ",TRIM(INDEX(Baseline!$D$26:$D$33,MATCH($C35,Baseline!$B$26:$B$33,0)))&amp;" "),FIND("(",TRIM(INDEX(Baseline!$D$26:$D$33,MATCH($C35,Baseline!$B$26:$B$33,0)))&amp;"("))-1),"△ Accepted by differs from the deliverable's on Baseline",IF($J35=0,"△ No estimate","○ Clear")))),IF($J35&gt;0,"△ Estimate its parts. A parent has no estimate of its own","○ Clear"))))))))</f>
        <v/>
      </c>
      <c r="I35" s="24">
        <f>IF($K35=0,"",SUMPRODUCT(--(LEFT($A$6:$A$65,LEN($A35)+1)=$A35&amp;".")))</f>
        <v/>
      </c>
      <c r="J35" s="24">
        <f>IF(OR($K35=0,TRIM($A35)=""),0,SUMPRODUCT(--(Estimates!$A$6:$A$45=$A35)))</f>
        <v/>
      </c>
      <c r="K35" s="24">
        <f>IF(COUNTA($A35:$E35)&gt;0,1,0)</f>
        <v/>
      </c>
      <c r="L35" s="24">
        <f>IF(AND($K35=1,$G35&lt;&gt;"○ Clear"),1,0)</f>
        <v/>
      </c>
    </row>
    <row r="36">
      <c r="A36" s="25" t="n"/>
      <c r="B36" s="23" t="n"/>
      <c r="C36" s="35" t="n"/>
      <c r="D36" s="23" t="n"/>
      <c r="E36" s="23" t="n"/>
      <c r="F36" s="27">
        <f>IF($K36=0,"",SUMPRODUCT(--(((Estimates!$A$6:$A$45=$A36)+(LEFT(Estimates!$A$6:$A$45,LEN($A36)+1)=$A36&amp;"."))&gt;0),Estimates!$P$6:$P$45))</f>
        <v/>
      </c>
      <c r="G36" s="28">
        <f>IF($K36=0,"",IF(AND(TRIM($A36)&lt;&gt;"",SUMPRODUCT(--($A$6:$A$65=$A36))&gt;1),"△ Number used twice",IF(TRIM($A36)="","△ No number",IF(TRIM($B36)="","△ No name",IF(TRIM($D36)="","△ No owner",IF(TRIM($E36)="","△ No one accepts it",IF($I36=0,IF(TRIM($C36)="","△ Serves no deliverable",IF(SUMPRODUCT(--(Baseline!$B$26:$B$33=$C36))=0,"△ "&amp;$C36&amp;" isn't a deliverable on Baseline",IF(LEFT(TRIM($E36),MIN(FIND(" ",TRIM($E36)&amp;" "),FIND("(",TRIM($E36)&amp;"("))-1)&lt;&gt;LEFT(TRIM(INDEX(Baseline!$D$26:$D$33,MATCH($C36,Baseline!$B$26:$B$33,0))),MIN(FIND(" ",TRIM(INDEX(Baseline!$D$26:$D$33,MATCH($C36,Baseline!$B$26:$B$33,0)))&amp;" "),FIND("(",TRIM(INDEX(Baseline!$D$26:$D$33,MATCH($C36,Baseline!$B$26:$B$33,0)))&amp;"("))-1),"△ Accepted by differs from the deliverable's on Baseline",IF($J36=0,"△ No estimate","○ Clear")))),IF($J36&gt;0,"△ Estimate its parts. A parent has no estimate of its own","○ Clear"))))))))</f>
        <v/>
      </c>
      <c r="I36" s="24">
        <f>IF($K36=0,"",SUMPRODUCT(--(LEFT($A$6:$A$65,LEN($A36)+1)=$A36&amp;".")))</f>
        <v/>
      </c>
      <c r="J36" s="24">
        <f>IF(OR($K36=0,TRIM($A36)=""),0,SUMPRODUCT(--(Estimates!$A$6:$A$45=$A36)))</f>
        <v/>
      </c>
      <c r="K36" s="24">
        <f>IF(COUNTA($A36:$E36)&gt;0,1,0)</f>
        <v/>
      </c>
      <c r="L36" s="24">
        <f>IF(AND($K36=1,$G36&lt;&gt;"○ Clear"),1,0)</f>
        <v/>
      </c>
    </row>
    <row r="37">
      <c r="A37" s="25" t="n"/>
      <c r="B37" s="23" t="n"/>
      <c r="C37" s="35" t="n"/>
      <c r="D37" s="23" t="n"/>
      <c r="E37" s="23" t="n"/>
      <c r="F37" s="27">
        <f>IF($K37=0,"",SUMPRODUCT(--(((Estimates!$A$6:$A$45=$A37)+(LEFT(Estimates!$A$6:$A$45,LEN($A37)+1)=$A37&amp;"."))&gt;0),Estimates!$P$6:$P$45))</f>
        <v/>
      </c>
      <c r="G37" s="28">
        <f>IF($K37=0,"",IF(AND(TRIM($A37)&lt;&gt;"",SUMPRODUCT(--($A$6:$A$65=$A37))&gt;1),"△ Number used twice",IF(TRIM($A37)="","△ No number",IF(TRIM($B37)="","△ No name",IF(TRIM($D37)="","△ No owner",IF(TRIM($E37)="","△ No one accepts it",IF($I37=0,IF(TRIM($C37)="","△ Serves no deliverable",IF(SUMPRODUCT(--(Baseline!$B$26:$B$33=$C37))=0,"△ "&amp;$C37&amp;" isn't a deliverable on Baseline",IF(LEFT(TRIM($E37),MIN(FIND(" ",TRIM($E37)&amp;" "),FIND("(",TRIM($E37)&amp;"("))-1)&lt;&gt;LEFT(TRIM(INDEX(Baseline!$D$26:$D$33,MATCH($C37,Baseline!$B$26:$B$33,0))),MIN(FIND(" ",TRIM(INDEX(Baseline!$D$26:$D$33,MATCH($C37,Baseline!$B$26:$B$33,0)))&amp;" "),FIND("(",TRIM(INDEX(Baseline!$D$26:$D$33,MATCH($C37,Baseline!$B$26:$B$33,0)))&amp;"("))-1),"△ Accepted by differs from the deliverable's on Baseline",IF($J37=0,"△ No estimate","○ Clear")))),IF($J37&gt;0,"△ Estimate its parts. A parent has no estimate of its own","○ Clear"))))))))</f>
        <v/>
      </c>
      <c r="I37" s="24">
        <f>IF($K37=0,"",SUMPRODUCT(--(LEFT($A$6:$A$65,LEN($A37)+1)=$A37&amp;".")))</f>
        <v/>
      </c>
      <c r="J37" s="24">
        <f>IF(OR($K37=0,TRIM($A37)=""),0,SUMPRODUCT(--(Estimates!$A$6:$A$45=$A37)))</f>
        <v/>
      </c>
      <c r="K37" s="24">
        <f>IF(COUNTA($A37:$E37)&gt;0,1,0)</f>
        <v/>
      </c>
      <c r="L37" s="24">
        <f>IF(AND($K37=1,$G37&lt;&gt;"○ Clear"),1,0)</f>
        <v/>
      </c>
    </row>
    <row r="38">
      <c r="A38" s="25" t="n"/>
      <c r="B38" s="23" t="n"/>
      <c r="C38" s="35" t="n"/>
      <c r="D38" s="23" t="n"/>
      <c r="E38" s="23" t="n"/>
      <c r="F38" s="27">
        <f>IF($K38=0,"",SUMPRODUCT(--(((Estimates!$A$6:$A$45=$A38)+(LEFT(Estimates!$A$6:$A$45,LEN($A38)+1)=$A38&amp;"."))&gt;0),Estimates!$P$6:$P$45))</f>
        <v/>
      </c>
      <c r="G38" s="28">
        <f>IF($K38=0,"",IF(AND(TRIM($A38)&lt;&gt;"",SUMPRODUCT(--($A$6:$A$65=$A38))&gt;1),"△ Number used twice",IF(TRIM($A38)="","△ No number",IF(TRIM($B38)="","△ No name",IF(TRIM($D38)="","△ No owner",IF(TRIM($E38)="","△ No one accepts it",IF($I38=0,IF(TRIM($C38)="","△ Serves no deliverable",IF(SUMPRODUCT(--(Baseline!$B$26:$B$33=$C38))=0,"△ "&amp;$C38&amp;" isn't a deliverable on Baseline",IF(LEFT(TRIM($E38),MIN(FIND(" ",TRIM($E38)&amp;" "),FIND("(",TRIM($E38)&amp;"("))-1)&lt;&gt;LEFT(TRIM(INDEX(Baseline!$D$26:$D$33,MATCH($C38,Baseline!$B$26:$B$33,0))),MIN(FIND(" ",TRIM(INDEX(Baseline!$D$26:$D$33,MATCH($C38,Baseline!$B$26:$B$33,0)))&amp;" "),FIND("(",TRIM(INDEX(Baseline!$D$26:$D$33,MATCH($C38,Baseline!$B$26:$B$33,0)))&amp;"("))-1),"△ Accepted by differs from the deliverable's on Baseline",IF($J38=0,"△ No estimate","○ Clear")))),IF($J38&gt;0,"△ Estimate its parts. A parent has no estimate of its own","○ Clear"))))))))</f>
        <v/>
      </c>
      <c r="I38" s="24">
        <f>IF($K38=0,"",SUMPRODUCT(--(LEFT($A$6:$A$65,LEN($A38)+1)=$A38&amp;".")))</f>
        <v/>
      </c>
      <c r="J38" s="24">
        <f>IF(OR($K38=0,TRIM($A38)=""),0,SUMPRODUCT(--(Estimates!$A$6:$A$45=$A38)))</f>
        <v/>
      </c>
      <c r="K38" s="24">
        <f>IF(COUNTA($A38:$E38)&gt;0,1,0)</f>
        <v/>
      </c>
      <c r="L38" s="24">
        <f>IF(AND($K38=1,$G38&lt;&gt;"○ Clear"),1,0)</f>
        <v/>
      </c>
    </row>
    <row r="39">
      <c r="A39" s="25" t="n"/>
      <c r="B39" s="23" t="n"/>
      <c r="C39" s="35" t="n"/>
      <c r="D39" s="23" t="n"/>
      <c r="E39" s="23" t="n"/>
      <c r="F39" s="27">
        <f>IF($K39=0,"",SUMPRODUCT(--(((Estimates!$A$6:$A$45=$A39)+(LEFT(Estimates!$A$6:$A$45,LEN($A39)+1)=$A39&amp;"."))&gt;0),Estimates!$P$6:$P$45))</f>
        <v/>
      </c>
      <c r="G39" s="28">
        <f>IF($K39=0,"",IF(AND(TRIM($A39)&lt;&gt;"",SUMPRODUCT(--($A$6:$A$65=$A39))&gt;1),"△ Number used twice",IF(TRIM($A39)="","△ No number",IF(TRIM($B39)="","△ No name",IF(TRIM($D39)="","△ No owner",IF(TRIM($E39)="","△ No one accepts it",IF($I39=0,IF(TRIM($C39)="","△ Serves no deliverable",IF(SUMPRODUCT(--(Baseline!$B$26:$B$33=$C39))=0,"△ "&amp;$C39&amp;" isn't a deliverable on Baseline",IF(LEFT(TRIM($E39),MIN(FIND(" ",TRIM($E39)&amp;" "),FIND("(",TRIM($E39)&amp;"("))-1)&lt;&gt;LEFT(TRIM(INDEX(Baseline!$D$26:$D$33,MATCH($C39,Baseline!$B$26:$B$33,0))),MIN(FIND(" ",TRIM(INDEX(Baseline!$D$26:$D$33,MATCH($C39,Baseline!$B$26:$B$33,0)))&amp;" "),FIND("(",TRIM(INDEX(Baseline!$D$26:$D$33,MATCH($C39,Baseline!$B$26:$B$33,0)))&amp;"("))-1),"△ Accepted by differs from the deliverable's on Baseline",IF($J39=0,"△ No estimate","○ Clear")))),IF($J39&gt;0,"△ Estimate its parts. A parent has no estimate of its own","○ Clear"))))))))</f>
        <v/>
      </c>
      <c r="I39" s="24">
        <f>IF($K39=0,"",SUMPRODUCT(--(LEFT($A$6:$A$65,LEN($A39)+1)=$A39&amp;".")))</f>
        <v/>
      </c>
      <c r="J39" s="24">
        <f>IF(OR($K39=0,TRIM($A39)=""),0,SUMPRODUCT(--(Estimates!$A$6:$A$45=$A39)))</f>
        <v/>
      </c>
      <c r="K39" s="24">
        <f>IF(COUNTA($A39:$E39)&gt;0,1,0)</f>
        <v/>
      </c>
      <c r="L39" s="24">
        <f>IF(AND($K39=1,$G39&lt;&gt;"○ Clear"),1,0)</f>
        <v/>
      </c>
    </row>
    <row r="40">
      <c r="A40" s="25" t="n"/>
      <c r="B40" s="23" t="n"/>
      <c r="C40" s="35" t="n"/>
      <c r="D40" s="23" t="n"/>
      <c r="E40" s="23" t="n"/>
      <c r="F40" s="27">
        <f>IF($K40=0,"",SUMPRODUCT(--(((Estimates!$A$6:$A$45=$A40)+(LEFT(Estimates!$A$6:$A$45,LEN($A40)+1)=$A40&amp;"."))&gt;0),Estimates!$P$6:$P$45))</f>
        <v/>
      </c>
      <c r="G40" s="28">
        <f>IF($K40=0,"",IF(AND(TRIM($A40)&lt;&gt;"",SUMPRODUCT(--($A$6:$A$65=$A40))&gt;1),"△ Number used twice",IF(TRIM($A40)="","△ No number",IF(TRIM($B40)="","△ No name",IF(TRIM($D40)="","△ No owner",IF(TRIM($E40)="","△ No one accepts it",IF($I40=0,IF(TRIM($C40)="","△ Serves no deliverable",IF(SUMPRODUCT(--(Baseline!$B$26:$B$33=$C40))=0,"△ "&amp;$C40&amp;" isn't a deliverable on Baseline",IF(LEFT(TRIM($E40),MIN(FIND(" ",TRIM($E40)&amp;" "),FIND("(",TRIM($E40)&amp;"("))-1)&lt;&gt;LEFT(TRIM(INDEX(Baseline!$D$26:$D$33,MATCH($C40,Baseline!$B$26:$B$33,0))),MIN(FIND(" ",TRIM(INDEX(Baseline!$D$26:$D$33,MATCH($C40,Baseline!$B$26:$B$33,0)))&amp;" "),FIND("(",TRIM(INDEX(Baseline!$D$26:$D$33,MATCH($C40,Baseline!$B$26:$B$33,0)))&amp;"("))-1),"△ Accepted by differs from the deliverable's on Baseline",IF($J40=0,"△ No estimate","○ Clear")))),IF($J40&gt;0,"△ Estimate its parts. A parent has no estimate of its own","○ Clear"))))))))</f>
        <v/>
      </c>
      <c r="I40" s="24">
        <f>IF($K40=0,"",SUMPRODUCT(--(LEFT($A$6:$A$65,LEN($A40)+1)=$A40&amp;".")))</f>
        <v/>
      </c>
      <c r="J40" s="24">
        <f>IF(OR($K40=0,TRIM($A40)=""),0,SUMPRODUCT(--(Estimates!$A$6:$A$45=$A40)))</f>
        <v/>
      </c>
      <c r="K40" s="24">
        <f>IF(COUNTA($A40:$E40)&gt;0,1,0)</f>
        <v/>
      </c>
      <c r="L40" s="24">
        <f>IF(AND($K40=1,$G40&lt;&gt;"○ Clear"),1,0)</f>
        <v/>
      </c>
    </row>
    <row r="41">
      <c r="A41" s="25" t="n"/>
      <c r="B41" s="23" t="n"/>
      <c r="C41" s="35" t="n"/>
      <c r="D41" s="23" t="n"/>
      <c r="E41" s="23" t="n"/>
      <c r="F41" s="27">
        <f>IF($K41=0,"",SUMPRODUCT(--(((Estimates!$A$6:$A$45=$A41)+(LEFT(Estimates!$A$6:$A$45,LEN($A41)+1)=$A41&amp;"."))&gt;0),Estimates!$P$6:$P$45))</f>
        <v/>
      </c>
      <c r="G41" s="28">
        <f>IF($K41=0,"",IF(AND(TRIM($A41)&lt;&gt;"",SUMPRODUCT(--($A$6:$A$65=$A41))&gt;1),"△ Number used twice",IF(TRIM($A41)="","△ No number",IF(TRIM($B41)="","△ No name",IF(TRIM($D41)="","△ No owner",IF(TRIM($E41)="","△ No one accepts it",IF($I41=0,IF(TRIM($C41)="","△ Serves no deliverable",IF(SUMPRODUCT(--(Baseline!$B$26:$B$33=$C41))=0,"△ "&amp;$C41&amp;" isn't a deliverable on Baseline",IF(LEFT(TRIM($E41),MIN(FIND(" ",TRIM($E41)&amp;" "),FIND("(",TRIM($E41)&amp;"("))-1)&lt;&gt;LEFT(TRIM(INDEX(Baseline!$D$26:$D$33,MATCH($C41,Baseline!$B$26:$B$33,0))),MIN(FIND(" ",TRIM(INDEX(Baseline!$D$26:$D$33,MATCH($C41,Baseline!$B$26:$B$33,0)))&amp;" "),FIND("(",TRIM(INDEX(Baseline!$D$26:$D$33,MATCH($C41,Baseline!$B$26:$B$33,0)))&amp;"("))-1),"△ Accepted by differs from the deliverable's on Baseline",IF($J41=0,"△ No estimate","○ Clear")))),IF($J41&gt;0,"△ Estimate its parts. A parent has no estimate of its own","○ Clear"))))))))</f>
        <v/>
      </c>
      <c r="I41" s="24">
        <f>IF($K41=0,"",SUMPRODUCT(--(LEFT($A$6:$A$65,LEN($A41)+1)=$A41&amp;".")))</f>
        <v/>
      </c>
      <c r="J41" s="24">
        <f>IF(OR($K41=0,TRIM($A41)=""),0,SUMPRODUCT(--(Estimates!$A$6:$A$45=$A41)))</f>
        <v/>
      </c>
      <c r="K41" s="24">
        <f>IF(COUNTA($A41:$E41)&gt;0,1,0)</f>
        <v/>
      </c>
      <c r="L41" s="24">
        <f>IF(AND($K41=1,$G41&lt;&gt;"○ Clear"),1,0)</f>
        <v/>
      </c>
    </row>
    <row r="42">
      <c r="A42" s="25" t="n"/>
      <c r="B42" s="23" t="n"/>
      <c r="C42" s="35" t="n"/>
      <c r="D42" s="23" t="n"/>
      <c r="E42" s="23" t="n"/>
      <c r="F42" s="27">
        <f>IF($K42=0,"",SUMPRODUCT(--(((Estimates!$A$6:$A$45=$A42)+(LEFT(Estimates!$A$6:$A$45,LEN($A42)+1)=$A42&amp;"."))&gt;0),Estimates!$P$6:$P$45))</f>
        <v/>
      </c>
      <c r="G42" s="28">
        <f>IF($K42=0,"",IF(AND(TRIM($A42)&lt;&gt;"",SUMPRODUCT(--($A$6:$A$65=$A42))&gt;1),"△ Number used twice",IF(TRIM($A42)="","△ No number",IF(TRIM($B42)="","△ No name",IF(TRIM($D42)="","△ No owner",IF(TRIM($E42)="","△ No one accepts it",IF($I42=0,IF(TRIM($C42)="","△ Serves no deliverable",IF(SUMPRODUCT(--(Baseline!$B$26:$B$33=$C42))=0,"△ "&amp;$C42&amp;" isn't a deliverable on Baseline",IF(LEFT(TRIM($E42),MIN(FIND(" ",TRIM($E42)&amp;" "),FIND("(",TRIM($E42)&amp;"("))-1)&lt;&gt;LEFT(TRIM(INDEX(Baseline!$D$26:$D$33,MATCH($C42,Baseline!$B$26:$B$33,0))),MIN(FIND(" ",TRIM(INDEX(Baseline!$D$26:$D$33,MATCH($C42,Baseline!$B$26:$B$33,0)))&amp;" "),FIND("(",TRIM(INDEX(Baseline!$D$26:$D$33,MATCH($C42,Baseline!$B$26:$B$33,0)))&amp;"("))-1),"△ Accepted by differs from the deliverable's on Baseline",IF($J42=0,"△ No estimate","○ Clear")))),IF($J42&gt;0,"△ Estimate its parts. A parent has no estimate of its own","○ Clear"))))))))</f>
        <v/>
      </c>
      <c r="I42" s="24">
        <f>IF($K42=0,"",SUMPRODUCT(--(LEFT($A$6:$A$65,LEN($A42)+1)=$A42&amp;".")))</f>
        <v/>
      </c>
      <c r="J42" s="24">
        <f>IF(OR($K42=0,TRIM($A42)=""),0,SUMPRODUCT(--(Estimates!$A$6:$A$45=$A42)))</f>
        <v/>
      </c>
      <c r="K42" s="24">
        <f>IF(COUNTA($A42:$E42)&gt;0,1,0)</f>
        <v/>
      </c>
      <c r="L42" s="24">
        <f>IF(AND($K42=1,$G42&lt;&gt;"○ Clear"),1,0)</f>
        <v/>
      </c>
    </row>
    <row r="43">
      <c r="A43" s="25" t="n"/>
      <c r="B43" s="23" t="n"/>
      <c r="C43" s="35" t="n"/>
      <c r="D43" s="23" t="n"/>
      <c r="E43" s="23" t="n"/>
      <c r="F43" s="27">
        <f>IF($K43=0,"",SUMPRODUCT(--(((Estimates!$A$6:$A$45=$A43)+(LEFT(Estimates!$A$6:$A$45,LEN($A43)+1)=$A43&amp;"."))&gt;0),Estimates!$P$6:$P$45))</f>
        <v/>
      </c>
      <c r="G43" s="28">
        <f>IF($K43=0,"",IF(AND(TRIM($A43)&lt;&gt;"",SUMPRODUCT(--($A$6:$A$65=$A43))&gt;1),"△ Number used twice",IF(TRIM($A43)="","△ No number",IF(TRIM($B43)="","△ No name",IF(TRIM($D43)="","△ No owner",IF(TRIM($E43)="","△ No one accepts it",IF($I43=0,IF(TRIM($C43)="","△ Serves no deliverable",IF(SUMPRODUCT(--(Baseline!$B$26:$B$33=$C43))=0,"△ "&amp;$C43&amp;" isn't a deliverable on Baseline",IF(LEFT(TRIM($E43),MIN(FIND(" ",TRIM($E43)&amp;" "),FIND("(",TRIM($E43)&amp;"("))-1)&lt;&gt;LEFT(TRIM(INDEX(Baseline!$D$26:$D$33,MATCH($C43,Baseline!$B$26:$B$33,0))),MIN(FIND(" ",TRIM(INDEX(Baseline!$D$26:$D$33,MATCH($C43,Baseline!$B$26:$B$33,0)))&amp;" "),FIND("(",TRIM(INDEX(Baseline!$D$26:$D$33,MATCH($C43,Baseline!$B$26:$B$33,0)))&amp;"("))-1),"△ Accepted by differs from the deliverable's on Baseline",IF($J43=0,"△ No estimate","○ Clear")))),IF($J43&gt;0,"△ Estimate its parts. A parent has no estimate of its own","○ Clear"))))))))</f>
        <v/>
      </c>
      <c r="I43" s="24">
        <f>IF($K43=0,"",SUMPRODUCT(--(LEFT($A$6:$A$65,LEN($A43)+1)=$A43&amp;".")))</f>
        <v/>
      </c>
      <c r="J43" s="24">
        <f>IF(OR($K43=0,TRIM($A43)=""),0,SUMPRODUCT(--(Estimates!$A$6:$A$45=$A43)))</f>
        <v/>
      </c>
      <c r="K43" s="24">
        <f>IF(COUNTA($A43:$E43)&gt;0,1,0)</f>
        <v/>
      </c>
      <c r="L43" s="24">
        <f>IF(AND($K43=1,$G43&lt;&gt;"○ Clear"),1,0)</f>
        <v/>
      </c>
    </row>
    <row r="44">
      <c r="A44" s="25" t="n"/>
      <c r="B44" s="23" t="n"/>
      <c r="C44" s="35" t="n"/>
      <c r="D44" s="23" t="n"/>
      <c r="E44" s="23" t="n"/>
      <c r="F44" s="27">
        <f>IF($K44=0,"",SUMPRODUCT(--(((Estimates!$A$6:$A$45=$A44)+(LEFT(Estimates!$A$6:$A$45,LEN($A44)+1)=$A44&amp;"."))&gt;0),Estimates!$P$6:$P$45))</f>
        <v/>
      </c>
      <c r="G44" s="28">
        <f>IF($K44=0,"",IF(AND(TRIM($A44)&lt;&gt;"",SUMPRODUCT(--($A$6:$A$65=$A44))&gt;1),"△ Number used twice",IF(TRIM($A44)="","△ No number",IF(TRIM($B44)="","△ No name",IF(TRIM($D44)="","△ No owner",IF(TRIM($E44)="","△ No one accepts it",IF($I44=0,IF(TRIM($C44)="","△ Serves no deliverable",IF(SUMPRODUCT(--(Baseline!$B$26:$B$33=$C44))=0,"△ "&amp;$C44&amp;" isn't a deliverable on Baseline",IF(LEFT(TRIM($E44),MIN(FIND(" ",TRIM($E44)&amp;" "),FIND("(",TRIM($E44)&amp;"("))-1)&lt;&gt;LEFT(TRIM(INDEX(Baseline!$D$26:$D$33,MATCH($C44,Baseline!$B$26:$B$33,0))),MIN(FIND(" ",TRIM(INDEX(Baseline!$D$26:$D$33,MATCH($C44,Baseline!$B$26:$B$33,0)))&amp;" "),FIND("(",TRIM(INDEX(Baseline!$D$26:$D$33,MATCH($C44,Baseline!$B$26:$B$33,0)))&amp;"("))-1),"△ Accepted by differs from the deliverable's on Baseline",IF($J44=0,"△ No estimate","○ Clear")))),IF($J44&gt;0,"△ Estimate its parts. A parent has no estimate of its own","○ Clear"))))))))</f>
        <v/>
      </c>
      <c r="I44" s="24">
        <f>IF($K44=0,"",SUMPRODUCT(--(LEFT($A$6:$A$65,LEN($A44)+1)=$A44&amp;".")))</f>
        <v/>
      </c>
      <c r="J44" s="24">
        <f>IF(OR($K44=0,TRIM($A44)=""),0,SUMPRODUCT(--(Estimates!$A$6:$A$45=$A44)))</f>
        <v/>
      </c>
      <c r="K44" s="24">
        <f>IF(COUNTA($A44:$E44)&gt;0,1,0)</f>
        <v/>
      </c>
      <c r="L44" s="24">
        <f>IF(AND($K44=1,$G44&lt;&gt;"○ Clear"),1,0)</f>
        <v/>
      </c>
    </row>
    <row r="45">
      <c r="A45" s="25" t="n"/>
      <c r="B45" s="23" t="n"/>
      <c r="C45" s="35" t="n"/>
      <c r="D45" s="23" t="n"/>
      <c r="E45" s="23" t="n"/>
      <c r="F45" s="27">
        <f>IF($K45=0,"",SUMPRODUCT(--(((Estimates!$A$6:$A$45=$A45)+(LEFT(Estimates!$A$6:$A$45,LEN($A45)+1)=$A45&amp;"."))&gt;0),Estimates!$P$6:$P$45))</f>
        <v/>
      </c>
      <c r="G45" s="28">
        <f>IF($K45=0,"",IF(AND(TRIM($A45)&lt;&gt;"",SUMPRODUCT(--($A$6:$A$65=$A45))&gt;1),"△ Number used twice",IF(TRIM($A45)="","△ No number",IF(TRIM($B45)="","△ No name",IF(TRIM($D45)="","△ No owner",IF(TRIM($E45)="","△ No one accepts it",IF($I45=0,IF(TRIM($C45)="","△ Serves no deliverable",IF(SUMPRODUCT(--(Baseline!$B$26:$B$33=$C45))=0,"△ "&amp;$C45&amp;" isn't a deliverable on Baseline",IF(LEFT(TRIM($E45),MIN(FIND(" ",TRIM($E45)&amp;" "),FIND("(",TRIM($E45)&amp;"("))-1)&lt;&gt;LEFT(TRIM(INDEX(Baseline!$D$26:$D$33,MATCH($C45,Baseline!$B$26:$B$33,0))),MIN(FIND(" ",TRIM(INDEX(Baseline!$D$26:$D$33,MATCH($C45,Baseline!$B$26:$B$33,0)))&amp;" "),FIND("(",TRIM(INDEX(Baseline!$D$26:$D$33,MATCH($C45,Baseline!$B$26:$B$33,0)))&amp;"("))-1),"△ Accepted by differs from the deliverable's on Baseline",IF($J45=0,"△ No estimate","○ Clear")))),IF($J45&gt;0,"△ Estimate its parts. A parent has no estimate of its own","○ Clear"))))))))</f>
        <v/>
      </c>
      <c r="I45" s="24">
        <f>IF($K45=0,"",SUMPRODUCT(--(LEFT($A$6:$A$65,LEN($A45)+1)=$A45&amp;".")))</f>
        <v/>
      </c>
      <c r="J45" s="24">
        <f>IF(OR($K45=0,TRIM($A45)=""),0,SUMPRODUCT(--(Estimates!$A$6:$A$45=$A45)))</f>
        <v/>
      </c>
      <c r="K45" s="24">
        <f>IF(COUNTA($A45:$E45)&gt;0,1,0)</f>
        <v/>
      </c>
      <c r="L45" s="24">
        <f>IF(AND($K45=1,$G45&lt;&gt;"○ Clear"),1,0)</f>
        <v/>
      </c>
    </row>
    <row r="46">
      <c r="A46" s="25" t="n"/>
      <c r="B46" s="23" t="n"/>
      <c r="C46" s="35" t="n"/>
      <c r="D46" s="23" t="n"/>
      <c r="E46" s="23" t="n"/>
      <c r="F46" s="27">
        <f>IF($K46=0,"",SUMPRODUCT(--(((Estimates!$A$6:$A$45=$A46)+(LEFT(Estimates!$A$6:$A$45,LEN($A46)+1)=$A46&amp;"."))&gt;0),Estimates!$P$6:$P$45))</f>
        <v/>
      </c>
      <c r="G46" s="28">
        <f>IF($K46=0,"",IF(AND(TRIM($A46)&lt;&gt;"",SUMPRODUCT(--($A$6:$A$65=$A46))&gt;1),"△ Number used twice",IF(TRIM($A46)="","△ No number",IF(TRIM($B46)="","△ No name",IF(TRIM($D46)="","△ No owner",IF(TRIM($E46)="","△ No one accepts it",IF($I46=0,IF(TRIM($C46)="","△ Serves no deliverable",IF(SUMPRODUCT(--(Baseline!$B$26:$B$33=$C46))=0,"△ "&amp;$C46&amp;" isn't a deliverable on Baseline",IF(LEFT(TRIM($E46),MIN(FIND(" ",TRIM($E46)&amp;" "),FIND("(",TRIM($E46)&amp;"("))-1)&lt;&gt;LEFT(TRIM(INDEX(Baseline!$D$26:$D$33,MATCH($C46,Baseline!$B$26:$B$33,0))),MIN(FIND(" ",TRIM(INDEX(Baseline!$D$26:$D$33,MATCH($C46,Baseline!$B$26:$B$33,0)))&amp;" "),FIND("(",TRIM(INDEX(Baseline!$D$26:$D$33,MATCH($C46,Baseline!$B$26:$B$33,0)))&amp;"("))-1),"△ Accepted by differs from the deliverable's on Baseline",IF($J46=0,"△ No estimate","○ Clear")))),IF($J46&gt;0,"△ Estimate its parts. A parent has no estimate of its own","○ Clear"))))))))</f>
        <v/>
      </c>
      <c r="I46" s="24">
        <f>IF($K46=0,"",SUMPRODUCT(--(LEFT($A$6:$A$65,LEN($A46)+1)=$A46&amp;".")))</f>
        <v/>
      </c>
      <c r="J46" s="24">
        <f>IF(OR($K46=0,TRIM($A46)=""),0,SUMPRODUCT(--(Estimates!$A$6:$A$45=$A46)))</f>
        <v/>
      </c>
      <c r="K46" s="24">
        <f>IF(COUNTA($A46:$E46)&gt;0,1,0)</f>
        <v/>
      </c>
      <c r="L46" s="24">
        <f>IF(AND($K46=1,$G46&lt;&gt;"○ Clear"),1,0)</f>
        <v/>
      </c>
    </row>
    <row r="47">
      <c r="A47" s="25" t="n"/>
      <c r="B47" s="23" t="n"/>
      <c r="C47" s="35" t="n"/>
      <c r="D47" s="23" t="n"/>
      <c r="E47" s="23" t="n"/>
      <c r="F47" s="27">
        <f>IF($K47=0,"",SUMPRODUCT(--(((Estimates!$A$6:$A$45=$A47)+(LEFT(Estimates!$A$6:$A$45,LEN($A47)+1)=$A47&amp;"."))&gt;0),Estimates!$P$6:$P$45))</f>
        <v/>
      </c>
      <c r="G47" s="28">
        <f>IF($K47=0,"",IF(AND(TRIM($A47)&lt;&gt;"",SUMPRODUCT(--($A$6:$A$65=$A47))&gt;1),"△ Number used twice",IF(TRIM($A47)="","△ No number",IF(TRIM($B47)="","△ No name",IF(TRIM($D47)="","△ No owner",IF(TRIM($E47)="","△ No one accepts it",IF($I47=0,IF(TRIM($C47)="","△ Serves no deliverable",IF(SUMPRODUCT(--(Baseline!$B$26:$B$33=$C47))=0,"△ "&amp;$C47&amp;" isn't a deliverable on Baseline",IF(LEFT(TRIM($E47),MIN(FIND(" ",TRIM($E47)&amp;" "),FIND("(",TRIM($E47)&amp;"("))-1)&lt;&gt;LEFT(TRIM(INDEX(Baseline!$D$26:$D$33,MATCH($C47,Baseline!$B$26:$B$33,0))),MIN(FIND(" ",TRIM(INDEX(Baseline!$D$26:$D$33,MATCH($C47,Baseline!$B$26:$B$33,0)))&amp;" "),FIND("(",TRIM(INDEX(Baseline!$D$26:$D$33,MATCH($C47,Baseline!$B$26:$B$33,0)))&amp;"("))-1),"△ Accepted by differs from the deliverable's on Baseline",IF($J47=0,"△ No estimate","○ Clear")))),IF($J47&gt;0,"△ Estimate its parts. A parent has no estimate of its own","○ Clear"))))))))</f>
        <v/>
      </c>
      <c r="I47" s="24">
        <f>IF($K47=0,"",SUMPRODUCT(--(LEFT($A$6:$A$65,LEN($A47)+1)=$A47&amp;".")))</f>
        <v/>
      </c>
      <c r="J47" s="24">
        <f>IF(OR($K47=0,TRIM($A47)=""),0,SUMPRODUCT(--(Estimates!$A$6:$A$45=$A47)))</f>
        <v/>
      </c>
      <c r="K47" s="24">
        <f>IF(COUNTA($A47:$E47)&gt;0,1,0)</f>
        <v/>
      </c>
      <c r="L47" s="24">
        <f>IF(AND($K47=1,$G47&lt;&gt;"○ Clear"),1,0)</f>
        <v/>
      </c>
    </row>
    <row r="48">
      <c r="A48" s="25" t="n"/>
      <c r="B48" s="23" t="n"/>
      <c r="C48" s="35" t="n"/>
      <c r="D48" s="23" t="n"/>
      <c r="E48" s="23" t="n"/>
      <c r="F48" s="27">
        <f>IF($K48=0,"",SUMPRODUCT(--(((Estimates!$A$6:$A$45=$A48)+(LEFT(Estimates!$A$6:$A$45,LEN($A48)+1)=$A48&amp;"."))&gt;0),Estimates!$P$6:$P$45))</f>
        <v/>
      </c>
      <c r="G48" s="28">
        <f>IF($K48=0,"",IF(AND(TRIM($A48)&lt;&gt;"",SUMPRODUCT(--($A$6:$A$65=$A48))&gt;1),"△ Number used twice",IF(TRIM($A48)="","△ No number",IF(TRIM($B48)="","△ No name",IF(TRIM($D48)="","△ No owner",IF(TRIM($E48)="","△ No one accepts it",IF($I48=0,IF(TRIM($C48)="","△ Serves no deliverable",IF(SUMPRODUCT(--(Baseline!$B$26:$B$33=$C48))=0,"△ "&amp;$C48&amp;" isn't a deliverable on Baseline",IF(LEFT(TRIM($E48),MIN(FIND(" ",TRIM($E48)&amp;" "),FIND("(",TRIM($E48)&amp;"("))-1)&lt;&gt;LEFT(TRIM(INDEX(Baseline!$D$26:$D$33,MATCH($C48,Baseline!$B$26:$B$33,0))),MIN(FIND(" ",TRIM(INDEX(Baseline!$D$26:$D$33,MATCH($C48,Baseline!$B$26:$B$33,0)))&amp;" "),FIND("(",TRIM(INDEX(Baseline!$D$26:$D$33,MATCH($C48,Baseline!$B$26:$B$33,0)))&amp;"("))-1),"△ Accepted by differs from the deliverable's on Baseline",IF($J48=0,"△ No estimate","○ Clear")))),IF($J48&gt;0,"△ Estimate its parts. A parent has no estimate of its own","○ Clear"))))))))</f>
        <v/>
      </c>
      <c r="I48" s="24">
        <f>IF($K48=0,"",SUMPRODUCT(--(LEFT($A$6:$A$65,LEN($A48)+1)=$A48&amp;".")))</f>
        <v/>
      </c>
      <c r="J48" s="24">
        <f>IF(OR($K48=0,TRIM($A48)=""),0,SUMPRODUCT(--(Estimates!$A$6:$A$45=$A48)))</f>
        <v/>
      </c>
      <c r="K48" s="24">
        <f>IF(COUNTA($A48:$E48)&gt;0,1,0)</f>
        <v/>
      </c>
      <c r="L48" s="24">
        <f>IF(AND($K48=1,$G48&lt;&gt;"○ Clear"),1,0)</f>
        <v/>
      </c>
    </row>
    <row r="49">
      <c r="A49" s="25" t="n"/>
      <c r="B49" s="23" t="n"/>
      <c r="C49" s="35" t="n"/>
      <c r="D49" s="23" t="n"/>
      <c r="E49" s="23" t="n"/>
      <c r="F49" s="27">
        <f>IF($K49=0,"",SUMPRODUCT(--(((Estimates!$A$6:$A$45=$A49)+(LEFT(Estimates!$A$6:$A$45,LEN($A49)+1)=$A49&amp;"."))&gt;0),Estimates!$P$6:$P$45))</f>
        <v/>
      </c>
      <c r="G49" s="28">
        <f>IF($K49=0,"",IF(AND(TRIM($A49)&lt;&gt;"",SUMPRODUCT(--($A$6:$A$65=$A49))&gt;1),"△ Number used twice",IF(TRIM($A49)="","△ No number",IF(TRIM($B49)="","△ No name",IF(TRIM($D49)="","△ No owner",IF(TRIM($E49)="","△ No one accepts it",IF($I49=0,IF(TRIM($C49)="","△ Serves no deliverable",IF(SUMPRODUCT(--(Baseline!$B$26:$B$33=$C49))=0,"△ "&amp;$C49&amp;" isn't a deliverable on Baseline",IF(LEFT(TRIM($E49),MIN(FIND(" ",TRIM($E49)&amp;" "),FIND("(",TRIM($E49)&amp;"("))-1)&lt;&gt;LEFT(TRIM(INDEX(Baseline!$D$26:$D$33,MATCH($C49,Baseline!$B$26:$B$33,0))),MIN(FIND(" ",TRIM(INDEX(Baseline!$D$26:$D$33,MATCH($C49,Baseline!$B$26:$B$33,0)))&amp;" "),FIND("(",TRIM(INDEX(Baseline!$D$26:$D$33,MATCH($C49,Baseline!$B$26:$B$33,0)))&amp;"("))-1),"△ Accepted by differs from the deliverable's on Baseline",IF($J49=0,"△ No estimate","○ Clear")))),IF($J49&gt;0,"△ Estimate its parts. A parent has no estimate of its own","○ Clear"))))))))</f>
        <v/>
      </c>
      <c r="I49" s="24">
        <f>IF($K49=0,"",SUMPRODUCT(--(LEFT($A$6:$A$65,LEN($A49)+1)=$A49&amp;".")))</f>
        <v/>
      </c>
      <c r="J49" s="24">
        <f>IF(OR($K49=0,TRIM($A49)=""),0,SUMPRODUCT(--(Estimates!$A$6:$A$45=$A49)))</f>
        <v/>
      </c>
      <c r="K49" s="24">
        <f>IF(COUNTA($A49:$E49)&gt;0,1,0)</f>
        <v/>
      </c>
      <c r="L49" s="24">
        <f>IF(AND($K49=1,$G49&lt;&gt;"○ Clear"),1,0)</f>
        <v/>
      </c>
    </row>
    <row r="50">
      <c r="A50" s="25" t="n"/>
      <c r="B50" s="23" t="n"/>
      <c r="C50" s="35" t="n"/>
      <c r="D50" s="23" t="n"/>
      <c r="E50" s="23" t="n"/>
      <c r="F50" s="27">
        <f>IF($K50=0,"",SUMPRODUCT(--(((Estimates!$A$6:$A$45=$A50)+(LEFT(Estimates!$A$6:$A$45,LEN($A50)+1)=$A50&amp;"."))&gt;0),Estimates!$P$6:$P$45))</f>
        <v/>
      </c>
      <c r="G50" s="28">
        <f>IF($K50=0,"",IF(AND(TRIM($A50)&lt;&gt;"",SUMPRODUCT(--($A$6:$A$65=$A50))&gt;1),"△ Number used twice",IF(TRIM($A50)="","△ No number",IF(TRIM($B50)="","△ No name",IF(TRIM($D50)="","△ No owner",IF(TRIM($E50)="","△ No one accepts it",IF($I50=0,IF(TRIM($C50)="","△ Serves no deliverable",IF(SUMPRODUCT(--(Baseline!$B$26:$B$33=$C50))=0,"△ "&amp;$C50&amp;" isn't a deliverable on Baseline",IF(LEFT(TRIM($E50),MIN(FIND(" ",TRIM($E50)&amp;" "),FIND("(",TRIM($E50)&amp;"("))-1)&lt;&gt;LEFT(TRIM(INDEX(Baseline!$D$26:$D$33,MATCH($C50,Baseline!$B$26:$B$33,0))),MIN(FIND(" ",TRIM(INDEX(Baseline!$D$26:$D$33,MATCH($C50,Baseline!$B$26:$B$33,0)))&amp;" "),FIND("(",TRIM(INDEX(Baseline!$D$26:$D$33,MATCH($C50,Baseline!$B$26:$B$33,0)))&amp;"("))-1),"△ Accepted by differs from the deliverable's on Baseline",IF($J50=0,"△ No estimate","○ Clear")))),IF($J50&gt;0,"△ Estimate its parts. A parent has no estimate of its own","○ Clear"))))))))</f>
        <v/>
      </c>
      <c r="I50" s="24">
        <f>IF($K50=0,"",SUMPRODUCT(--(LEFT($A$6:$A$65,LEN($A50)+1)=$A50&amp;".")))</f>
        <v/>
      </c>
      <c r="J50" s="24">
        <f>IF(OR($K50=0,TRIM($A50)=""),0,SUMPRODUCT(--(Estimates!$A$6:$A$45=$A50)))</f>
        <v/>
      </c>
      <c r="K50" s="24">
        <f>IF(COUNTA($A50:$E50)&gt;0,1,0)</f>
        <v/>
      </c>
      <c r="L50" s="24">
        <f>IF(AND($K50=1,$G50&lt;&gt;"○ Clear"),1,0)</f>
        <v/>
      </c>
    </row>
    <row r="51">
      <c r="A51" s="25" t="n"/>
      <c r="B51" s="23" t="n"/>
      <c r="C51" s="35" t="n"/>
      <c r="D51" s="23" t="n"/>
      <c r="E51" s="23" t="n"/>
      <c r="F51" s="27">
        <f>IF($K51=0,"",SUMPRODUCT(--(((Estimates!$A$6:$A$45=$A51)+(LEFT(Estimates!$A$6:$A$45,LEN($A51)+1)=$A51&amp;"."))&gt;0),Estimates!$P$6:$P$45))</f>
        <v/>
      </c>
      <c r="G51" s="28">
        <f>IF($K51=0,"",IF(AND(TRIM($A51)&lt;&gt;"",SUMPRODUCT(--($A$6:$A$65=$A51))&gt;1),"△ Number used twice",IF(TRIM($A51)="","△ No number",IF(TRIM($B51)="","△ No name",IF(TRIM($D51)="","△ No owner",IF(TRIM($E51)="","△ No one accepts it",IF($I51=0,IF(TRIM($C51)="","△ Serves no deliverable",IF(SUMPRODUCT(--(Baseline!$B$26:$B$33=$C51))=0,"△ "&amp;$C51&amp;" isn't a deliverable on Baseline",IF(LEFT(TRIM($E51),MIN(FIND(" ",TRIM($E51)&amp;" "),FIND("(",TRIM($E51)&amp;"("))-1)&lt;&gt;LEFT(TRIM(INDEX(Baseline!$D$26:$D$33,MATCH($C51,Baseline!$B$26:$B$33,0))),MIN(FIND(" ",TRIM(INDEX(Baseline!$D$26:$D$33,MATCH($C51,Baseline!$B$26:$B$33,0)))&amp;" "),FIND("(",TRIM(INDEX(Baseline!$D$26:$D$33,MATCH($C51,Baseline!$B$26:$B$33,0)))&amp;"("))-1),"△ Accepted by differs from the deliverable's on Baseline",IF($J51=0,"△ No estimate","○ Clear")))),IF($J51&gt;0,"△ Estimate its parts. A parent has no estimate of its own","○ Clear"))))))))</f>
        <v/>
      </c>
      <c r="I51" s="24">
        <f>IF($K51=0,"",SUMPRODUCT(--(LEFT($A$6:$A$65,LEN($A51)+1)=$A51&amp;".")))</f>
        <v/>
      </c>
      <c r="J51" s="24">
        <f>IF(OR($K51=0,TRIM($A51)=""),0,SUMPRODUCT(--(Estimates!$A$6:$A$45=$A51)))</f>
        <v/>
      </c>
      <c r="K51" s="24">
        <f>IF(COUNTA($A51:$E51)&gt;0,1,0)</f>
        <v/>
      </c>
      <c r="L51" s="24">
        <f>IF(AND($K51=1,$G51&lt;&gt;"○ Clear"),1,0)</f>
        <v/>
      </c>
    </row>
    <row r="52">
      <c r="A52" s="25" t="n"/>
      <c r="B52" s="23" t="n"/>
      <c r="C52" s="35" t="n"/>
      <c r="D52" s="23" t="n"/>
      <c r="E52" s="23" t="n"/>
      <c r="F52" s="27">
        <f>IF($K52=0,"",SUMPRODUCT(--(((Estimates!$A$6:$A$45=$A52)+(LEFT(Estimates!$A$6:$A$45,LEN($A52)+1)=$A52&amp;"."))&gt;0),Estimates!$P$6:$P$45))</f>
        <v/>
      </c>
      <c r="G52" s="28">
        <f>IF($K52=0,"",IF(AND(TRIM($A52)&lt;&gt;"",SUMPRODUCT(--($A$6:$A$65=$A52))&gt;1),"△ Number used twice",IF(TRIM($A52)="","△ No number",IF(TRIM($B52)="","△ No name",IF(TRIM($D52)="","△ No owner",IF(TRIM($E52)="","△ No one accepts it",IF($I52=0,IF(TRIM($C52)="","△ Serves no deliverable",IF(SUMPRODUCT(--(Baseline!$B$26:$B$33=$C52))=0,"△ "&amp;$C52&amp;" isn't a deliverable on Baseline",IF(LEFT(TRIM($E52),MIN(FIND(" ",TRIM($E52)&amp;" "),FIND("(",TRIM($E52)&amp;"("))-1)&lt;&gt;LEFT(TRIM(INDEX(Baseline!$D$26:$D$33,MATCH($C52,Baseline!$B$26:$B$33,0))),MIN(FIND(" ",TRIM(INDEX(Baseline!$D$26:$D$33,MATCH($C52,Baseline!$B$26:$B$33,0)))&amp;" "),FIND("(",TRIM(INDEX(Baseline!$D$26:$D$33,MATCH($C52,Baseline!$B$26:$B$33,0)))&amp;"("))-1),"△ Accepted by differs from the deliverable's on Baseline",IF($J52=0,"△ No estimate","○ Clear")))),IF($J52&gt;0,"△ Estimate its parts. A parent has no estimate of its own","○ Clear"))))))))</f>
        <v/>
      </c>
      <c r="I52" s="24">
        <f>IF($K52=0,"",SUMPRODUCT(--(LEFT($A$6:$A$65,LEN($A52)+1)=$A52&amp;".")))</f>
        <v/>
      </c>
      <c r="J52" s="24">
        <f>IF(OR($K52=0,TRIM($A52)=""),0,SUMPRODUCT(--(Estimates!$A$6:$A$45=$A52)))</f>
        <v/>
      </c>
      <c r="K52" s="24">
        <f>IF(COUNTA($A52:$E52)&gt;0,1,0)</f>
        <v/>
      </c>
      <c r="L52" s="24">
        <f>IF(AND($K52=1,$G52&lt;&gt;"○ Clear"),1,0)</f>
        <v/>
      </c>
    </row>
    <row r="53">
      <c r="A53" s="25" t="n"/>
      <c r="B53" s="23" t="n"/>
      <c r="C53" s="35" t="n"/>
      <c r="D53" s="23" t="n"/>
      <c r="E53" s="23" t="n"/>
      <c r="F53" s="27">
        <f>IF($K53=0,"",SUMPRODUCT(--(((Estimates!$A$6:$A$45=$A53)+(LEFT(Estimates!$A$6:$A$45,LEN($A53)+1)=$A53&amp;"."))&gt;0),Estimates!$P$6:$P$45))</f>
        <v/>
      </c>
      <c r="G53" s="28">
        <f>IF($K53=0,"",IF(AND(TRIM($A53)&lt;&gt;"",SUMPRODUCT(--($A$6:$A$65=$A53))&gt;1),"△ Number used twice",IF(TRIM($A53)="","△ No number",IF(TRIM($B53)="","△ No name",IF(TRIM($D53)="","△ No owner",IF(TRIM($E53)="","△ No one accepts it",IF($I53=0,IF(TRIM($C53)="","△ Serves no deliverable",IF(SUMPRODUCT(--(Baseline!$B$26:$B$33=$C53))=0,"△ "&amp;$C53&amp;" isn't a deliverable on Baseline",IF(LEFT(TRIM($E53),MIN(FIND(" ",TRIM($E53)&amp;" "),FIND("(",TRIM($E53)&amp;"("))-1)&lt;&gt;LEFT(TRIM(INDEX(Baseline!$D$26:$D$33,MATCH($C53,Baseline!$B$26:$B$33,0))),MIN(FIND(" ",TRIM(INDEX(Baseline!$D$26:$D$33,MATCH($C53,Baseline!$B$26:$B$33,0)))&amp;" "),FIND("(",TRIM(INDEX(Baseline!$D$26:$D$33,MATCH($C53,Baseline!$B$26:$B$33,0)))&amp;"("))-1),"△ Accepted by differs from the deliverable's on Baseline",IF($J53=0,"△ No estimate","○ Clear")))),IF($J53&gt;0,"△ Estimate its parts. A parent has no estimate of its own","○ Clear"))))))))</f>
        <v/>
      </c>
      <c r="I53" s="24">
        <f>IF($K53=0,"",SUMPRODUCT(--(LEFT($A$6:$A$65,LEN($A53)+1)=$A53&amp;".")))</f>
        <v/>
      </c>
      <c r="J53" s="24">
        <f>IF(OR($K53=0,TRIM($A53)=""),0,SUMPRODUCT(--(Estimates!$A$6:$A$45=$A53)))</f>
        <v/>
      </c>
      <c r="K53" s="24">
        <f>IF(COUNTA($A53:$E53)&gt;0,1,0)</f>
        <v/>
      </c>
      <c r="L53" s="24">
        <f>IF(AND($K53=1,$G53&lt;&gt;"○ Clear"),1,0)</f>
        <v/>
      </c>
    </row>
    <row r="54">
      <c r="A54" s="25" t="n"/>
      <c r="B54" s="23" t="n"/>
      <c r="C54" s="35" t="n"/>
      <c r="D54" s="23" t="n"/>
      <c r="E54" s="23" t="n"/>
      <c r="F54" s="27">
        <f>IF($K54=0,"",SUMPRODUCT(--(((Estimates!$A$6:$A$45=$A54)+(LEFT(Estimates!$A$6:$A$45,LEN($A54)+1)=$A54&amp;"."))&gt;0),Estimates!$P$6:$P$45))</f>
        <v/>
      </c>
      <c r="G54" s="28">
        <f>IF($K54=0,"",IF(AND(TRIM($A54)&lt;&gt;"",SUMPRODUCT(--($A$6:$A$65=$A54))&gt;1),"△ Number used twice",IF(TRIM($A54)="","△ No number",IF(TRIM($B54)="","△ No name",IF(TRIM($D54)="","△ No owner",IF(TRIM($E54)="","△ No one accepts it",IF($I54=0,IF(TRIM($C54)="","△ Serves no deliverable",IF(SUMPRODUCT(--(Baseline!$B$26:$B$33=$C54))=0,"△ "&amp;$C54&amp;" isn't a deliverable on Baseline",IF(LEFT(TRIM($E54),MIN(FIND(" ",TRIM($E54)&amp;" "),FIND("(",TRIM($E54)&amp;"("))-1)&lt;&gt;LEFT(TRIM(INDEX(Baseline!$D$26:$D$33,MATCH($C54,Baseline!$B$26:$B$33,0))),MIN(FIND(" ",TRIM(INDEX(Baseline!$D$26:$D$33,MATCH($C54,Baseline!$B$26:$B$33,0)))&amp;" "),FIND("(",TRIM(INDEX(Baseline!$D$26:$D$33,MATCH($C54,Baseline!$B$26:$B$33,0)))&amp;"("))-1),"△ Accepted by differs from the deliverable's on Baseline",IF($J54=0,"△ No estimate","○ Clear")))),IF($J54&gt;0,"△ Estimate its parts. A parent has no estimate of its own","○ Clear"))))))))</f>
        <v/>
      </c>
      <c r="I54" s="24">
        <f>IF($K54=0,"",SUMPRODUCT(--(LEFT($A$6:$A$65,LEN($A54)+1)=$A54&amp;".")))</f>
        <v/>
      </c>
      <c r="J54" s="24">
        <f>IF(OR($K54=0,TRIM($A54)=""),0,SUMPRODUCT(--(Estimates!$A$6:$A$45=$A54)))</f>
        <v/>
      </c>
      <c r="K54" s="24">
        <f>IF(COUNTA($A54:$E54)&gt;0,1,0)</f>
        <v/>
      </c>
      <c r="L54" s="24">
        <f>IF(AND($K54=1,$G54&lt;&gt;"○ Clear"),1,0)</f>
        <v/>
      </c>
    </row>
    <row r="55">
      <c r="A55" s="25" t="n"/>
      <c r="B55" s="23" t="n"/>
      <c r="C55" s="35" t="n"/>
      <c r="D55" s="23" t="n"/>
      <c r="E55" s="23" t="n"/>
      <c r="F55" s="27">
        <f>IF($K55=0,"",SUMPRODUCT(--(((Estimates!$A$6:$A$45=$A55)+(LEFT(Estimates!$A$6:$A$45,LEN($A55)+1)=$A55&amp;"."))&gt;0),Estimates!$P$6:$P$45))</f>
        <v/>
      </c>
      <c r="G55" s="28">
        <f>IF($K55=0,"",IF(AND(TRIM($A55)&lt;&gt;"",SUMPRODUCT(--($A$6:$A$65=$A55))&gt;1),"△ Number used twice",IF(TRIM($A55)="","△ No number",IF(TRIM($B55)="","△ No name",IF(TRIM($D55)="","△ No owner",IF(TRIM($E55)="","△ No one accepts it",IF($I55=0,IF(TRIM($C55)="","△ Serves no deliverable",IF(SUMPRODUCT(--(Baseline!$B$26:$B$33=$C55))=0,"△ "&amp;$C55&amp;" isn't a deliverable on Baseline",IF(LEFT(TRIM($E55),MIN(FIND(" ",TRIM($E55)&amp;" "),FIND("(",TRIM($E55)&amp;"("))-1)&lt;&gt;LEFT(TRIM(INDEX(Baseline!$D$26:$D$33,MATCH($C55,Baseline!$B$26:$B$33,0))),MIN(FIND(" ",TRIM(INDEX(Baseline!$D$26:$D$33,MATCH($C55,Baseline!$B$26:$B$33,0)))&amp;" "),FIND("(",TRIM(INDEX(Baseline!$D$26:$D$33,MATCH($C55,Baseline!$B$26:$B$33,0)))&amp;"("))-1),"△ Accepted by differs from the deliverable's on Baseline",IF($J55=0,"△ No estimate","○ Clear")))),IF($J55&gt;0,"△ Estimate its parts. A parent has no estimate of its own","○ Clear"))))))))</f>
        <v/>
      </c>
      <c r="I55" s="24">
        <f>IF($K55=0,"",SUMPRODUCT(--(LEFT($A$6:$A$65,LEN($A55)+1)=$A55&amp;".")))</f>
        <v/>
      </c>
      <c r="J55" s="24">
        <f>IF(OR($K55=0,TRIM($A55)=""),0,SUMPRODUCT(--(Estimates!$A$6:$A$45=$A55)))</f>
        <v/>
      </c>
      <c r="K55" s="24">
        <f>IF(COUNTA($A55:$E55)&gt;0,1,0)</f>
        <v/>
      </c>
      <c r="L55" s="24">
        <f>IF(AND($K55=1,$G55&lt;&gt;"○ Clear"),1,0)</f>
        <v/>
      </c>
    </row>
    <row r="56">
      <c r="A56" s="25" t="n"/>
      <c r="B56" s="23" t="n"/>
      <c r="C56" s="35" t="n"/>
      <c r="D56" s="23" t="n"/>
      <c r="E56" s="23" t="n"/>
      <c r="F56" s="27">
        <f>IF($K56=0,"",SUMPRODUCT(--(((Estimates!$A$6:$A$45=$A56)+(LEFT(Estimates!$A$6:$A$45,LEN($A56)+1)=$A56&amp;"."))&gt;0),Estimates!$P$6:$P$45))</f>
        <v/>
      </c>
      <c r="G56" s="28">
        <f>IF($K56=0,"",IF(AND(TRIM($A56)&lt;&gt;"",SUMPRODUCT(--($A$6:$A$65=$A56))&gt;1),"△ Number used twice",IF(TRIM($A56)="","△ No number",IF(TRIM($B56)="","△ No name",IF(TRIM($D56)="","△ No owner",IF(TRIM($E56)="","△ No one accepts it",IF($I56=0,IF(TRIM($C56)="","△ Serves no deliverable",IF(SUMPRODUCT(--(Baseline!$B$26:$B$33=$C56))=0,"△ "&amp;$C56&amp;" isn't a deliverable on Baseline",IF(LEFT(TRIM($E56),MIN(FIND(" ",TRIM($E56)&amp;" "),FIND("(",TRIM($E56)&amp;"("))-1)&lt;&gt;LEFT(TRIM(INDEX(Baseline!$D$26:$D$33,MATCH($C56,Baseline!$B$26:$B$33,0))),MIN(FIND(" ",TRIM(INDEX(Baseline!$D$26:$D$33,MATCH($C56,Baseline!$B$26:$B$33,0)))&amp;" "),FIND("(",TRIM(INDEX(Baseline!$D$26:$D$33,MATCH($C56,Baseline!$B$26:$B$33,0)))&amp;"("))-1),"△ Accepted by differs from the deliverable's on Baseline",IF($J56=0,"△ No estimate","○ Clear")))),IF($J56&gt;0,"△ Estimate its parts. A parent has no estimate of its own","○ Clear"))))))))</f>
        <v/>
      </c>
      <c r="I56" s="24">
        <f>IF($K56=0,"",SUMPRODUCT(--(LEFT($A$6:$A$65,LEN($A56)+1)=$A56&amp;".")))</f>
        <v/>
      </c>
      <c r="J56" s="24">
        <f>IF(OR($K56=0,TRIM($A56)=""),0,SUMPRODUCT(--(Estimates!$A$6:$A$45=$A56)))</f>
        <v/>
      </c>
      <c r="K56" s="24">
        <f>IF(COUNTA($A56:$E56)&gt;0,1,0)</f>
        <v/>
      </c>
      <c r="L56" s="24">
        <f>IF(AND($K56=1,$G56&lt;&gt;"○ Clear"),1,0)</f>
        <v/>
      </c>
    </row>
    <row r="57">
      <c r="A57" s="25" t="n"/>
      <c r="B57" s="23" t="n"/>
      <c r="C57" s="35" t="n"/>
      <c r="D57" s="23" t="n"/>
      <c r="E57" s="23" t="n"/>
      <c r="F57" s="27">
        <f>IF($K57=0,"",SUMPRODUCT(--(((Estimates!$A$6:$A$45=$A57)+(LEFT(Estimates!$A$6:$A$45,LEN($A57)+1)=$A57&amp;"."))&gt;0),Estimates!$P$6:$P$45))</f>
        <v/>
      </c>
      <c r="G57" s="28">
        <f>IF($K57=0,"",IF(AND(TRIM($A57)&lt;&gt;"",SUMPRODUCT(--($A$6:$A$65=$A57))&gt;1),"△ Number used twice",IF(TRIM($A57)="","△ No number",IF(TRIM($B57)="","△ No name",IF(TRIM($D57)="","△ No owner",IF(TRIM($E57)="","△ No one accepts it",IF($I57=0,IF(TRIM($C57)="","△ Serves no deliverable",IF(SUMPRODUCT(--(Baseline!$B$26:$B$33=$C57))=0,"△ "&amp;$C57&amp;" isn't a deliverable on Baseline",IF(LEFT(TRIM($E57),MIN(FIND(" ",TRIM($E57)&amp;" "),FIND("(",TRIM($E57)&amp;"("))-1)&lt;&gt;LEFT(TRIM(INDEX(Baseline!$D$26:$D$33,MATCH($C57,Baseline!$B$26:$B$33,0))),MIN(FIND(" ",TRIM(INDEX(Baseline!$D$26:$D$33,MATCH($C57,Baseline!$B$26:$B$33,0)))&amp;" "),FIND("(",TRIM(INDEX(Baseline!$D$26:$D$33,MATCH($C57,Baseline!$B$26:$B$33,0)))&amp;"("))-1),"△ Accepted by differs from the deliverable's on Baseline",IF($J57=0,"△ No estimate","○ Clear")))),IF($J57&gt;0,"△ Estimate its parts. A parent has no estimate of its own","○ Clear"))))))))</f>
        <v/>
      </c>
      <c r="I57" s="24">
        <f>IF($K57=0,"",SUMPRODUCT(--(LEFT($A$6:$A$65,LEN($A57)+1)=$A57&amp;".")))</f>
        <v/>
      </c>
      <c r="J57" s="24">
        <f>IF(OR($K57=0,TRIM($A57)=""),0,SUMPRODUCT(--(Estimates!$A$6:$A$45=$A57)))</f>
        <v/>
      </c>
      <c r="K57" s="24">
        <f>IF(COUNTA($A57:$E57)&gt;0,1,0)</f>
        <v/>
      </c>
      <c r="L57" s="24">
        <f>IF(AND($K57=1,$G57&lt;&gt;"○ Clear"),1,0)</f>
        <v/>
      </c>
    </row>
    <row r="58">
      <c r="A58" s="25" t="n"/>
      <c r="B58" s="23" t="n"/>
      <c r="C58" s="35" t="n"/>
      <c r="D58" s="23" t="n"/>
      <c r="E58" s="23" t="n"/>
      <c r="F58" s="27">
        <f>IF($K58=0,"",SUMPRODUCT(--(((Estimates!$A$6:$A$45=$A58)+(LEFT(Estimates!$A$6:$A$45,LEN($A58)+1)=$A58&amp;"."))&gt;0),Estimates!$P$6:$P$45))</f>
        <v/>
      </c>
      <c r="G58" s="28">
        <f>IF($K58=0,"",IF(AND(TRIM($A58)&lt;&gt;"",SUMPRODUCT(--($A$6:$A$65=$A58))&gt;1),"△ Number used twice",IF(TRIM($A58)="","△ No number",IF(TRIM($B58)="","△ No name",IF(TRIM($D58)="","△ No owner",IF(TRIM($E58)="","△ No one accepts it",IF($I58=0,IF(TRIM($C58)="","△ Serves no deliverable",IF(SUMPRODUCT(--(Baseline!$B$26:$B$33=$C58))=0,"△ "&amp;$C58&amp;" isn't a deliverable on Baseline",IF(LEFT(TRIM($E58),MIN(FIND(" ",TRIM($E58)&amp;" "),FIND("(",TRIM($E58)&amp;"("))-1)&lt;&gt;LEFT(TRIM(INDEX(Baseline!$D$26:$D$33,MATCH($C58,Baseline!$B$26:$B$33,0))),MIN(FIND(" ",TRIM(INDEX(Baseline!$D$26:$D$33,MATCH($C58,Baseline!$B$26:$B$33,0)))&amp;" "),FIND("(",TRIM(INDEX(Baseline!$D$26:$D$33,MATCH($C58,Baseline!$B$26:$B$33,0)))&amp;"("))-1),"△ Accepted by differs from the deliverable's on Baseline",IF($J58=0,"△ No estimate","○ Clear")))),IF($J58&gt;0,"△ Estimate its parts. A parent has no estimate of its own","○ Clear"))))))))</f>
        <v/>
      </c>
      <c r="I58" s="24">
        <f>IF($K58=0,"",SUMPRODUCT(--(LEFT($A$6:$A$65,LEN($A58)+1)=$A58&amp;".")))</f>
        <v/>
      </c>
      <c r="J58" s="24">
        <f>IF(OR($K58=0,TRIM($A58)=""),0,SUMPRODUCT(--(Estimates!$A$6:$A$45=$A58)))</f>
        <v/>
      </c>
      <c r="K58" s="24">
        <f>IF(COUNTA($A58:$E58)&gt;0,1,0)</f>
        <v/>
      </c>
      <c r="L58" s="24">
        <f>IF(AND($K58=1,$G58&lt;&gt;"○ Clear"),1,0)</f>
        <v/>
      </c>
    </row>
    <row r="59">
      <c r="A59" s="25" t="n"/>
      <c r="B59" s="23" t="n"/>
      <c r="C59" s="35" t="n"/>
      <c r="D59" s="23" t="n"/>
      <c r="E59" s="23" t="n"/>
      <c r="F59" s="27">
        <f>IF($K59=0,"",SUMPRODUCT(--(((Estimates!$A$6:$A$45=$A59)+(LEFT(Estimates!$A$6:$A$45,LEN($A59)+1)=$A59&amp;"."))&gt;0),Estimates!$P$6:$P$45))</f>
        <v/>
      </c>
      <c r="G59" s="28">
        <f>IF($K59=0,"",IF(AND(TRIM($A59)&lt;&gt;"",SUMPRODUCT(--($A$6:$A$65=$A59))&gt;1),"△ Number used twice",IF(TRIM($A59)="","△ No number",IF(TRIM($B59)="","△ No name",IF(TRIM($D59)="","△ No owner",IF(TRIM($E59)="","△ No one accepts it",IF($I59=0,IF(TRIM($C59)="","△ Serves no deliverable",IF(SUMPRODUCT(--(Baseline!$B$26:$B$33=$C59))=0,"△ "&amp;$C59&amp;" isn't a deliverable on Baseline",IF(LEFT(TRIM($E59),MIN(FIND(" ",TRIM($E59)&amp;" "),FIND("(",TRIM($E59)&amp;"("))-1)&lt;&gt;LEFT(TRIM(INDEX(Baseline!$D$26:$D$33,MATCH($C59,Baseline!$B$26:$B$33,0))),MIN(FIND(" ",TRIM(INDEX(Baseline!$D$26:$D$33,MATCH($C59,Baseline!$B$26:$B$33,0)))&amp;" "),FIND("(",TRIM(INDEX(Baseline!$D$26:$D$33,MATCH($C59,Baseline!$B$26:$B$33,0)))&amp;"("))-1),"△ Accepted by differs from the deliverable's on Baseline",IF($J59=0,"△ No estimate","○ Clear")))),IF($J59&gt;0,"△ Estimate its parts. A parent has no estimate of its own","○ Clear"))))))))</f>
        <v/>
      </c>
      <c r="I59" s="24">
        <f>IF($K59=0,"",SUMPRODUCT(--(LEFT($A$6:$A$65,LEN($A59)+1)=$A59&amp;".")))</f>
        <v/>
      </c>
      <c r="J59" s="24">
        <f>IF(OR($K59=0,TRIM($A59)=""),0,SUMPRODUCT(--(Estimates!$A$6:$A$45=$A59)))</f>
        <v/>
      </c>
      <c r="K59" s="24">
        <f>IF(COUNTA($A59:$E59)&gt;0,1,0)</f>
        <v/>
      </c>
      <c r="L59" s="24">
        <f>IF(AND($K59=1,$G59&lt;&gt;"○ Clear"),1,0)</f>
        <v/>
      </c>
    </row>
    <row r="60">
      <c r="A60" s="25" t="n"/>
      <c r="B60" s="23" t="n"/>
      <c r="C60" s="35" t="n"/>
      <c r="D60" s="23" t="n"/>
      <c r="E60" s="23" t="n"/>
      <c r="F60" s="27">
        <f>IF($K60=0,"",SUMPRODUCT(--(((Estimates!$A$6:$A$45=$A60)+(LEFT(Estimates!$A$6:$A$45,LEN($A60)+1)=$A60&amp;"."))&gt;0),Estimates!$P$6:$P$45))</f>
        <v/>
      </c>
      <c r="G60" s="28">
        <f>IF($K60=0,"",IF(AND(TRIM($A60)&lt;&gt;"",SUMPRODUCT(--($A$6:$A$65=$A60))&gt;1),"△ Number used twice",IF(TRIM($A60)="","△ No number",IF(TRIM($B60)="","△ No name",IF(TRIM($D60)="","△ No owner",IF(TRIM($E60)="","△ No one accepts it",IF($I60=0,IF(TRIM($C60)="","△ Serves no deliverable",IF(SUMPRODUCT(--(Baseline!$B$26:$B$33=$C60))=0,"△ "&amp;$C60&amp;" isn't a deliverable on Baseline",IF(LEFT(TRIM($E60),MIN(FIND(" ",TRIM($E60)&amp;" "),FIND("(",TRIM($E60)&amp;"("))-1)&lt;&gt;LEFT(TRIM(INDEX(Baseline!$D$26:$D$33,MATCH($C60,Baseline!$B$26:$B$33,0))),MIN(FIND(" ",TRIM(INDEX(Baseline!$D$26:$D$33,MATCH($C60,Baseline!$B$26:$B$33,0)))&amp;" "),FIND("(",TRIM(INDEX(Baseline!$D$26:$D$33,MATCH($C60,Baseline!$B$26:$B$33,0)))&amp;"("))-1),"△ Accepted by differs from the deliverable's on Baseline",IF($J60=0,"△ No estimate","○ Clear")))),IF($J60&gt;0,"△ Estimate its parts. A parent has no estimate of its own","○ Clear"))))))))</f>
        <v/>
      </c>
      <c r="I60" s="24">
        <f>IF($K60=0,"",SUMPRODUCT(--(LEFT($A$6:$A$65,LEN($A60)+1)=$A60&amp;".")))</f>
        <v/>
      </c>
      <c r="J60" s="24">
        <f>IF(OR($K60=0,TRIM($A60)=""),0,SUMPRODUCT(--(Estimates!$A$6:$A$45=$A60)))</f>
        <v/>
      </c>
      <c r="K60" s="24">
        <f>IF(COUNTA($A60:$E60)&gt;0,1,0)</f>
        <v/>
      </c>
      <c r="L60" s="24">
        <f>IF(AND($K60=1,$G60&lt;&gt;"○ Clear"),1,0)</f>
        <v/>
      </c>
    </row>
    <row r="61">
      <c r="A61" s="25" t="n"/>
      <c r="B61" s="23" t="n"/>
      <c r="C61" s="35" t="n"/>
      <c r="D61" s="23" t="n"/>
      <c r="E61" s="23" t="n"/>
      <c r="F61" s="27">
        <f>IF($K61=0,"",SUMPRODUCT(--(((Estimates!$A$6:$A$45=$A61)+(LEFT(Estimates!$A$6:$A$45,LEN($A61)+1)=$A61&amp;"."))&gt;0),Estimates!$P$6:$P$45))</f>
        <v/>
      </c>
      <c r="G61" s="28">
        <f>IF($K61=0,"",IF(AND(TRIM($A61)&lt;&gt;"",SUMPRODUCT(--($A$6:$A$65=$A61))&gt;1),"△ Number used twice",IF(TRIM($A61)="","△ No number",IF(TRIM($B61)="","△ No name",IF(TRIM($D61)="","△ No owner",IF(TRIM($E61)="","△ No one accepts it",IF($I61=0,IF(TRIM($C61)="","△ Serves no deliverable",IF(SUMPRODUCT(--(Baseline!$B$26:$B$33=$C61))=0,"△ "&amp;$C61&amp;" isn't a deliverable on Baseline",IF(LEFT(TRIM($E61),MIN(FIND(" ",TRIM($E61)&amp;" "),FIND("(",TRIM($E61)&amp;"("))-1)&lt;&gt;LEFT(TRIM(INDEX(Baseline!$D$26:$D$33,MATCH($C61,Baseline!$B$26:$B$33,0))),MIN(FIND(" ",TRIM(INDEX(Baseline!$D$26:$D$33,MATCH($C61,Baseline!$B$26:$B$33,0)))&amp;" "),FIND("(",TRIM(INDEX(Baseline!$D$26:$D$33,MATCH($C61,Baseline!$B$26:$B$33,0)))&amp;"("))-1),"△ Accepted by differs from the deliverable's on Baseline",IF($J61=0,"△ No estimate","○ Clear")))),IF($J61&gt;0,"△ Estimate its parts. A parent has no estimate of its own","○ Clear"))))))))</f>
        <v/>
      </c>
      <c r="I61" s="24">
        <f>IF($K61=0,"",SUMPRODUCT(--(LEFT($A$6:$A$65,LEN($A61)+1)=$A61&amp;".")))</f>
        <v/>
      </c>
      <c r="J61" s="24">
        <f>IF(OR($K61=0,TRIM($A61)=""),0,SUMPRODUCT(--(Estimates!$A$6:$A$45=$A61)))</f>
        <v/>
      </c>
      <c r="K61" s="24">
        <f>IF(COUNTA($A61:$E61)&gt;0,1,0)</f>
        <v/>
      </c>
      <c r="L61" s="24">
        <f>IF(AND($K61=1,$G61&lt;&gt;"○ Clear"),1,0)</f>
        <v/>
      </c>
    </row>
    <row r="62">
      <c r="A62" s="25" t="n"/>
      <c r="B62" s="23" t="n"/>
      <c r="C62" s="35" t="n"/>
      <c r="D62" s="23" t="n"/>
      <c r="E62" s="23" t="n"/>
      <c r="F62" s="27">
        <f>IF($K62=0,"",SUMPRODUCT(--(((Estimates!$A$6:$A$45=$A62)+(LEFT(Estimates!$A$6:$A$45,LEN($A62)+1)=$A62&amp;"."))&gt;0),Estimates!$P$6:$P$45))</f>
        <v/>
      </c>
      <c r="G62" s="28">
        <f>IF($K62=0,"",IF(AND(TRIM($A62)&lt;&gt;"",SUMPRODUCT(--($A$6:$A$65=$A62))&gt;1),"△ Number used twice",IF(TRIM($A62)="","△ No number",IF(TRIM($B62)="","△ No name",IF(TRIM($D62)="","△ No owner",IF(TRIM($E62)="","△ No one accepts it",IF($I62=0,IF(TRIM($C62)="","△ Serves no deliverable",IF(SUMPRODUCT(--(Baseline!$B$26:$B$33=$C62))=0,"△ "&amp;$C62&amp;" isn't a deliverable on Baseline",IF(LEFT(TRIM($E62),MIN(FIND(" ",TRIM($E62)&amp;" "),FIND("(",TRIM($E62)&amp;"("))-1)&lt;&gt;LEFT(TRIM(INDEX(Baseline!$D$26:$D$33,MATCH($C62,Baseline!$B$26:$B$33,0))),MIN(FIND(" ",TRIM(INDEX(Baseline!$D$26:$D$33,MATCH($C62,Baseline!$B$26:$B$33,0)))&amp;" "),FIND("(",TRIM(INDEX(Baseline!$D$26:$D$33,MATCH($C62,Baseline!$B$26:$B$33,0)))&amp;"("))-1),"△ Accepted by differs from the deliverable's on Baseline",IF($J62=0,"△ No estimate","○ Clear")))),IF($J62&gt;0,"△ Estimate its parts. A parent has no estimate of its own","○ Clear"))))))))</f>
        <v/>
      </c>
      <c r="I62" s="24">
        <f>IF($K62=0,"",SUMPRODUCT(--(LEFT($A$6:$A$65,LEN($A62)+1)=$A62&amp;".")))</f>
        <v/>
      </c>
      <c r="J62" s="24">
        <f>IF(OR($K62=0,TRIM($A62)=""),0,SUMPRODUCT(--(Estimates!$A$6:$A$45=$A62)))</f>
        <v/>
      </c>
      <c r="K62" s="24">
        <f>IF(COUNTA($A62:$E62)&gt;0,1,0)</f>
        <v/>
      </c>
      <c r="L62" s="24">
        <f>IF(AND($K62=1,$G62&lt;&gt;"○ Clear"),1,0)</f>
        <v/>
      </c>
    </row>
    <row r="63">
      <c r="A63" s="25" t="n"/>
      <c r="B63" s="23" t="n"/>
      <c r="C63" s="35" t="n"/>
      <c r="D63" s="23" t="n"/>
      <c r="E63" s="23" t="n"/>
      <c r="F63" s="27">
        <f>IF($K63=0,"",SUMPRODUCT(--(((Estimates!$A$6:$A$45=$A63)+(LEFT(Estimates!$A$6:$A$45,LEN($A63)+1)=$A63&amp;"."))&gt;0),Estimates!$P$6:$P$45))</f>
        <v/>
      </c>
      <c r="G63" s="28">
        <f>IF($K63=0,"",IF(AND(TRIM($A63)&lt;&gt;"",SUMPRODUCT(--($A$6:$A$65=$A63))&gt;1),"△ Number used twice",IF(TRIM($A63)="","△ No number",IF(TRIM($B63)="","△ No name",IF(TRIM($D63)="","△ No owner",IF(TRIM($E63)="","△ No one accepts it",IF($I63=0,IF(TRIM($C63)="","△ Serves no deliverable",IF(SUMPRODUCT(--(Baseline!$B$26:$B$33=$C63))=0,"△ "&amp;$C63&amp;" isn't a deliverable on Baseline",IF(LEFT(TRIM($E63),MIN(FIND(" ",TRIM($E63)&amp;" "),FIND("(",TRIM($E63)&amp;"("))-1)&lt;&gt;LEFT(TRIM(INDEX(Baseline!$D$26:$D$33,MATCH($C63,Baseline!$B$26:$B$33,0))),MIN(FIND(" ",TRIM(INDEX(Baseline!$D$26:$D$33,MATCH($C63,Baseline!$B$26:$B$33,0)))&amp;" "),FIND("(",TRIM(INDEX(Baseline!$D$26:$D$33,MATCH($C63,Baseline!$B$26:$B$33,0)))&amp;"("))-1),"△ Accepted by differs from the deliverable's on Baseline",IF($J63=0,"△ No estimate","○ Clear")))),IF($J63&gt;0,"△ Estimate its parts. A parent has no estimate of its own","○ Clear"))))))))</f>
        <v/>
      </c>
      <c r="I63" s="24">
        <f>IF($K63=0,"",SUMPRODUCT(--(LEFT($A$6:$A$65,LEN($A63)+1)=$A63&amp;".")))</f>
        <v/>
      </c>
      <c r="J63" s="24">
        <f>IF(OR($K63=0,TRIM($A63)=""),0,SUMPRODUCT(--(Estimates!$A$6:$A$45=$A63)))</f>
        <v/>
      </c>
      <c r="K63" s="24">
        <f>IF(COUNTA($A63:$E63)&gt;0,1,0)</f>
        <v/>
      </c>
      <c r="L63" s="24">
        <f>IF(AND($K63=1,$G63&lt;&gt;"○ Clear"),1,0)</f>
        <v/>
      </c>
    </row>
    <row r="64">
      <c r="A64" s="25" t="n"/>
      <c r="B64" s="23" t="n"/>
      <c r="C64" s="35" t="n"/>
      <c r="D64" s="23" t="n"/>
      <c r="E64" s="23" t="n"/>
      <c r="F64" s="27">
        <f>IF($K64=0,"",SUMPRODUCT(--(((Estimates!$A$6:$A$45=$A64)+(LEFT(Estimates!$A$6:$A$45,LEN($A64)+1)=$A64&amp;"."))&gt;0),Estimates!$P$6:$P$45))</f>
        <v/>
      </c>
      <c r="G64" s="28">
        <f>IF($K64=0,"",IF(AND(TRIM($A64)&lt;&gt;"",SUMPRODUCT(--($A$6:$A$65=$A64))&gt;1),"△ Number used twice",IF(TRIM($A64)="","△ No number",IF(TRIM($B64)="","△ No name",IF(TRIM($D64)="","△ No owner",IF(TRIM($E64)="","△ No one accepts it",IF($I64=0,IF(TRIM($C64)="","△ Serves no deliverable",IF(SUMPRODUCT(--(Baseline!$B$26:$B$33=$C64))=0,"△ "&amp;$C64&amp;" isn't a deliverable on Baseline",IF(LEFT(TRIM($E64),MIN(FIND(" ",TRIM($E64)&amp;" "),FIND("(",TRIM($E64)&amp;"("))-1)&lt;&gt;LEFT(TRIM(INDEX(Baseline!$D$26:$D$33,MATCH($C64,Baseline!$B$26:$B$33,0))),MIN(FIND(" ",TRIM(INDEX(Baseline!$D$26:$D$33,MATCH($C64,Baseline!$B$26:$B$33,0)))&amp;" "),FIND("(",TRIM(INDEX(Baseline!$D$26:$D$33,MATCH($C64,Baseline!$B$26:$B$33,0)))&amp;"("))-1),"△ Accepted by differs from the deliverable's on Baseline",IF($J64=0,"△ No estimate","○ Clear")))),IF($J64&gt;0,"△ Estimate its parts. A parent has no estimate of its own","○ Clear"))))))))</f>
        <v/>
      </c>
      <c r="I64" s="24">
        <f>IF($K64=0,"",SUMPRODUCT(--(LEFT($A$6:$A$65,LEN($A64)+1)=$A64&amp;".")))</f>
        <v/>
      </c>
      <c r="J64" s="24">
        <f>IF(OR($K64=0,TRIM($A64)=""),0,SUMPRODUCT(--(Estimates!$A$6:$A$45=$A64)))</f>
        <v/>
      </c>
      <c r="K64" s="24">
        <f>IF(COUNTA($A64:$E64)&gt;0,1,0)</f>
        <v/>
      </c>
      <c r="L64" s="24">
        <f>IF(AND($K64=1,$G64&lt;&gt;"○ Clear"),1,0)</f>
        <v/>
      </c>
    </row>
    <row r="65">
      <c r="A65" s="25" t="n"/>
      <c r="B65" s="23" t="n"/>
      <c r="C65" s="35" t="n"/>
      <c r="D65" s="23" t="n"/>
      <c r="E65" s="23" t="n"/>
      <c r="F65" s="27">
        <f>IF($K65=0,"",SUMPRODUCT(--(((Estimates!$A$6:$A$45=$A65)+(LEFT(Estimates!$A$6:$A$45,LEN($A65)+1)=$A65&amp;"."))&gt;0),Estimates!$P$6:$P$45))</f>
        <v/>
      </c>
      <c r="G65" s="28">
        <f>IF($K65=0,"",IF(AND(TRIM($A65)&lt;&gt;"",SUMPRODUCT(--($A$6:$A$65=$A65))&gt;1),"△ Number used twice",IF(TRIM($A65)="","△ No number",IF(TRIM($B65)="","△ No name",IF(TRIM($D65)="","△ No owner",IF(TRIM($E65)="","△ No one accepts it",IF($I65=0,IF(TRIM($C65)="","△ Serves no deliverable",IF(SUMPRODUCT(--(Baseline!$B$26:$B$33=$C65))=0,"△ "&amp;$C65&amp;" isn't a deliverable on Baseline",IF(LEFT(TRIM($E65),MIN(FIND(" ",TRIM($E65)&amp;" "),FIND("(",TRIM($E65)&amp;"("))-1)&lt;&gt;LEFT(TRIM(INDEX(Baseline!$D$26:$D$33,MATCH($C65,Baseline!$B$26:$B$33,0))),MIN(FIND(" ",TRIM(INDEX(Baseline!$D$26:$D$33,MATCH($C65,Baseline!$B$26:$B$33,0)))&amp;" "),FIND("(",TRIM(INDEX(Baseline!$D$26:$D$33,MATCH($C65,Baseline!$B$26:$B$33,0)))&amp;"("))-1),"△ Accepted by differs from the deliverable's on Baseline",IF($J65=0,"△ No estimate","○ Clear")))),IF($J65&gt;0,"△ Estimate its parts. A parent has no estimate of its own","○ Clear"))))))))</f>
        <v/>
      </c>
      <c r="I65" s="24">
        <f>IF($K65=0,"",SUMPRODUCT(--(LEFT($A$6:$A$65,LEN($A65)+1)=$A65&amp;".")))</f>
        <v/>
      </c>
      <c r="J65" s="24">
        <f>IF(OR($K65=0,TRIM($A65)=""),0,SUMPRODUCT(--(Estimates!$A$6:$A$45=$A65)))</f>
        <v/>
      </c>
      <c r="K65" s="24">
        <f>IF(COUNTA($A65:$E65)&gt;0,1,0)</f>
        <v/>
      </c>
      <c r="L65" s="24">
        <f>IF(AND($K65=1,$G65&lt;&gt;"○ Clear"),1,0)</f>
        <v/>
      </c>
    </row>
  </sheetData>
  <sheetProtection selectLockedCells="0" selectUnlockedCells="0" sheet="1" objects="0" insertRows="1" insertHyperlinks="1" autoFilter="0" scenarios="0" formatColumns="0" deleteColumns="1" insertColumns="1" pivotTables="1" deleteRows="1" formatCells="0" formatRows="0" sort="0"/>
  <autoFilter ref="A5:G65"/>
  <conditionalFormatting sqref="G6:G65">
    <cfRule type="expression" priority="1" dxfId="0" stopIfTrue="0">
      <formula>LEFT($G6,1)="△"</formula>
    </cfRule>
  </conditionalFormatting>
  <dataValidations count="3">
    <dataValidation sqref="A6:A65" showDropDown="0" showInputMessage="0" showErrorMessage="1" allowBlank="1" errorTitle="Check this entry" error="Another item already has this number." type="custom" errorStyle="stop">
      <formula1>SUMPRODUCT(--($A$6:$A$65=A6))=1</formula1>
    </dataValidation>
    <dataValidation sqref="B6:B65" showDropDown="0" showInputMessage="0" showErrorMessage="1" allowBlank="1" errorTitle="Check this entry" error="Keep the item to 80 characters." type="textLength" errorStyle="stop" operator="between">
      <formula1>0</formula1>
      <formula2>80</formula2>
    </dataValidation>
    <dataValidation sqref="C6:C65" showDropDown="0" showInputMessage="0" showErrorMessage="1" allowBlank="1" errorTitle="Check this entry" error="That Id isn't in Deliverables on Baseline. You can keep it; the Row check will show it." type="list" errorStyle="warning">
      <formula1>Baseline!$B$26:$B$33</formula1>
    </dataValidation>
  </dataValidations>
  <pageMargins left="0.3" right="0.3" top="0.5" bottom="0.5" header="0.2" footer="0.2"/>
  <pageSetup orientation="landscape" paperSize="9" scale="100"/>
  <drawing xmlns:r="http://schemas.openxmlformats.org/officeDocument/2006/relationships" r:id="rId1"/>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fitToPage="0"/>
  </sheetPr>
  <dimension ref="A1:R46"/>
  <sheetViews>
    <sheetView showGridLines="0" tabSelected="0" workbookViewId="0">
      <pane xSplit="2" ySplit="5" topLeftCell="C6" activePane="bottomRight" state="frozen"/>
      <selection pane="topRight"/>
      <selection pane="bottomLeft"/>
      <selection pane="bottomRight" activeCell="A1" sqref="A1"/>
    </sheetView>
  </sheetViews>
  <sheetFormatPr baseColWidth="8" defaultRowHeight="15"/>
  <cols>
    <col width="17" customWidth="1" min="1" max="1"/>
    <col width="15" customWidth="1" min="2" max="2"/>
    <col width="10.5" customWidth="1" min="3" max="3"/>
    <col width="17" customWidth="1" min="4" max="4"/>
    <col width="10" customWidth="1" min="5" max="5"/>
    <col width="10" customWidth="1" min="6" max="6"/>
    <col width="10" customWidth="1" min="7" max="7"/>
    <col width="10" customWidth="1" min="8" max="8"/>
    <col width="10" customWidth="1" min="9" max="9"/>
    <col width="9" customWidth="1" min="10" max="10"/>
    <col width="17.5" customWidth="1" min="11" max="11"/>
    <col hidden="1" outlineLevel="1" width="12" customWidth="1" min="12" max="18"/>
    <col width="12" customWidth="1" min="13" max="13"/>
    <col width="12" customWidth="1" min="14" max="14"/>
    <col width="12" customWidth="1" min="15" max="15"/>
    <col width="12" customWidth="1" min="16" max="16"/>
    <col width="12" customWidth="1" min="17" max="17"/>
    <col width="12" customWidth="1" min="18" max="18"/>
  </cols>
  <sheetData>
    <row r="1" ht="36" customHeight="1">
      <c r="B1" s="1" t="inlineStr">
        <is>
          <t>Estimates</t>
        </is>
      </c>
    </row>
    <row r="2" ht="18" customHeight="1">
      <c r="A2" s="2">
        <f>IF(TRIM(Baseline!$C$5)="","","Project: "&amp;Baseline!$C$5&amp;IF(TRIM(Baseline!$C$6)="",".",". Sits under: "&amp;Baseline!$C$6&amp;"."))</f>
        <v/>
      </c>
    </row>
    <row r="3" ht="6" customHeight="1"/>
    <row r="4" ht="18" customHeight="1">
      <c r="A4" s="9" t="inlineStr">
        <is>
          <t>LEAF ITEMS</t>
        </is>
      </c>
      <c r="B4" s="9" t="n"/>
      <c r="C4" s="9" t="n"/>
      <c r="D4" s="9" t="n"/>
      <c r="E4" s="9" t="n"/>
      <c r="F4" s="9" t="n"/>
      <c r="G4" s="9" t="n"/>
      <c r="H4" s="9" t="n"/>
      <c r="I4" s="9" t="n"/>
      <c r="J4" s="9" t="n"/>
      <c r="K4" s="9" t="n"/>
    </row>
    <row r="5" ht="70" customHeight="1">
      <c r="A5" s="19" t="inlineStr">
        <is>
          <t>Item</t>
        </is>
      </c>
      <c r="B5" s="21" t="inlineStr">
        <is>
          <t>Name</t>
        </is>
      </c>
      <c r="C5" s="19" t="inlineStr">
        <is>
          <t>Method</t>
        </is>
      </c>
      <c r="D5" s="19" t="inlineStr">
        <is>
          <t>Basis</t>
        </is>
      </c>
      <c r="E5" s="19" t="inlineStr">
        <is>
          <t>Low</t>
        </is>
      </c>
      <c r="F5" s="19" t="inlineStr">
        <is>
          <t>Likely</t>
        </is>
      </c>
      <c r="G5" s="19" t="inlineStr">
        <is>
          <t>High</t>
        </is>
      </c>
      <c r="H5" s="19" t="inlineStr">
        <is>
          <t>Baselined</t>
        </is>
      </c>
      <c r="I5" s="19" t="inlineStr">
        <is>
          <t>Forecast</t>
        </is>
      </c>
      <c r="J5" s="19" t="inlineStr">
        <is>
          <t>Confidence</t>
        </is>
      </c>
      <c r="K5" s="21" t="inlineStr">
        <is>
          <t>Row check</t>
        </is>
      </c>
      <c r="L5" s="21" t="inlineStr">
        <is>
          <t>First thing wrong with the estimate itself</t>
        </is>
      </c>
      <c r="M5" s="21" t="inlineStr">
        <is>
          <t>Row in use (1 or 0)</t>
        </is>
      </c>
      <c r="N5" s="21" t="inlineStr">
        <is>
          <t>Fails: estimate without its basis (1 or 0)</t>
        </is>
      </c>
      <c r="O5" s="21" t="inlineStr">
        <is>
          <t>Fails: moved with no change (1 or 0)</t>
        </is>
      </c>
      <c r="P5" s="21" t="inlineStr">
        <is>
          <t>Figure as it stands now</t>
        </is>
      </c>
      <c r="Q5" s="21" t="inlineStr">
        <is>
          <t>Baselined figure (0 if blank)</t>
        </is>
      </c>
      <c r="R5" s="21" t="inlineStr">
        <is>
          <t>Added after the baseline with no change (1 or 0)</t>
        </is>
      </c>
    </row>
    <row r="6">
      <c r="A6" s="25" t="n"/>
      <c r="B6" s="28">
        <f>IF($A6="","",IFERROR(INDEX('Work breakdown'!$B$6:$B$65,MATCH($A6,'Work breakdown'!$A$6:$A$65,0))&amp;"",""))</f>
        <v/>
      </c>
      <c r="C6" s="35" t="n"/>
      <c r="D6" s="23" t="n"/>
      <c r="E6" s="26" t="n"/>
      <c r="F6" s="26" t="n"/>
      <c r="G6" s="26" t="n"/>
      <c r="H6" s="26" t="n"/>
      <c r="I6" s="26" t="n"/>
      <c r="J6" s="35" t="n"/>
      <c r="K6" s="28">
        <f>IF($M6=0,"",IF($L6&lt;&gt;"○ Clear",$L6,IF($R6=1,"△ Added after the baseline with no change",IF($O6=1,"△ Forecast differs from Baselined with no change","○ Clear"))))</f>
        <v/>
      </c>
      <c r="L6" s="30">
        <f>IF($M6=0,"",IF(TRIM($A6)="","△ No item",IF(SUMPRODUCT(--('Work breakdown'!$A$6:$A$65=$A6))=0,"△ Not on Work breakdown",IF(SUMPRODUCT(--($A$6:$A$45=$A6))&gt;1,"△ Estimated twice",IF(ISERROR(MATCH($C6,{"Bottom up","By analogy","Three-point","Fixed scope"},0)),"△ No method",IF(TRIM($D6)="","△ No basis: say where the number came from",IF(NOT(AND(ISNUMBER($E6),ISNUMBER($F6),ISNUMBER($G6))),"△ Low, Likely and High must be numbers in that order",IF(OR($E6&lt;0,$E6&gt;$F6,$F6&gt;$G6),"△ Low, Likely and High must be numbers in that order",IF(ISERROR(MATCH($J6,{"High","Medium","Low"},0)),"△ No confidence","○ Clear")))))))))</f>
        <v/>
      </c>
      <c r="M6" s="24">
        <f>IF(OR(TRIM($A6)&lt;&gt;"",COUNTA($C6:$J6)&gt;0),1,0)</f>
        <v/>
      </c>
      <c r="N6" s="24">
        <f>IF(AND($M6=1,$L6&lt;&gt;"○ Clear"),1,0)</f>
        <v/>
      </c>
      <c r="O6" s="24">
        <f>IF(OR($M6=0,Baseline!$C$13=""),0,IF(NOT(ISNUMBER($H6)),$R6,IF(AND(ISNUMBER($I6),$I6&lt;&gt;$H6),IF(SUMPRODUCT(--(Changes!$I$6:$I$55="Raised"),--(((Changes!$E$6:$E$55=$A6)+(LEFT($A6,LEN(Changes!$E$6:$E$55)+1)=Changes!$E$6:$E$55&amp;"."))&gt;0))=0,1,0),0)))</f>
        <v/>
      </c>
      <c r="P6" s="36">
        <f>IF($M6=0,0,IF(ISNUMBER($I6),$I6,IF(ISNUMBER($H6),$H6,N($F6))))</f>
        <v/>
      </c>
      <c r="Q6" s="36">
        <f>IF($M6=0,0,N($H6))</f>
        <v/>
      </c>
      <c r="R6" s="24">
        <f>IF(OR($M6=0,Baseline!$C$13=""),0,IF(AND(NOT(ISNUMBER($H6)),ISNUMBER($F6),SUMPRODUCT(--(Changes!$I$6:$I$55="Raised"),--(((Changes!$E$6:$E$55=$A6)+(LEFT($A6,LEN(Changes!$E$6:$E$55)+1)=Changes!$E$6:$E$55&amp;"."))&gt;0))+SUMPRODUCT(--(Changes!$I$6:$I$55="Approved"),--(((Changes!$E$6:$E$55=$A6)+(LEFT($A6,LEN(Changes!$E$6:$E$55)+1)=Changes!$E$6:$E$55&amp;"."))&gt;0))=0),1,0))</f>
        <v/>
      </c>
    </row>
    <row r="7">
      <c r="A7" s="25" t="n"/>
      <c r="B7" s="28">
        <f>IF($A7="","",IFERROR(INDEX('Work breakdown'!$B$6:$B$65,MATCH($A7,'Work breakdown'!$A$6:$A$65,0))&amp;"",""))</f>
        <v/>
      </c>
      <c r="C7" s="35" t="n"/>
      <c r="D7" s="23" t="n"/>
      <c r="E7" s="26" t="n"/>
      <c r="F7" s="26" t="n"/>
      <c r="G7" s="26" t="n"/>
      <c r="H7" s="26" t="n"/>
      <c r="I7" s="26" t="n"/>
      <c r="J7" s="35" t="n"/>
      <c r="K7" s="28">
        <f>IF($M7=0,"",IF($L7&lt;&gt;"○ Clear",$L7,IF($R7=1,"△ Added after the baseline with no change",IF($O7=1,"△ Forecast differs from Baselined with no change","○ Clear"))))</f>
        <v/>
      </c>
      <c r="L7" s="30">
        <f>IF($M7=0,"",IF(TRIM($A7)="","△ No item",IF(SUMPRODUCT(--('Work breakdown'!$A$6:$A$65=$A7))=0,"△ Not on Work breakdown",IF(SUMPRODUCT(--($A$6:$A$45=$A7))&gt;1,"△ Estimated twice",IF(ISERROR(MATCH($C7,{"Bottom up","By analogy","Three-point","Fixed scope"},0)),"△ No method",IF(TRIM($D7)="","△ No basis: say where the number came from",IF(NOT(AND(ISNUMBER($E7),ISNUMBER($F7),ISNUMBER($G7))),"△ Low, Likely and High must be numbers in that order",IF(OR($E7&lt;0,$E7&gt;$F7,$F7&gt;$G7),"△ Low, Likely and High must be numbers in that order",IF(ISERROR(MATCH($J7,{"High","Medium","Low"},0)),"△ No confidence","○ Clear")))))))))</f>
        <v/>
      </c>
      <c r="M7" s="24">
        <f>IF(OR(TRIM($A7)&lt;&gt;"",COUNTA($C7:$J7)&gt;0),1,0)</f>
        <v/>
      </c>
      <c r="N7" s="24">
        <f>IF(AND($M7=1,$L7&lt;&gt;"○ Clear"),1,0)</f>
        <v/>
      </c>
      <c r="O7" s="24">
        <f>IF(OR($M7=0,Baseline!$C$13=""),0,IF(NOT(ISNUMBER($H7)),$R7,IF(AND(ISNUMBER($I7),$I7&lt;&gt;$H7),IF(SUMPRODUCT(--(Changes!$I$6:$I$55="Raised"),--(((Changes!$E$6:$E$55=$A7)+(LEFT($A7,LEN(Changes!$E$6:$E$55)+1)=Changes!$E$6:$E$55&amp;"."))&gt;0))=0,1,0),0)))</f>
        <v/>
      </c>
      <c r="P7" s="36">
        <f>IF($M7=0,0,IF(ISNUMBER($I7),$I7,IF(ISNUMBER($H7),$H7,N($F7))))</f>
        <v/>
      </c>
      <c r="Q7" s="36">
        <f>IF($M7=0,0,N($H7))</f>
        <v/>
      </c>
      <c r="R7" s="24">
        <f>IF(OR($M7=0,Baseline!$C$13=""),0,IF(AND(NOT(ISNUMBER($H7)),ISNUMBER($F7),SUMPRODUCT(--(Changes!$I$6:$I$55="Raised"),--(((Changes!$E$6:$E$55=$A7)+(LEFT($A7,LEN(Changes!$E$6:$E$55)+1)=Changes!$E$6:$E$55&amp;"."))&gt;0))+SUMPRODUCT(--(Changes!$I$6:$I$55="Approved"),--(((Changes!$E$6:$E$55=$A7)+(LEFT($A7,LEN(Changes!$E$6:$E$55)+1)=Changes!$E$6:$E$55&amp;"."))&gt;0))=0),1,0))</f>
        <v/>
      </c>
    </row>
    <row r="8">
      <c r="A8" s="25" t="n"/>
      <c r="B8" s="28">
        <f>IF($A8="","",IFERROR(INDEX('Work breakdown'!$B$6:$B$65,MATCH($A8,'Work breakdown'!$A$6:$A$65,0))&amp;"",""))</f>
        <v/>
      </c>
      <c r="C8" s="35" t="n"/>
      <c r="D8" s="23" t="n"/>
      <c r="E8" s="26" t="n"/>
      <c r="F8" s="26" t="n"/>
      <c r="G8" s="26" t="n"/>
      <c r="H8" s="26" t="n"/>
      <c r="I8" s="26" t="n"/>
      <c r="J8" s="35" t="n"/>
      <c r="K8" s="28">
        <f>IF($M8=0,"",IF($L8&lt;&gt;"○ Clear",$L8,IF($R8=1,"△ Added after the baseline with no change",IF($O8=1,"△ Forecast differs from Baselined with no change","○ Clear"))))</f>
        <v/>
      </c>
      <c r="L8" s="30">
        <f>IF($M8=0,"",IF(TRIM($A8)="","△ No item",IF(SUMPRODUCT(--('Work breakdown'!$A$6:$A$65=$A8))=0,"△ Not on Work breakdown",IF(SUMPRODUCT(--($A$6:$A$45=$A8))&gt;1,"△ Estimated twice",IF(ISERROR(MATCH($C8,{"Bottom up","By analogy","Three-point","Fixed scope"},0)),"△ No method",IF(TRIM($D8)="","△ No basis: say where the number came from",IF(NOT(AND(ISNUMBER($E8),ISNUMBER($F8),ISNUMBER($G8))),"△ Low, Likely and High must be numbers in that order",IF(OR($E8&lt;0,$E8&gt;$F8,$F8&gt;$G8),"△ Low, Likely and High must be numbers in that order",IF(ISERROR(MATCH($J8,{"High","Medium","Low"},0)),"△ No confidence","○ Clear")))))))))</f>
        <v/>
      </c>
      <c r="M8" s="24">
        <f>IF(OR(TRIM($A8)&lt;&gt;"",COUNTA($C8:$J8)&gt;0),1,0)</f>
        <v/>
      </c>
      <c r="N8" s="24">
        <f>IF(AND($M8=1,$L8&lt;&gt;"○ Clear"),1,0)</f>
        <v/>
      </c>
      <c r="O8" s="24">
        <f>IF(OR($M8=0,Baseline!$C$13=""),0,IF(NOT(ISNUMBER($H8)),$R8,IF(AND(ISNUMBER($I8),$I8&lt;&gt;$H8),IF(SUMPRODUCT(--(Changes!$I$6:$I$55="Raised"),--(((Changes!$E$6:$E$55=$A8)+(LEFT($A8,LEN(Changes!$E$6:$E$55)+1)=Changes!$E$6:$E$55&amp;"."))&gt;0))=0,1,0),0)))</f>
        <v/>
      </c>
      <c r="P8" s="36">
        <f>IF($M8=0,0,IF(ISNUMBER($I8),$I8,IF(ISNUMBER($H8),$H8,N($F8))))</f>
        <v/>
      </c>
      <c r="Q8" s="36">
        <f>IF($M8=0,0,N($H8))</f>
        <v/>
      </c>
      <c r="R8" s="24">
        <f>IF(OR($M8=0,Baseline!$C$13=""),0,IF(AND(NOT(ISNUMBER($H8)),ISNUMBER($F8),SUMPRODUCT(--(Changes!$I$6:$I$55="Raised"),--(((Changes!$E$6:$E$55=$A8)+(LEFT($A8,LEN(Changes!$E$6:$E$55)+1)=Changes!$E$6:$E$55&amp;"."))&gt;0))+SUMPRODUCT(--(Changes!$I$6:$I$55="Approved"),--(((Changes!$E$6:$E$55=$A8)+(LEFT($A8,LEN(Changes!$E$6:$E$55)+1)=Changes!$E$6:$E$55&amp;"."))&gt;0))=0),1,0))</f>
        <v/>
      </c>
    </row>
    <row r="9">
      <c r="A9" s="25" t="n"/>
      <c r="B9" s="28">
        <f>IF($A9="","",IFERROR(INDEX('Work breakdown'!$B$6:$B$65,MATCH($A9,'Work breakdown'!$A$6:$A$65,0))&amp;"",""))</f>
        <v/>
      </c>
      <c r="C9" s="35" t="n"/>
      <c r="D9" s="23" t="n"/>
      <c r="E9" s="26" t="n"/>
      <c r="F9" s="26" t="n"/>
      <c r="G9" s="26" t="n"/>
      <c r="H9" s="26" t="n"/>
      <c r="I9" s="26" t="n"/>
      <c r="J9" s="35" t="n"/>
      <c r="K9" s="28">
        <f>IF($M9=0,"",IF($L9&lt;&gt;"○ Clear",$L9,IF($R9=1,"△ Added after the baseline with no change",IF($O9=1,"△ Forecast differs from Baselined with no change","○ Clear"))))</f>
        <v/>
      </c>
      <c r="L9" s="30">
        <f>IF($M9=0,"",IF(TRIM($A9)="","△ No item",IF(SUMPRODUCT(--('Work breakdown'!$A$6:$A$65=$A9))=0,"△ Not on Work breakdown",IF(SUMPRODUCT(--($A$6:$A$45=$A9))&gt;1,"△ Estimated twice",IF(ISERROR(MATCH($C9,{"Bottom up","By analogy","Three-point","Fixed scope"},0)),"△ No method",IF(TRIM($D9)="","△ No basis: say where the number came from",IF(NOT(AND(ISNUMBER($E9),ISNUMBER($F9),ISNUMBER($G9))),"△ Low, Likely and High must be numbers in that order",IF(OR($E9&lt;0,$E9&gt;$F9,$F9&gt;$G9),"△ Low, Likely and High must be numbers in that order",IF(ISERROR(MATCH($J9,{"High","Medium","Low"},0)),"△ No confidence","○ Clear")))))))))</f>
        <v/>
      </c>
      <c r="M9" s="24">
        <f>IF(OR(TRIM($A9)&lt;&gt;"",COUNTA($C9:$J9)&gt;0),1,0)</f>
        <v/>
      </c>
      <c r="N9" s="24">
        <f>IF(AND($M9=1,$L9&lt;&gt;"○ Clear"),1,0)</f>
        <v/>
      </c>
      <c r="O9" s="24">
        <f>IF(OR($M9=0,Baseline!$C$13=""),0,IF(NOT(ISNUMBER($H9)),$R9,IF(AND(ISNUMBER($I9),$I9&lt;&gt;$H9),IF(SUMPRODUCT(--(Changes!$I$6:$I$55="Raised"),--(((Changes!$E$6:$E$55=$A9)+(LEFT($A9,LEN(Changes!$E$6:$E$55)+1)=Changes!$E$6:$E$55&amp;"."))&gt;0))=0,1,0),0)))</f>
        <v/>
      </c>
      <c r="P9" s="36">
        <f>IF($M9=0,0,IF(ISNUMBER($I9),$I9,IF(ISNUMBER($H9),$H9,N($F9))))</f>
        <v/>
      </c>
      <c r="Q9" s="36">
        <f>IF($M9=0,0,N($H9))</f>
        <v/>
      </c>
      <c r="R9" s="24">
        <f>IF(OR($M9=0,Baseline!$C$13=""),0,IF(AND(NOT(ISNUMBER($H9)),ISNUMBER($F9),SUMPRODUCT(--(Changes!$I$6:$I$55="Raised"),--(((Changes!$E$6:$E$55=$A9)+(LEFT($A9,LEN(Changes!$E$6:$E$55)+1)=Changes!$E$6:$E$55&amp;"."))&gt;0))+SUMPRODUCT(--(Changes!$I$6:$I$55="Approved"),--(((Changes!$E$6:$E$55=$A9)+(LEFT($A9,LEN(Changes!$E$6:$E$55)+1)=Changes!$E$6:$E$55&amp;"."))&gt;0))=0),1,0))</f>
        <v/>
      </c>
    </row>
    <row r="10">
      <c r="A10" s="25" t="n"/>
      <c r="B10" s="28">
        <f>IF($A10="","",IFERROR(INDEX('Work breakdown'!$B$6:$B$65,MATCH($A10,'Work breakdown'!$A$6:$A$65,0))&amp;"",""))</f>
        <v/>
      </c>
      <c r="C10" s="35" t="n"/>
      <c r="D10" s="23" t="n"/>
      <c r="E10" s="26" t="n"/>
      <c r="F10" s="26" t="n"/>
      <c r="G10" s="26" t="n"/>
      <c r="H10" s="26" t="n"/>
      <c r="I10" s="26" t="n"/>
      <c r="J10" s="35" t="n"/>
      <c r="K10" s="28">
        <f>IF($M10=0,"",IF($L10&lt;&gt;"○ Clear",$L10,IF($R10=1,"△ Added after the baseline with no change",IF($O10=1,"△ Forecast differs from Baselined with no change","○ Clear"))))</f>
        <v/>
      </c>
      <c r="L10" s="30">
        <f>IF($M10=0,"",IF(TRIM($A10)="","△ No item",IF(SUMPRODUCT(--('Work breakdown'!$A$6:$A$65=$A10))=0,"△ Not on Work breakdown",IF(SUMPRODUCT(--($A$6:$A$45=$A10))&gt;1,"△ Estimated twice",IF(ISERROR(MATCH($C10,{"Bottom up","By analogy","Three-point","Fixed scope"},0)),"△ No method",IF(TRIM($D10)="","△ No basis: say where the number came from",IF(NOT(AND(ISNUMBER($E10),ISNUMBER($F10),ISNUMBER($G10))),"△ Low, Likely and High must be numbers in that order",IF(OR($E10&lt;0,$E10&gt;$F10,$F10&gt;$G10),"△ Low, Likely and High must be numbers in that order",IF(ISERROR(MATCH($J10,{"High","Medium","Low"},0)),"△ No confidence","○ Clear")))))))))</f>
        <v/>
      </c>
      <c r="M10" s="24">
        <f>IF(OR(TRIM($A10)&lt;&gt;"",COUNTA($C10:$J10)&gt;0),1,0)</f>
        <v/>
      </c>
      <c r="N10" s="24">
        <f>IF(AND($M10=1,$L10&lt;&gt;"○ Clear"),1,0)</f>
        <v/>
      </c>
      <c r="O10" s="24">
        <f>IF(OR($M10=0,Baseline!$C$13=""),0,IF(NOT(ISNUMBER($H10)),$R10,IF(AND(ISNUMBER($I10),$I10&lt;&gt;$H10),IF(SUMPRODUCT(--(Changes!$I$6:$I$55="Raised"),--(((Changes!$E$6:$E$55=$A10)+(LEFT($A10,LEN(Changes!$E$6:$E$55)+1)=Changes!$E$6:$E$55&amp;"."))&gt;0))=0,1,0),0)))</f>
        <v/>
      </c>
      <c r="P10" s="36">
        <f>IF($M10=0,0,IF(ISNUMBER($I10),$I10,IF(ISNUMBER($H10),$H10,N($F10))))</f>
        <v/>
      </c>
      <c r="Q10" s="36">
        <f>IF($M10=0,0,N($H10))</f>
        <v/>
      </c>
      <c r="R10" s="24">
        <f>IF(OR($M10=0,Baseline!$C$13=""),0,IF(AND(NOT(ISNUMBER($H10)),ISNUMBER($F10),SUMPRODUCT(--(Changes!$I$6:$I$55="Raised"),--(((Changes!$E$6:$E$55=$A10)+(LEFT($A10,LEN(Changes!$E$6:$E$55)+1)=Changes!$E$6:$E$55&amp;"."))&gt;0))+SUMPRODUCT(--(Changes!$I$6:$I$55="Approved"),--(((Changes!$E$6:$E$55=$A10)+(LEFT($A10,LEN(Changes!$E$6:$E$55)+1)=Changes!$E$6:$E$55&amp;"."))&gt;0))=0),1,0))</f>
        <v/>
      </c>
    </row>
    <row r="11">
      <c r="A11" s="25" t="n"/>
      <c r="B11" s="28">
        <f>IF($A11="","",IFERROR(INDEX('Work breakdown'!$B$6:$B$65,MATCH($A11,'Work breakdown'!$A$6:$A$65,0))&amp;"",""))</f>
        <v/>
      </c>
      <c r="C11" s="35" t="n"/>
      <c r="D11" s="23" t="n"/>
      <c r="E11" s="26" t="n"/>
      <c r="F11" s="26" t="n"/>
      <c r="G11" s="26" t="n"/>
      <c r="H11" s="26" t="n"/>
      <c r="I11" s="26" t="n"/>
      <c r="J11" s="35" t="n"/>
      <c r="K11" s="28">
        <f>IF($M11=0,"",IF($L11&lt;&gt;"○ Clear",$L11,IF($R11=1,"△ Added after the baseline with no change",IF($O11=1,"△ Forecast differs from Baselined with no change","○ Clear"))))</f>
        <v/>
      </c>
      <c r="L11" s="30">
        <f>IF($M11=0,"",IF(TRIM($A11)="","△ No item",IF(SUMPRODUCT(--('Work breakdown'!$A$6:$A$65=$A11))=0,"△ Not on Work breakdown",IF(SUMPRODUCT(--($A$6:$A$45=$A11))&gt;1,"△ Estimated twice",IF(ISERROR(MATCH($C11,{"Bottom up","By analogy","Three-point","Fixed scope"},0)),"△ No method",IF(TRIM($D11)="","△ No basis: say where the number came from",IF(NOT(AND(ISNUMBER($E11),ISNUMBER($F11),ISNUMBER($G11))),"△ Low, Likely and High must be numbers in that order",IF(OR($E11&lt;0,$E11&gt;$F11,$F11&gt;$G11),"△ Low, Likely and High must be numbers in that order",IF(ISERROR(MATCH($J11,{"High","Medium","Low"},0)),"△ No confidence","○ Clear")))))))))</f>
        <v/>
      </c>
      <c r="M11" s="24">
        <f>IF(OR(TRIM($A11)&lt;&gt;"",COUNTA($C11:$J11)&gt;0),1,0)</f>
        <v/>
      </c>
      <c r="N11" s="24">
        <f>IF(AND($M11=1,$L11&lt;&gt;"○ Clear"),1,0)</f>
        <v/>
      </c>
      <c r="O11" s="24">
        <f>IF(OR($M11=0,Baseline!$C$13=""),0,IF(NOT(ISNUMBER($H11)),$R11,IF(AND(ISNUMBER($I11),$I11&lt;&gt;$H11),IF(SUMPRODUCT(--(Changes!$I$6:$I$55="Raised"),--(((Changes!$E$6:$E$55=$A11)+(LEFT($A11,LEN(Changes!$E$6:$E$55)+1)=Changes!$E$6:$E$55&amp;"."))&gt;0))=0,1,0),0)))</f>
        <v/>
      </c>
      <c r="P11" s="36">
        <f>IF($M11=0,0,IF(ISNUMBER($I11),$I11,IF(ISNUMBER($H11),$H11,N($F11))))</f>
        <v/>
      </c>
      <c r="Q11" s="36">
        <f>IF($M11=0,0,N($H11))</f>
        <v/>
      </c>
      <c r="R11" s="24">
        <f>IF(OR($M11=0,Baseline!$C$13=""),0,IF(AND(NOT(ISNUMBER($H11)),ISNUMBER($F11),SUMPRODUCT(--(Changes!$I$6:$I$55="Raised"),--(((Changes!$E$6:$E$55=$A11)+(LEFT($A11,LEN(Changes!$E$6:$E$55)+1)=Changes!$E$6:$E$55&amp;"."))&gt;0))+SUMPRODUCT(--(Changes!$I$6:$I$55="Approved"),--(((Changes!$E$6:$E$55=$A11)+(LEFT($A11,LEN(Changes!$E$6:$E$55)+1)=Changes!$E$6:$E$55&amp;"."))&gt;0))=0),1,0))</f>
        <v/>
      </c>
    </row>
    <row r="12">
      <c r="A12" s="25" t="n"/>
      <c r="B12" s="28">
        <f>IF($A12="","",IFERROR(INDEX('Work breakdown'!$B$6:$B$65,MATCH($A12,'Work breakdown'!$A$6:$A$65,0))&amp;"",""))</f>
        <v/>
      </c>
      <c r="C12" s="35" t="n"/>
      <c r="D12" s="23" t="n"/>
      <c r="E12" s="26" t="n"/>
      <c r="F12" s="26" t="n"/>
      <c r="G12" s="26" t="n"/>
      <c r="H12" s="26" t="n"/>
      <c r="I12" s="26" t="n"/>
      <c r="J12" s="35" t="n"/>
      <c r="K12" s="28">
        <f>IF($M12=0,"",IF($L12&lt;&gt;"○ Clear",$L12,IF($R12=1,"△ Added after the baseline with no change",IF($O12=1,"△ Forecast differs from Baselined with no change","○ Clear"))))</f>
        <v/>
      </c>
      <c r="L12" s="30">
        <f>IF($M12=0,"",IF(TRIM($A12)="","△ No item",IF(SUMPRODUCT(--('Work breakdown'!$A$6:$A$65=$A12))=0,"△ Not on Work breakdown",IF(SUMPRODUCT(--($A$6:$A$45=$A12))&gt;1,"△ Estimated twice",IF(ISERROR(MATCH($C12,{"Bottom up","By analogy","Three-point","Fixed scope"},0)),"△ No method",IF(TRIM($D12)="","△ No basis: say where the number came from",IF(NOT(AND(ISNUMBER($E12),ISNUMBER($F12),ISNUMBER($G12))),"△ Low, Likely and High must be numbers in that order",IF(OR($E12&lt;0,$E12&gt;$F12,$F12&gt;$G12),"△ Low, Likely and High must be numbers in that order",IF(ISERROR(MATCH($J12,{"High","Medium","Low"},0)),"△ No confidence","○ Clear")))))))))</f>
        <v/>
      </c>
      <c r="M12" s="24">
        <f>IF(OR(TRIM($A12)&lt;&gt;"",COUNTA($C12:$J12)&gt;0),1,0)</f>
        <v/>
      </c>
      <c r="N12" s="24">
        <f>IF(AND($M12=1,$L12&lt;&gt;"○ Clear"),1,0)</f>
        <v/>
      </c>
      <c r="O12" s="24">
        <f>IF(OR($M12=0,Baseline!$C$13=""),0,IF(NOT(ISNUMBER($H12)),$R12,IF(AND(ISNUMBER($I12),$I12&lt;&gt;$H12),IF(SUMPRODUCT(--(Changes!$I$6:$I$55="Raised"),--(((Changes!$E$6:$E$55=$A12)+(LEFT($A12,LEN(Changes!$E$6:$E$55)+1)=Changes!$E$6:$E$55&amp;"."))&gt;0))=0,1,0),0)))</f>
        <v/>
      </c>
      <c r="P12" s="36">
        <f>IF($M12=0,0,IF(ISNUMBER($I12),$I12,IF(ISNUMBER($H12),$H12,N($F12))))</f>
        <v/>
      </c>
      <c r="Q12" s="36">
        <f>IF($M12=0,0,N($H12))</f>
        <v/>
      </c>
      <c r="R12" s="24">
        <f>IF(OR($M12=0,Baseline!$C$13=""),0,IF(AND(NOT(ISNUMBER($H12)),ISNUMBER($F12),SUMPRODUCT(--(Changes!$I$6:$I$55="Raised"),--(((Changes!$E$6:$E$55=$A12)+(LEFT($A12,LEN(Changes!$E$6:$E$55)+1)=Changes!$E$6:$E$55&amp;"."))&gt;0))+SUMPRODUCT(--(Changes!$I$6:$I$55="Approved"),--(((Changes!$E$6:$E$55=$A12)+(LEFT($A12,LEN(Changes!$E$6:$E$55)+1)=Changes!$E$6:$E$55&amp;"."))&gt;0))=0),1,0))</f>
        <v/>
      </c>
    </row>
    <row r="13">
      <c r="A13" s="25" t="n"/>
      <c r="B13" s="28">
        <f>IF($A13="","",IFERROR(INDEX('Work breakdown'!$B$6:$B$65,MATCH($A13,'Work breakdown'!$A$6:$A$65,0))&amp;"",""))</f>
        <v/>
      </c>
      <c r="C13" s="35" t="n"/>
      <c r="D13" s="23" t="n"/>
      <c r="E13" s="26" t="n"/>
      <c r="F13" s="26" t="n"/>
      <c r="G13" s="26" t="n"/>
      <c r="H13" s="26" t="n"/>
      <c r="I13" s="26" t="n"/>
      <c r="J13" s="35" t="n"/>
      <c r="K13" s="28">
        <f>IF($M13=0,"",IF($L13&lt;&gt;"○ Clear",$L13,IF($R13=1,"△ Added after the baseline with no change",IF($O13=1,"△ Forecast differs from Baselined with no change","○ Clear"))))</f>
        <v/>
      </c>
      <c r="L13" s="30">
        <f>IF($M13=0,"",IF(TRIM($A13)="","△ No item",IF(SUMPRODUCT(--('Work breakdown'!$A$6:$A$65=$A13))=0,"△ Not on Work breakdown",IF(SUMPRODUCT(--($A$6:$A$45=$A13))&gt;1,"△ Estimated twice",IF(ISERROR(MATCH($C13,{"Bottom up","By analogy","Three-point","Fixed scope"},0)),"△ No method",IF(TRIM($D13)="","△ No basis: say where the number came from",IF(NOT(AND(ISNUMBER($E13),ISNUMBER($F13),ISNUMBER($G13))),"△ Low, Likely and High must be numbers in that order",IF(OR($E13&lt;0,$E13&gt;$F13,$F13&gt;$G13),"△ Low, Likely and High must be numbers in that order",IF(ISERROR(MATCH($J13,{"High","Medium","Low"},0)),"△ No confidence","○ Clear")))))))))</f>
        <v/>
      </c>
      <c r="M13" s="24">
        <f>IF(OR(TRIM($A13)&lt;&gt;"",COUNTA($C13:$J13)&gt;0),1,0)</f>
        <v/>
      </c>
      <c r="N13" s="24">
        <f>IF(AND($M13=1,$L13&lt;&gt;"○ Clear"),1,0)</f>
        <v/>
      </c>
      <c r="O13" s="24">
        <f>IF(OR($M13=0,Baseline!$C$13=""),0,IF(NOT(ISNUMBER($H13)),$R13,IF(AND(ISNUMBER($I13),$I13&lt;&gt;$H13),IF(SUMPRODUCT(--(Changes!$I$6:$I$55="Raised"),--(((Changes!$E$6:$E$55=$A13)+(LEFT($A13,LEN(Changes!$E$6:$E$55)+1)=Changes!$E$6:$E$55&amp;"."))&gt;0))=0,1,0),0)))</f>
        <v/>
      </c>
      <c r="P13" s="36">
        <f>IF($M13=0,0,IF(ISNUMBER($I13),$I13,IF(ISNUMBER($H13),$H13,N($F13))))</f>
        <v/>
      </c>
      <c r="Q13" s="36">
        <f>IF($M13=0,0,N($H13))</f>
        <v/>
      </c>
      <c r="R13" s="24">
        <f>IF(OR($M13=0,Baseline!$C$13=""),0,IF(AND(NOT(ISNUMBER($H13)),ISNUMBER($F13),SUMPRODUCT(--(Changes!$I$6:$I$55="Raised"),--(((Changes!$E$6:$E$55=$A13)+(LEFT($A13,LEN(Changes!$E$6:$E$55)+1)=Changes!$E$6:$E$55&amp;"."))&gt;0))+SUMPRODUCT(--(Changes!$I$6:$I$55="Approved"),--(((Changes!$E$6:$E$55=$A13)+(LEFT($A13,LEN(Changes!$E$6:$E$55)+1)=Changes!$E$6:$E$55&amp;"."))&gt;0))=0),1,0))</f>
        <v/>
      </c>
    </row>
    <row r="14">
      <c r="A14" s="25" t="n"/>
      <c r="B14" s="28">
        <f>IF($A14="","",IFERROR(INDEX('Work breakdown'!$B$6:$B$65,MATCH($A14,'Work breakdown'!$A$6:$A$65,0))&amp;"",""))</f>
        <v/>
      </c>
      <c r="C14" s="35" t="n"/>
      <c r="D14" s="23" t="n"/>
      <c r="E14" s="26" t="n"/>
      <c r="F14" s="26" t="n"/>
      <c r="G14" s="26" t="n"/>
      <c r="H14" s="26" t="n"/>
      <c r="I14" s="26" t="n"/>
      <c r="J14" s="35" t="n"/>
      <c r="K14" s="28">
        <f>IF($M14=0,"",IF($L14&lt;&gt;"○ Clear",$L14,IF($R14=1,"△ Added after the baseline with no change",IF($O14=1,"△ Forecast differs from Baselined with no change","○ Clear"))))</f>
        <v/>
      </c>
      <c r="L14" s="30">
        <f>IF($M14=0,"",IF(TRIM($A14)="","△ No item",IF(SUMPRODUCT(--('Work breakdown'!$A$6:$A$65=$A14))=0,"△ Not on Work breakdown",IF(SUMPRODUCT(--($A$6:$A$45=$A14))&gt;1,"△ Estimated twice",IF(ISERROR(MATCH($C14,{"Bottom up","By analogy","Three-point","Fixed scope"},0)),"△ No method",IF(TRIM($D14)="","△ No basis: say where the number came from",IF(NOT(AND(ISNUMBER($E14),ISNUMBER($F14),ISNUMBER($G14))),"△ Low, Likely and High must be numbers in that order",IF(OR($E14&lt;0,$E14&gt;$F14,$F14&gt;$G14),"△ Low, Likely and High must be numbers in that order",IF(ISERROR(MATCH($J14,{"High","Medium","Low"},0)),"△ No confidence","○ Clear")))))))))</f>
        <v/>
      </c>
      <c r="M14" s="24">
        <f>IF(OR(TRIM($A14)&lt;&gt;"",COUNTA($C14:$J14)&gt;0),1,0)</f>
        <v/>
      </c>
      <c r="N14" s="24">
        <f>IF(AND($M14=1,$L14&lt;&gt;"○ Clear"),1,0)</f>
        <v/>
      </c>
      <c r="O14" s="24">
        <f>IF(OR($M14=0,Baseline!$C$13=""),0,IF(NOT(ISNUMBER($H14)),$R14,IF(AND(ISNUMBER($I14),$I14&lt;&gt;$H14),IF(SUMPRODUCT(--(Changes!$I$6:$I$55="Raised"),--(((Changes!$E$6:$E$55=$A14)+(LEFT($A14,LEN(Changes!$E$6:$E$55)+1)=Changes!$E$6:$E$55&amp;"."))&gt;0))=0,1,0),0)))</f>
        <v/>
      </c>
      <c r="P14" s="36">
        <f>IF($M14=0,0,IF(ISNUMBER($I14),$I14,IF(ISNUMBER($H14),$H14,N($F14))))</f>
        <v/>
      </c>
      <c r="Q14" s="36">
        <f>IF($M14=0,0,N($H14))</f>
        <v/>
      </c>
      <c r="R14" s="24">
        <f>IF(OR($M14=0,Baseline!$C$13=""),0,IF(AND(NOT(ISNUMBER($H14)),ISNUMBER($F14),SUMPRODUCT(--(Changes!$I$6:$I$55="Raised"),--(((Changes!$E$6:$E$55=$A14)+(LEFT($A14,LEN(Changes!$E$6:$E$55)+1)=Changes!$E$6:$E$55&amp;"."))&gt;0))+SUMPRODUCT(--(Changes!$I$6:$I$55="Approved"),--(((Changes!$E$6:$E$55=$A14)+(LEFT($A14,LEN(Changes!$E$6:$E$55)+1)=Changes!$E$6:$E$55&amp;"."))&gt;0))=0),1,0))</f>
        <v/>
      </c>
    </row>
    <row r="15">
      <c r="A15" s="25" t="n"/>
      <c r="B15" s="28">
        <f>IF($A15="","",IFERROR(INDEX('Work breakdown'!$B$6:$B$65,MATCH($A15,'Work breakdown'!$A$6:$A$65,0))&amp;"",""))</f>
        <v/>
      </c>
      <c r="C15" s="35" t="n"/>
      <c r="D15" s="23" t="n"/>
      <c r="E15" s="26" t="n"/>
      <c r="F15" s="26" t="n"/>
      <c r="G15" s="26" t="n"/>
      <c r="H15" s="26" t="n"/>
      <c r="I15" s="26" t="n"/>
      <c r="J15" s="35" t="n"/>
      <c r="K15" s="28">
        <f>IF($M15=0,"",IF($L15&lt;&gt;"○ Clear",$L15,IF($R15=1,"△ Added after the baseline with no change",IF($O15=1,"△ Forecast differs from Baselined with no change","○ Clear"))))</f>
        <v/>
      </c>
      <c r="L15" s="30">
        <f>IF($M15=0,"",IF(TRIM($A15)="","△ No item",IF(SUMPRODUCT(--('Work breakdown'!$A$6:$A$65=$A15))=0,"△ Not on Work breakdown",IF(SUMPRODUCT(--($A$6:$A$45=$A15))&gt;1,"△ Estimated twice",IF(ISERROR(MATCH($C15,{"Bottom up","By analogy","Three-point","Fixed scope"},0)),"△ No method",IF(TRIM($D15)="","△ No basis: say where the number came from",IF(NOT(AND(ISNUMBER($E15),ISNUMBER($F15),ISNUMBER($G15))),"△ Low, Likely and High must be numbers in that order",IF(OR($E15&lt;0,$E15&gt;$F15,$F15&gt;$G15),"△ Low, Likely and High must be numbers in that order",IF(ISERROR(MATCH($J15,{"High","Medium","Low"},0)),"△ No confidence","○ Clear")))))))))</f>
        <v/>
      </c>
      <c r="M15" s="24">
        <f>IF(OR(TRIM($A15)&lt;&gt;"",COUNTA($C15:$J15)&gt;0),1,0)</f>
        <v/>
      </c>
      <c r="N15" s="24">
        <f>IF(AND($M15=1,$L15&lt;&gt;"○ Clear"),1,0)</f>
        <v/>
      </c>
      <c r="O15" s="24">
        <f>IF(OR($M15=0,Baseline!$C$13=""),0,IF(NOT(ISNUMBER($H15)),$R15,IF(AND(ISNUMBER($I15),$I15&lt;&gt;$H15),IF(SUMPRODUCT(--(Changes!$I$6:$I$55="Raised"),--(((Changes!$E$6:$E$55=$A15)+(LEFT($A15,LEN(Changes!$E$6:$E$55)+1)=Changes!$E$6:$E$55&amp;"."))&gt;0))=0,1,0),0)))</f>
        <v/>
      </c>
      <c r="P15" s="36">
        <f>IF($M15=0,0,IF(ISNUMBER($I15),$I15,IF(ISNUMBER($H15),$H15,N($F15))))</f>
        <v/>
      </c>
      <c r="Q15" s="36">
        <f>IF($M15=0,0,N($H15))</f>
        <v/>
      </c>
      <c r="R15" s="24">
        <f>IF(OR($M15=0,Baseline!$C$13=""),0,IF(AND(NOT(ISNUMBER($H15)),ISNUMBER($F15),SUMPRODUCT(--(Changes!$I$6:$I$55="Raised"),--(((Changes!$E$6:$E$55=$A15)+(LEFT($A15,LEN(Changes!$E$6:$E$55)+1)=Changes!$E$6:$E$55&amp;"."))&gt;0))+SUMPRODUCT(--(Changes!$I$6:$I$55="Approved"),--(((Changes!$E$6:$E$55=$A15)+(LEFT($A15,LEN(Changes!$E$6:$E$55)+1)=Changes!$E$6:$E$55&amp;"."))&gt;0))=0),1,0))</f>
        <v/>
      </c>
    </row>
    <row r="16">
      <c r="A16" s="25" t="n"/>
      <c r="B16" s="28">
        <f>IF($A16="","",IFERROR(INDEX('Work breakdown'!$B$6:$B$65,MATCH($A16,'Work breakdown'!$A$6:$A$65,0))&amp;"",""))</f>
        <v/>
      </c>
      <c r="C16" s="35" t="n"/>
      <c r="D16" s="23" t="n"/>
      <c r="E16" s="26" t="n"/>
      <c r="F16" s="26" t="n"/>
      <c r="G16" s="26" t="n"/>
      <c r="H16" s="26" t="n"/>
      <c r="I16" s="26" t="n"/>
      <c r="J16" s="35" t="n"/>
      <c r="K16" s="28">
        <f>IF($M16=0,"",IF($L16&lt;&gt;"○ Clear",$L16,IF($R16=1,"△ Added after the baseline with no change",IF($O16=1,"△ Forecast differs from Baselined with no change","○ Clear"))))</f>
        <v/>
      </c>
      <c r="L16" s="30">
        <f>IF($M16=0,"",IF(TRIM($A16)="","△ No item",IF(SUMPRODUCT(--('Work breakdown'!$A$6:$A$65=$A16))=0,"△ Not on Work breakdown",IF(SUMPRODUCT(--($A$6:$A$45=$A16))&gt;1,"△ Estimated twice",IF(ISERROR(MATCH($C16,{"Bottom up","By analogy","Three-point","Fixed scope"},0)),"△ No method",IF(TRIM($D16)="","△ No basis: say where the number came from",IF(NOT(AND(ISNUMBER($E16),ISNUMBER($F16),ISNUMBER($G16))),"△ Low, Likely and High must be numbers in that order",IF(OR($E16&lt;0,$E16&gt;$F16,$F16&gt;$G16),"△ Low, Likely and High must be numbers in that order",IF(ISERROR(MATCH($J16,{"High","Medium","Low"},0)),"△ No confidence","○ Clear")))))))))</f>
        <v/>
      </c>
      <c r="M16" s="24">
        <f>IF(OR(TRIM($A16)&lt;&gt;"",COUNTA($C16:$J16)&gt;0),1,0)</f>
        <v/>
      </c>
      <c r="N16" s="24">
        <f>IF(AND($M16=1,$L16&lt;&gt;"○ Clear"),1,0)</f>
        <v/>
      </c>
      <c r="O16" s="24">
        <f>IF(OR($M16=0,Baseline!$C$13=""),0,IF(NOT(ISNUMBER($H16)),$R16,IF(AND(ISNUMBER($I16),$I16&lt;&gt;$H16),IF(SUMPRODUCT(--(Changes!$I$6:$I$55="Raised"),--(((Changes!$E$6:$E$55=$A16)+(LEFT($A16,LEN(Changes!$E$6:$E$55)+1)=Changes!$E$6:$E$55&amp;"."))&gt;0))=0,1,0),0)))</f>
        <v/>
      </c>
      <c r="P16" s="36">
        <f>IF($M16=0,0,IF(ISNUMBER($I16),$I16,IF(ISNUMBER($H16),$H16,N($F16))))</f>
        <v/>
      </c>
      <c r="Q16" s="36">
        <f>IF($M16=0,0,N($H16))</f>
        <v/>
      </c>
      <c r="R16" s="24">
        <f>IF(OR($M16=0,Baseline!$C$13=""),0,IF(AND(NOT(ISNUMBER($H16)),ISNUMBER($F16),SUMPRODUCT(--(Changes!$I$6:$I$55="Raised"),--(((Changes!$E$6:$E$55=$A16)+(LEFT($A16,LEN(Changes!$E$6:$E$55)+1)=Changes!$E$6:$E$55&amp;"."))&gt;0))+SUMPRODUCT(--(Changes!$I$6:$I$55="Approved"),--(((Changes!$E$6:$E$55=$A16)+(LEFT($A16,LEN(Changes!$E$6:$E$55)+1)=Changes!$E$6:$E$55&amp;"."))&gt;0))=0),1,0))</f>
        <v/>
      </c>
    </row>
    <row r="17">
      <c r="A17" s="25" t="n"/>
      <c r="B17" s="28">
        <f>IF($A17="","",IFERROR(INDEX('Work breakdown'!$B$6:$B$65,MATCH($A17,'Work breakdown'!$A$6:$A$65,0))&amp;"",""))</f>
        <v/>
      </c>
      <c r="C17" s="35" t="n"/>
      <c r="D17" s="23" t="n"/>
      <c r="E17" s="26" t="n"/>
      <c r="F17" s="26" t="n"/>
      <c r="G17" s="26" t="n"/>
      <c r="H17" s="26" t="n"/>
      <c r="I17" s="26" t="n"/>
      <c r="J17" s="35" t="n"/>
      <c r="K17" s="28">
        <f>IF($M17=0,"",IF($L17&lt;&gt;"○ Clear",$L17,IF($R17=1,"△ Added after the baseline with no change",IF($O17=1,"△ Forecast differs from Baselined with no change","○ Clear"))))</f>
        <v/>
      </c>
      <c r="L17" s="30">
        <f>IF($M17=0,"",IF(TRIM($A17)="","△ No item",IF(SUMPRODUCT(--('Work breakdown'!$A$6:$A$65=$A17))=0,"△ Not on Work breakdown",IF(SUMPRODUCT(--($A$6:$A$45=$A17))&gt;1,"△ Estimated twice",IF(ISERROR(MATCH($C17,{"Bottom up","By analogy","Three-point","Fixed scope"},0)),"△ No method",IF(TRIM($D17)="","△ No basis: say where the number came from",IF(NOT(AND(ISNUMBER($E17),ISNUMBER($F17),ISNUMBER($G17))),"△ Low, Likely and High must be numbers in that order",IF(OR($E17&lt;0,$E17&gt;$F17,$F17&gt;$G17),"△ Low, Likely and High must be numbers in that order",IF(ISERROR(MATCH($J17,{"High","Medium","Low"},0)),"△ No confidence","○ Clear")))))))))</f>
        <v/>
      </c>
      <c r="M17" s="24">
        <f>IF(OR(TRIM($A17)&lt;&gt;"",COUNTA($C17:$J17)&gt;0),1,0)</f>
        <v/>
      </c>
      <c r="N17" s="24">
        <f>IF(AND($M17=1,$L17&lt;&gt;"○ Clear"),1,0)</f>
        <v/>
      </c>
      <c r="O17" s="24">
        <f>IF(OR($M17=0,Baseline!$C$13=""),0,IF(NOT(ISNUMBER($H17)),$R17,IF(AND(ISNUMBER($I17),$I17&lt;&gt;$H17),IF(SUMPRODUCT(--(Changes!$I$6:$I$55="Raised"),--(((Changes!$E$6:$E$55=$A17)+(LEFT($A17,LEN(Changes!$E$6:$E$55)+1)=Changes!$E$6:$E$55&amp;"."))&gt;0))=0,1,0),0)))</f>
        <v/>
      </c>
      <c r="P17" s="36">
        <f>IF($M17=0,0,IF(ISNUMBER($I17),$I17,IF(ISNUMBER($H17),$H17,N($F17))))</f>
        <v/>
      </c>
      <c r="Q17" s="36">
        <f>IF($M17=0,0,N($H17))</f>
        <v/>
      </c>
      <c r="R17" s="24">
        <f>IF(OR($M17=0,Baseline!$C$13=""),0,IF(AND(NOT(ISNUMBER($H17)),ISNUMBER($F17),SUMPRODUCT(--(Changes!$I$6:$I$55="Raised"),--(((Changes!$E$6:$E$55=$A17)+(LEFT($A17,LEN(Changes!$E$6:$E$55)+1)=Changes!$E$6:$E$55&amp;"."))&gt;0))+SUMPRODUCT(--(Changes!$I$6:$I$55="Approved"),--(((Changes!$E$6:$E$55=$A17)+(LEFT($A17,LEN(Changes!$E$6:$E$55)+1)=Changes!$E$6:$E$55&amp;"."))&gt;0))=0),1,0))</f>
        <v/>
      </c>
    </row>
    <row r="18">
      <c r="A18" s="25" t="n"/>
      <c r="B18" s="28">
        <f>IF($A18="","",IFERROR(INDEX('Work breakdown'!$B$6:$B$65,MATCH($A18,'Work breakdown'!$A$6:$A$65,0))&amp;"",""))</f>
        <v/>
      </c>
      <c r="C18" s="35" t="n"/>
      <c r="D18" s="23" t="n"/>
      <c r="E18" s="26" t="n"/>
      <c r="F18" s="26" t="n"/>
      <c r="G18" s="26" t="n"/>
      <c r="H18" s="26" t="n"/>
      <c r="I18" s="26" t="n"/>
      <c r="J18" s="35" t="n"/>
      <c r="K18" s="28">
        <f>IF($M18=0,"",IF($L18&lt;&gt;"○ Clear",$L18,IF($R18=1,"△ Added after the baseline with no change",IF($O18=1,"△ Forecast differs from Baselined with no change","○ Clear"))))</f>
        <v/>
      </c>
      <c r="L18" s="30">
        <f>IF($M18=0,"",IF(TRIM($A18)="","△ No item",IF(SUMPRODUCT(--('Work breakdown'!$A$6:$A$65=$A18))=0,"△ Not on Work breakdown",IF(SUMPRODUCT(--($A$6:$A$45=$A18))&gt;1,"△ Estimated twice",IF(ISERROR(MATCH($C18,{"Bottom up","By analogy","Three-point","Fixed scope"},0)),"△ No method",IF(TRIM($D18)="","△ No basis: say where the number came from",IF(NOT(AND(ISNUMBER($E18),ISNUMBER($F18),ISNUMBER($G18))),"△ Low, Likely and High must be numbers in that order",IF(OR($E18&lt;0,$E18&gt;$F18,$F18&gt;$G18),"△ Low, Likely and High must be numbers in that order",IF(ISERROR(MATCH($J18,{"High","Medium","Low"},0)),"△ No confidence","○ Clear")))))))))</f>
        <v/>
      </c>
      <c r="M18" s="24">
        <f>IF(OR(TRIM($A18)&lt;&gt;"",COUNTA($C18:$J18)&gt;0),1,0)</f>
        <v/>
      </c>
      <c r="N18" s="24">
        <f>IF(AND($M18=1,$L18&lt;&gt;"○ Clear"),1,0)</f>
        <v/>
      </c>
      <c r="O18" s="24">
        <f>IF(OR($M18=0,Baseline!$C$13=""),0,IF(NOT(ISNUMBER($H18)),$R18,IF(AND(ISNUMBER($I18),$I18&lt;&gt;$H18),IF(SUMPRODUCT(--(Changes!$I$6:$I$55="Raised"),--(((Changes!$E$6:$E$55=$A18)+(LEFT($A18,LEN(Changes!$E$6:$E$55)+1)=Changes!$E$6:$E$55&amp;"."))&gt;0))=0,1,0),0)))</f>
        <v/>
      </c>
      <c r="P18" s="36">
        <f>IF($M18=0,0,IF(ISNUMBER($I18),$I18,IF(ISNUMBER($H18),$H18,N($F18))))</f>
        <v/>
      </c>
      <c r="Q18" s="36">
        <f>IF($M18=0,0,N($H18))</f>
        <v/>
      </c>
      <c r="R18" s="24">
        <f>IF(OR($M18=0,Baseline!$C$13=""),0,IF(AND(NOT(ISNUMBER($H18)),ISNUMBER($F18),SUMPRODUCT(--(Changes!$I$6:$I$55="Raised"),--(((Changes!$E$6:$E$55=$A18)+(LEFT($A18,LEN(Changes!$E$6:$E$55)+1)=Changes!$E$6:$E$55&amp;"."))&gt;0))+SUMPRODUCT(--(Changes!$I$6:$I$55="Approved"),--(((Changes!$E$6:$E$55=$A18)+(LEFT($A18,LEN(Changes!$E$6:$E$55)+1)=Changes!$E$6:$E$55&amp;"."))&gt;0))=0),1,0))</f>
        <v/>
      </c>
    </row>
    <row r="19">
      <c r="A19" s="25" t="n"/>
      <c r="B19" s="28">
        <f>IF($A19="","",IFERROR(INDEX('Work breakdown'!$B$6:$B$65,MATCH($A19,'Work breakdown'!$A$6:$A$65,0))&amp;"",""))</f>
        <v/>
      </c>
      <c r="C19" s="35" t="n"/>
      <c r="D19" s="23" t="n"/>
      <c r="E19" s="26" t="n"/>
      <c r="F19" s="26" t="n"/>
      <c r="G19" s="26" t="n"/>
      <c r="H19" s="26" t="n"/>
      <c r="I19" s="26" t="n"/>
      <c r="J19" s="35" t="n"/>
      <c r="K19" s="28">
        <f>IF($M19=0,"",IF($L19&lt;&gt;"○ Clear",$L19,IF($R19=1,"△ Added after the baseline with no change",IF($O19=1,"△ Forecast differs from Baselined with no change","○ Clear"))))</f>
        <v/>
      </c>
      <c r="L19" s="30">
        <f>IF($M19=0,"",IF(TRIM($A19)="","△ No item",IF(SUMPRODUCT(--('Work breakdown'!$A$6:$A$65=$A19))=0,"△ Not on Work breakdown",IF(SUMPRODUCT(--($A$6:$A$45=$A19))&gt;1,"△ Estimated twice",IF(ISERROR(MATCH($C19,{"Bottom up","By analogy","Three-point","Fixed scope"},0)),"△ No method",IF(TRIM($D19)="","△ No basis: say where the number came from",IF(NOT(AND(ISNUMBER($E19),ISNUMBER($F19),ISNUMBER($G19))),"△ Low, Likely and High must be numbers in that order",IF(OR($E19&lt;0,$E19&gt;$F19,$F19&gt;$G19),"△ Low, Likely and High must be numbers in that order",IF(ISERROR(MATCH($J19,{"High","Medium","Low"},0)),"△ No confidence","○ Clear")))))))))</f>
        <v/>
      </c>
      <c r="M19" s="24">
        <f>IF(OR(TRIM($A19)&lt;&gt;"",COUNTA($C19:$J19)&gt;0),1,0)</f>
        <v/>
      </c>
      <c r="N19" s="24">
        <f>IF(AND($M19=1,$L19&lt;&gt;"○ Clear"),1,0)</f>
        <v/>
      </c>
      <c r="O19" s="24">
        <f>IF(OR($M19=0,Baseline!$C$13=""),0,IF(NOT(ISNUMBER($H19)),$R19,IF(AND(ISNUMBER($I19),$I19&lt;&gt;$H19),IF(SUMPRODUCT(--(Changes!$I$6:$I$55="Raised"),--(((Changes!$E$6:$E$55=$A19)+(LEFT($A19,LEN(Changes!$E$6:$E$55)+1)=Changes!$E$6:$E$55&amp;"."))&gt;0))=0,1,0),0)))</f>
        <v/>
      </c>
      <c r="P19" s="36">
        <f>IF($M19=0,0,IF(ISNUMBER($I19),$I19,IF(ISNUMBER($H19),$H19,N($F19))))</f>
        <v/>
      </c>
      <c r="Q19" s="36">
        <f>IF($M19=0,0,N($H19))</f>
        <v/>
      </c>
      <c r="R19" s="24">
        <f>IF(OR($M19=0,Baseline!$C$13=""),0,IF(AND(NOT(ISNUMBER($H19)),ISNUMBER($F19),SUMPRODUCT(--(Changes!$I$6:$I$55="Raised"),--(((Changes!$E$6:$E$55=$A19)+(LEFT($A19,LEN(Changes!$E$6:$E$55)+1)=Changes!$E$6:$E$55&amp;"."))&gt;0))+SUMPRODUCT(--(Changes!$I$6:$I$55="Approved"),--(((Changes!$E$6:$E$55=$A19)+(LEFT($A19,LEN(Changes!$E$6:$E$55)+1)=Changes!$E$6:$E$55&amp;"."))&gt;0))=0),1,0))</f>
        <v/>
      </c>
    </row>
    <row r="20">
      <c r="A20" s="25" t="n"/>
      <c r="B20" s="28">
        <f>IF($A20="","",IFERROR(INDEX('Work breakdown'!$B$6:$B$65,MATCH($A20,'Work breakdown'!$A$6:$A$65,0))&amp;"",""))</f>
        <v/>
      </c>
      <c r="C20" s="35" t="n"/>
      <c r="D20" s="23" t="n"/>
      <c r="E20" s="26" t="n"/>
      <c r="F20" s="26" t="n"/>
      <c r="G20" s="26" t="n"/>
      <c r="H20" s="26" t="n"/>
      <c r="I20" s="26" t="n"/>
      <c r="J20" s="35" t="n"/>
      <c r="K20" s="28">
        <f>IF($M20=0,"",IF($L20&lt;&gt;"○ Clear",$L20,IF($R20=1,"△ Added after the baseline with no change",IF($O20=1,"△ Forecast differs from Baselined with no change","○ Clear"))))</f>
        <v/>
      </c>
      <c r="L20" s="30">
        <f>IF($M20=0,"",IF(TRIM($A20)="","△ No item",IF(SUMPRODUCT(--('Work breakdown'!$A$6:$A$65=$A20))=0,"△ Not on Work breakdown",IF(SUMPRODUCT(--($A$6:$A$45=$A20))&gt;1,"△ Estimated twice",IF(ISERROR(MATCH($C20,{"Bottom up","By analogy","Three-point","Fixed scope"},0)),"△ No method",IF(TRIM($D20)="","△ No basis: say where the number came from",IF(NOT(AND(ISNUMBER($E20),ISNUMBER($F20),ISNUMBER($G20))),"△ Low, Likely and High must be numbers in that order",IF(OR($E20&lt;0,$E20&gt;$F20,$F20&gt;$G20),"△ Low, Likely and High must be numbers in that order",IF(ISERROR(MATCH($J20,{"High","Medium","Low"},0)),"△ No confidence","○ Clear")))))))))</f>
        <v/>
      </c>
      <c r="M20" s="24">
        <f>IF(OR(TRIM($A20)&lt;&gt;"",COUNTA($C20:$J20)&gt;0),1,0)</f>
        <v/>
      </c>
      <c r="N20" s="24">
        <f>IF(AND($M20=1,$L20&lt;&gt;"○ Clear"),1,0)</f>
        <v/>
      </c>
      <c r="O20" s="24">
        <f>IF(OR($M20=0,Baseline!$C$13=""),0,IF(NOT(ISNUMBER($H20)),$R20,IF(AND(ISNUMBER($I20),$I20&lt;&gt;$H20),IF(SUMPRODUCT(--(Changes!$I$6:$I$55="Raised"),--(((Changes!$E$6:$E$55=$A20)+(LEFT($A20,LEN(Changes!$E$6:$E$55)+1)=Changes!$E$6:$E$55&amp;"."))&gt;0))=0,1,0),0)))</f>
        <v/>
      </c>
      <c r="P20" s="36">
        <f>IF($M20=0,0,IF(ISNUMBER($I20),$I20,IF(ISNUMBER($H20),$H20,N($F20))))</f>
        <v/>
      </c>
      <c r="Q20" s="36">
        <f>IF($M20=0,0,N($H20))</f>
        <v/>
      </c>
      <c r="R20" s="24">
        <f>IF(OR($M20=0,Baseline!$C$13=""),0,IF(AND(NOT(ISNUMBER($H20)),ISNUMBER($F20),SUMPRODUCT(--(Changes!$I$6:$I$55="Raised"),--(((Changes!$E$6:$E$55=$A20)+(LEFT($A20,LEN(Changes!$E$6:$E$55)+1)=Changes!$E$6:$E$55&amp;"."))&gt;0))+SUMPRODUCT(--(Changes!$I$6:$I$55="Approved"),--(((Changes!$E$6:$E$55=$A20)+(LEFT($A20,LEN(Changes!$E$6:$E$55)+1)=Changes!$E$6:$E$55&amp;"."))&gt;0))=0),1,0))</f>
        <v/>
      </c>
    </row>
    <row r="21">
      <c r="A21" s="25" t="n"/>
      <c r="B21" s="28">
        <f>IF($A21="","",IFERROR(INDEX('Work breakdown'!$B$6:$B$65,MATCH($A21,'Work breakdown'!$A$6:$A$65,0))&amp;"",""))</f>
        <v/>
      </c>
      <c r="C21" s="35" t="n"/>
      <c r="D21" s="23" t="n"/>
      <c r="E21" s="26" t="n"/>
      <c r="F21" s="26" t="n"/>
      <c r="G21" s="26" t="n"/>
      <c r="H21" s="26" t="n"/>
      <c r="I21" s="26" t="n"/>
      <c r="J21" s="35" t="n"/>
      <c r="K21" s="28">
        <f>IF($M21=0,"",IF($L21&lt;&gt;"○ Clear",$L21,IF($R21=1,"△ Added after the baseline with no change",IF($O21=1,"△ Forecast differs from Baselined with no change","○ Clear"))))</f>
        <v/>
      </c>
      <c r="L21" s="30">
        <f>IF($M21=0,"",IF(TRIM($A21)="","△ No item",IF(SUMPRODUCT(--('Work breakdown'!$A$6:$A$65=$A21))=0,"△ Not on Work breakdown",IF(SUMPRODUCT(--($A$6:$A$45=$A21))&gt;1,"△ Estimated twice",IF(ISERROR(MATCH($C21,{"Bottom up","By analogy","Three-point","Fixed scope"},0)),"△ No method",IF(TRIM($D21)="","△ No basis: say where the number came from",IF(NOT(AND(ISNUMBER($E21),ISNUMBER($F21),ISNUMBER($G21))),"△ Low, Likely and High must be numbers in that order",IF(OR($E21&lt;0,$E21&gt;$F21,$F21&gt;$G21),"△ Low, Likely and High must be numbers in that order",IF(ISERROR(MATCH($J21,{"High","Medium","Low"},0)),"△ No confidence","○ Clear")))))))))</f>
        <v/>
      </c>
      <c r="M21" s="24">
        <f>IF(OR(TRIM($A21)&lt;&gt;"",COUNTA($C21:$J21)&gt;0),1,0)</f>
        <v/>
      </c>
      <c r="N21" s="24">
        <f>IF(AND($M21=1,$L21&lt;&gt;"○ Clear"),1,0)</f>
        <v/>
      </c>
      <c r="O21" s="24">
        <f>IF(OR($M21=0,Baseline!$C$13=""),0,IF(NOT(ISNUMBER($H21)),$R21,IF(AND(ISNUMBER($I21),$I21&lt;&gt;$H21),IF(SUMPRODUCT(--(Changes!$I$6:$I$55="Raised"),--(((Changes!$E$6:$E$55=$A21)+(LEFT($A21,LEN(Changes!$E$6:$E$55)+1)=Changes!$E$6:$E$55&amp;"."))&gt;0))=0,1,0),0)))</f>
        <v/>
      </c>
      <c r="P21" s="36">
        <f>IF($M21=0,0,IF(ISNUMBER($I21),$I21,IF(ISNUMBER($H21),$H21,N($F21))))</f>
        <v/>
      </c>
      <c r="Q21" s="36">
        <f>IF($M21=0,0,N($H21))</f>
        <v/>
      </c>
      <c r="R21" s="24">
        <f>IF(OR($M21=0,Baseline!$C$13=""),0,IF(AND(NOT(ISNUMBER($H21)),ISNUMBER($F21),SUMPRODUCT(--(Changes!$I$6:$I$55="Raised"),--(((Changes!$E$6:$E$55=$A21)+(LEFT($A21,LEN(Changes!$E$6:$E$55)+1)=Changes!$E$6:$E$55&amp;"."))&gt;0))+SUMPRODUCT(--(Changes!$I$6:$I$55="Approved"),--(((Changes!$E$6:$E$55=$A21)+(LEFT($A21,LEN(Changes!$E$6:$E$55)+1)=Changes!$E$6:$E$55&amp;"."))&gt;0))=0),1,0))</f>
        <v/>
      </c>
    </row>
    <row r="22">
      <c r="A22" s="25" t="n"/>
      <c r="B22" s="28">
        <f>IF($A22="","",IFERROR(INDEX('Work breakdown'!$B$6:$B$65,MATCH($A22,'Work breakdown'!$A$6:$A$65,0))&amp;"",""))</f>
        <v/>
      </c>
      <c r="C22" s="35" t="n"/>
      <c r="D22" s="23" t="n"/>
      <c r="E22" s="26" t="n"/>
      <c r="F22" s="26" t="n"/>
      <c r="G22" s="26" t="n"/>
      <c r="H22" s="26" t="n"/>
      <c r="I22" s="26" t="n"/>
      <c r="J22" s="35" t="n"/>
      <c r="K22" s="28">
        <f>IF($M22=0,"",IF($L22&lt;&gt;"○ Clear",$L22,IF($R22=1,"△ Added after the baseline with no change",IF($O22=1,"△ Forecast differs from Baselined with no change","○ Clear"))))</f>
        <v/>
      </c>
      <c r="L22" s="30">
        <f>IF($M22=0,"",IF(TRIM($A22)="","△ No item",IF(SUMPRODUCT(--('Work breakdown'!$A$6:$A$65=$A22))=0,"△ Not on Work breakdown",IF(SUMPRODUCT(--($A$6:$A$45=$A22))&gt;1,"△ Estimated twice",IF(ISERROR(MATCH($C22,{"Bottom up","By analogy","Three-point","Fixed scope"},0)),"△ No method",IF(TRIM($D22)="","△ No basis: say where the number came from",IF(NOT(AND(ISNUMBER($E22),ISNUMBER($F22),ISNUMBER($G22))),"△ Low, Likely and High must be numbers in that order",IF(OR($E22&lt;0,$E22&gt;$F22,$F22&gt;$G22),"△ Low, Likely and High must be numbers in that order",IF(ISERROR(MATCH($J22,{"High","Medium","Low"},0)),"△ No confidence","○ Clear")))))))))</f>
        <v/>
      </c>
      <c r="M22" s="24">
        <f>IF(OR(TRIM($A22)&lt;&gt;"",COUNTA($C22:$J22)&gt;0),1,0)</f>
        <v/>
      </c>
      <c r="N22" s="24">
        <f>IF(AND($M22=1,$L22&lt;&gt;"○ Clear"),1,0)</f>
        <v/>
      </c>
      <c r="O22" s="24">
        <f>IF(OR($M22=0,Baseline!$C$13=""),0,IF(NOT(ISNUMBER($H22)),$R22,IF(AND(ISNUMBER($I22),$I22&lt;&gt;$H22),IF(SUMPRODUCT(--(Changes!$I$6:$I$55="Raised"),--(((Changes!$E$6:$E$55=$A22)+(LEFT($A22,LEN(Changes!$E$6:$E$55)+1)=Changes!$E$6:$E$55&amp;"."))&gt;0))=0,1,0),0)))</f>
        <v/>
      </c>
      <c r="P22" s="36">
        <f>IF($M22=0,0,IF(ISNUMBER($I22),$I22,IF(ISNUMBER($H22),$H22,N($F22))))</f>
        <v/>
      </c>
      <c r="Q22" s="36">
        <f>IF($M22=0,0,N($H22))</f>
        <v/>
      </c>
      <c r="R22" s="24">
        <f>IF(OR($M22=0,Baseline!$C$13=""),0,IF(AND(NOT(ISNUMBER($H22)),ISNUMBER($F22),SUMPRODUCT(--(Changes!$I$6:$I$55="Raised"),--(((Changes!$E$6:$E$55=$A22)+(LEFT($A22,LEN(Changes!$E$6:$E$55)+1)=Changes!$E$6:$E$55&amp;"."))&gt;0))+SUMPRODUCT(--(Changes!$I$6:$I$55="Approved"),--(((Changes!$E$6:$E$55=$A22)+(LEFT($A22,LEN(Changes!$E$6:$E$55)+1)=Changes!$E$6:$E$55&amp;"."))&gt;0))=0),1,0))</f>
        <v/>
      </c>
    </row>
    <row r="23">
      <c r="A23" s="25" t="n"/>
      <c r="B23" s="28">
        <f>IF($A23="","",IFERROR(INDEX('Work breakdown'!$B$6:$B$65,MATCH($A23,'Work breakdown'!$A$6:$A$65,0))&amp;"",""))</f>
        <v/>
      </c>
      <c r="C23" s="35" t="n"/>
      <c r="D23" s="23" t="n"/>
      <c r="E23" s="26" t="n"/>
      <c r="F23" s="26" t="n"/>
      <c r="G23" s="26" t="n"/>
      <c r="H23" s="26" t="n"/>
      <c r="I23" s="26" t="n"/>
      <c r="J23" s="35" t="n"/>
      <c r="K23" s="28">
        <f>IF($M23=0,"",IF($L23&lt;&gt;"○ Clear",$L23,IF($R23=1,"△ Added after the baseline with no change",IF($O23=1,"△ Forecast differs from Baselined with no change","○ Clear"))))</f>
        <v/>
      </c>
      <c r="L23" s="30">
        <f>IF($M23=0,"",IF(TRIM($A23)="","△ No item",IF(SUMPRODUCT(--('Work breakdown'!$A$6:$A$65=$A23))=0,"△ Not on Work breakdown",IF(SUMPRODUCT(--($A$6:$A$45=$A23))&gt;1,"△ Estimated twice",IF(ISERROR(MATCH($C23,{"Bottom up","By analogy","Three-point","Fixed scope"},0)),"△ No method",IF(TRIM($D23)="","△ No basis: say where the number came from",IF(NOT(AND(ISNUMBER($E23),ISNUMBER($F23),ISNUMBER($G23))),"△ Low, Likely and High must be numbers in that order",IF(OR($E23&lt;0,$E23&gt;$F23,$F23&gt;$G23),"△ Low, Likely and High must be numbers in that order",IF(ISERROR(MATCH($J23,{"High","Medium","Low"},0)),"△ No confidence","○ Clear")))))))))</f>
        <v/>
      </c>
      <c r="M23" s="24">
        <f>IF(OR(TRIM($A23)&lt;&gt;"",COUNTA($C23:$J23)&gt;0),1,0)</f>
        <v/>
      </c>
      <c r="N23" s="24">
        <f>IF(AND($M23=1,$L23&lt;&gt;"○ Clear"),1,0)</f>
        <v/>
      </c>
      <c r="O23" s="24">
        <f>IF(OR($M23=0,Baseline!$C$13=""),0,IF(NOT(ISNUMBER($H23)),$R23,IF(AND(ISNUMBER($I23),$I23&lt;&gt;$H23),IF(SUMPRODUCT(--(Changes!$I$6:$I$55="Raised"),--(((Changes!$E$6:$E$55=$A23)+(LEFT($A23,LEN(Changes!$E$6:$E$55)+1)=Changes!$E$6:$E$55&amp;"."))&gt;0))=0,1,0),0)))</f>
        <v/>
      </c>
      <c r="P23" s="36">
        <f>IF($M23=0,0,IF(ISNUMBER($I23),$I23,IF(ISNUMBER($H23),$H23,N($F23))))</f>
        <v/>
      </c>
      <c r="Q23" s="36">
        <f>IF($M23=0,0,N($H23))</f>
        <v/>
      </c>
      <c r="R23" s="24">
        <f>IF(OR($M23=0,Baseline!$C$13=""),0,IF(AND(NOT(ISNUMBER($H23)),ISNUMBER($F23),SUMPRODUCT(--(Changes!$I$6:$I$55="Raised"),--(((Changes!$E$6:$E$55=$A23)+(LEFT($A23,LEN(Changes!$E$6:$E$55)+1)=Changes!$E$6:$E$55&amp;"."))&gt;0))+SUMPRODUCT(--(Changes!$I$6:$I$55="Approved"),--(((Changes!$E$6:$E$55=$A23)+(LEFT($A23,LEN(Changes!$E$6:$E$55)+1)=Changes!$E$6:$E$55&amp;"."))&gt;0))=0),1,0))</f>
        <v/>
      </c>
    </row>
    <row r="24">
      <c r="A24" s="25" t="n"/>
      <c r="B24" s="28">
        <f>IF($A24="","",IFERROR(INDEX('Work breakdown'!$B$6:$B$65,MATCH($A24,'Work breakdown'!$A$6:$A$65,0))&amp;"",""))</f>
        <v/>
      </c>
      <c r="C24" s="35" t="n"/>
      <c r="D24" s="23" t="n"/>
      <c r="E24" s="26" t="n"/>
      <c r="F24" s="26" t="n"/>
      <c r="G24" s="26" t="n"/>
      <c r="H24" s="26" t="n"/>
      <c r="I24" s="26" t="n"/>
      <c r="J24" s="35" t="n"/>
      <c r="K24" s="28">
        <f>IF($M24=0,"",IF($L24&lt;&gt;"○ Clear",$L24,IF($R24=1,"△ Added after the baseline with no change",IF($O24=1,"△ Forecast differs from Baselined with no change","○ Clear"))))</f>
        <v/>
      </c>
      <c r="L24" s="30">
        <f>IF($M24=0,"",IF(TRIM($A24)="","△ No item",IF(SUMPRODUCT(--('Work breakdown'!$A$6:$A$65=$A24))=0,"△ Not on Work breakdown",IF(SUMPRODUCT(--($A$6:$A$45=$A24))&gt;1,"△ Estimated twice",IF(ISERROR(MATCH($C24,{"Bottom up","By analogy","Three-point","Fixed scope"},0)),"△ No method",IF(TRIM($D24)="","△ No basis: say where the number came from",IF(NOT(AND(ISNUMBER($E24),ISNUMBER($F24),ISNUMBER($G24))),"△ Low, Likely and High must be numbers in that order",IF(OR($E24&lt;0,$E24&gt;$F24,$F24&gt;$G24),"△ Low, Likely and High must be numbers in that order",IF(ISERROR(MATCH($J24,{"High","Medium","Low"},0)),"△ No confidence","○ Clear")))))))))</f>
        <v/>
      </c>
      <c r="M24" s="24">
        <f>IF(OR(TRIM($A24)&lt;&gt;"",COUNTA($C24:$J24)&gt;0),1,0)</f>
        <v/>
      </c>
      <c r="N24" s="24">
        <f>IF(AND($M24=1,$L24&lt;&gt;"○ Clear"),1,0)</f>
        <v/>
      </c>
      <c r="O24" s="24">
        <f>IF(OR($M24=0,Baseline!$C$13=""),0,IF(NOT(ISNUMBER($H24)),$R24,IF(AND(ISNUMBER($I24),$I24&lt;&gt;$H24),IF(SUMPRODUCT(--(Changes!$I$6:$I$55="Raised"),--(((Changes!$E$6:$E$55=$A24)+(LEFT($A24,LEN(Changes!$E$6:$E$55)+1)=Changes!$E$6:$E$55&amp;"."))&gt;0))=0,1,0),0)))</f>
        <v/>
      </c>
      <c r="P24" s="36">
        <f>IF($M24=0,0,IF(ISNUMBER($I24),$I24,IF(ISNUMBER($H24),$H24,N($F24))))</f>
        <v/>
      </c>
      <c r="Q24" s="36">
        <f>IF($M24=0,0,N($H24))</f>
        <v/>
      </c>
      <c r="R24" s="24">
        <f>IF(OR($M24=0,Baseline!$C$13=""),0,IF(AND(NOT(ISNUMBER($H24)),ISNUMBER($F24),SUMPRODUCT(--(Changes!$I$6:$I$55="Raised"),--(((Changes!$E$6:$E$55=$A24)+(LEFT($A24,LEN(Changes!$E$6:$E$55)+1)=Changes!$E$6:$E$55&amp;"."))&gt;0))+SUMPRODUCT(--(Changes!$I$6:$I$55="Approved"),--(((Changes!$E$6:$E$55=$A24)+(LEFT($A24,LEN(Changes!$E$6:$E$55)+1)=Changes!$E$6:$E$55&amp;"."))&gt;0))=0),1,0))</f>
        <v/>
      </c>
    </row>
    <row r="25">
      <c r="A25" s="25" t="n"/>
      <c r="B25" s="28">
        <f>IF($A25="","",IFERROR(INDEX('Work breakdown'!$B$6:$B$65,MATCH($A25,'Work breakdown'!$A$6:$A$65,0))&amp;"",""))</f>
        <v/>
      </c>
      <c r="C25" s="35" t="n"/>
      <c r="D25" s="23" t="n"/>
      <c r="E25" s="26" t="n"/>
      <c r="F25" s="26" t="n"/>
      <c r="G25" s="26" t="n"/>
      <c r="H25" s="26" t="n"/>
      <c r="I25" s="26" t="n"/>
      <c r="J25" s="35" t="n"/>
      <c r="K25" s="28">
        <f>IF($M25=0,"",IF($L25&lt;&gt;"○ Clear",$L25,IF($R25=1,"△ Added after the baseline with no change",IF($O25=1,"△ Forecast differs from Baselined with no change","○ Clear"))))</f>
        <v/>
      </c>
      <c r="L25" s="30">
        <f>IF($M25=0,"",IF(TRIM($A25)="","△ No item",IF(SUMPRODUCT(--('Work breakdown'!$A$6:$A$65=$A25))=0,"△ Not on Work breakdown",IF(SUMPRODUCT(--($A$6:$A$45=$A25))&gt;1,"△ Estimated twice",IF(ISERROR(MATCH($C25,{"Bottom up","By analogy","Three-point","Fixed scope"},0)),"△ No method",IF(TRIM($D25)="","△ No basis: say where the number came from",IF(NOT(AND(ISNUMBER($E25),ISNUMBER($F25),ISNUMBER($G25))),"△ Low, Likely and High must be numbers in that order",IF(OR($E25&lt;0,$E25&gt;$F25,$F25&gt;$G25),"△ Low, Likely and High must be numbers in that order",IF(ISERROR(MATCH($J25,{"High","Medium","Low"},0)),"△ No confidence","○ Clear")))))))))</f>
        <v/>
      </c>
      <c r="M25" s="24">
        <f>IF(OR(TRIM($A25)&lt;&gt;"",COUNTA($C25:$J25)&gt;0),1,0)</f>
        <v/>
      </c>
      <c r="N25" s="24">
        <f>IF(AND($M25=1,$L25&lt;&gt;"○ Clear"),1,0)</f>
        <v/>
      </c>
      <c r="O25" s="24">
        <f>IF(OR($M25=0,Baseline!$C$13=""),0,IF(NOT(ISNUMBER($H25)),$R25,IF(AND(ISNUMBER($I25),$I25&lt;&gt;$H25),IF(SUMPRODUCT(--(Changes!$I$6:$I$55="Raised"),--(((Changes!$E$6:$E$55=$A25)+(LEFT($A25,LEN(Changes!$E$6:$E$55)+1)=Changes!$E$6:$E$55&amp;"."))&gt;0))=0,1,0),0)))</f>
        <v/>
      </c>
      <c r="P25" s="36">
        <f>IF($M25=0,0,IF(ISNUMBER($I25),$I25,IF(ISNUMBER($H25),$H25,N($F25))))</f>
        <v/>
      </c>
      <c r="Q25" s="36">
        <f>IF($M25=0,0,N($H25))</f>
        <v/>
      </c>
      <c r="R25" s="24">
        <f>IF(OR($M25=0,Baseline!$C$13=""),0,IF(AND(NOT(ISNUMBER($H25)),ISNUMBER($F25),SUMPRODUCT(--(Changes!$I$6:$I$55="Raised"),--(((Changes!$E$6:$E$55=$A25)+(LEFT($A25,LEN(Changes!$E$6:$E$55)+1)=Changes!$E$6:$E$55&amp;"."))&gt;0))+SUMPRODUCT(--(Changes!$I$6:$I$55="Approved"),--(((Changes!$E$6:$E$55=$A25)+(LEFT($A25,LEN(Changes!$E$6:$E$55)+1)=Changes!$E$6:$E$55&amp;"."))&gt;0))=0),1,0))</f>
        <v/>
      </c>
    </row>
    <row r="26">
      <c r="A26" s="25" t="n"/>
      <c r="B26" s="28">
        <f>IF($A26="","",IFERROR(INDEX('Work breakdown'!$B$6:$B$65,MATCH($A26,'Work breakdown'!$A$6:$A$65,0))&amp;"",""))</f>
        <v/>
      </c>
      <c r="C26" s="35" t="n"/>
      <c r="D26" s="23" t="n"/>
      <c r="E26" s="26" t="n"/>
      <c r="F26" s="26" t="n"/>
      <c r="G26" s="26" t="n"/>
      <c r="H26" s="26" t="n"/>
      <c r="I26" s="26" t="n"/>
      <c r="J26" s="35" t="n"/>
      <c r="K26" s="28">
        <f>IF($M26=0,"",IF($L26&lt;&gt;"○ Clear",$L26,IF($R26=1,"△ Added after the baseline with no change",IF($O26=1,"△ Forecast differs from Baselined with no change","○ Clear"))))</f>
        <v/>
      </c>
      <c r="L26" s="30">
        <f>IF($M26=0,"",IF(TRIM($A26)="","△ No item",IF(SUMPRODUCT(--('Work breakdown'!$A$6:$A$65=$A26))=0,"△ Not on Work breakdown",IF(SUMPRODUCT(--($A$6:$A$45=$A26))&gt;1,"△ Estimated twice",IF(ISERROR(MATCH($C26,{"Bottom up","By analogy","Three-point","Fixed scope"},0)),"△ No method",IF(TRIM($D26)="","△ No basis: say where the number came from",IF(NOT(AND(ISNUMBER($E26),ISNUMBER($F26),ISNUMBER($G26))),"△ Low, Likely and High must be numbers in that order",IF(OR($E26&lt;0,$E26&gt;$F26,$F26&gt;$G26),"△ Low, Likely and High must be numbers in that order",IF(ISERROR(MATCH($J26,{"High","Medium","Low"},0)),"△ No confidence","○ Clear")))))))))</f>
        <v/>
      </c>
      <c r="M26" s="24">
        <f>IF(OR(TRIM($A26)&lt;&gt;"",COUNTA($C26:$J26)&gt;0),1,0)</f>
        <v/>
      </c>
      <c r="N26" s="24">
        <f>IF(AND($M26=1,$L26&lt;&gt;"○ Clear"),1,0)</f>
        <v/>
      </c>
      <c r="O26" s="24">
        <f>IF(OR($M26=0,Baseline!$C$13=""),0,IF(NOT(ISNUMBER($H26)),$R26,IF(AND(ISNUMBER($I26),$I26&lt;&gt;$H26),IF(SUMPRODUCT(--(Changes!$I$6:$I$55="Raised"),--(((Changes!$E$6:$E$55=$A26)+(LEFT($A26,LEN(Changes!$E$6:$E$55)+1)=Changes!$E$6:$E$55&amp;"."))&gt;0))=0,1,0),0)))</f>
        <v/>
      </c>
      <c r="P26" s="36">
        <f>IF($M26=0,0,IF(ISNUMBER($I26),$I26,IF(ISNUMBER($H26),$H26,N($F26))))</f>
        <v/>
      </c>
      <c r="Q26" s="36">
        <f>IF($M26=0,0,N($H26))</f>
        <v/>
      </c>
      <c r="R26" s="24">
        <f>IF(OR($M26=0,Baseline!$C$13=""),0,IF(AND(NOT(ISNUMBER($H26)),ISNUMBER($F26),SUMPRODUCT(--(Changes!$I$6:$I$55="Raised"),--(((Changes!$E$6:$E$55=$A26)+(LEFT($A26,LEN(Changes!$E$6:$E$55)+1)=Changes!$E$6:$E$55&amp;"."))&gt;0))+SUMPRODUCT(--(Changes!$I$6:$I$55="Approved"),--(((Changes!$E$6:$E$55=$A26)+(LEFT($A26,LEN(Changes!$E$6:$E$55)+1)=Changes!$E$6:$E$55&amp;"."))&gt;0))=0),1,0))</f>
        <v/>
      </c>
    </row>
    <row r="27">
      <c r="A27" s="25" t="n"/>
      <c r="B27" s="28">
        <f>IF($A27="","",IFERROR(INDEX('Work breakdown'!$B$6:$B$65,MATCH($A27,'Work breakdown'!$A$6:$A$65,0))&amp;"",""))</f>
        <v/>
      </c>
      <c r="C27" s="35" t="n"/>
      <c r="D27" s="23" t="n"/>
      <c r="E27" s="26" t="n"/>
      <c r="F27" s="26" t="n"/>
      <c r="G27" s="26" t="n"/>
      <c r="H27" s="26" t="n"/>
      <c r="I27" s="26" t="n"/>
      <c r="J27" s="35" t="n"/>
      <c r="K27" s="28">
        <f>IF($M27=0,"",IF($L27&lt;&gt;"○ Clear",$L27,IF($R27=1,"△ Added after the baseline with no change",IF($O27=1,"△ Forecast differs from Baselined with no change","○ Clear"))))</f>
        <v/>
      </c>
      <c r="L27" s="30">
        <f>IF($M27=0,"",IF(TRIM($A27)="","△ No item",IF(SUMPRODUCT(--('Work breakdown'!$A$6:$A$65=$A27))=0,"△ Not on Work breakdown",IF(SUMPRODUCT(--($A$6:$A$45=$A27))&gt;1,"△ Estimated twice",IF(ISERROR(MATCH($C27,{"Bottom up","By analogy","Three-point","Fixed scope"},0)),"△ No method",IF(TRIM($D27)="","△ No basis: say where the number came from",IF(NOT(AND(ISNUMBER($E27),ISNUMBER($F27),ISNUMBER($G27))),"△ Low, Likely and High must be numbers in that order",IF(OR($E27&lt;0,$E27&gt;$F27,$F27&gt;$G27),"△ Low, Likely and High must be numbers in that order",IF(ISERROR(MATCH($J27,{"High","Medium","Low"},0)),"△ No confidence","○ Clear")))))))))</f>
        <v/>
      </c>
      <c r="M27" s="24">
        <f>IF(OR(TRIM($A27)&lt;&gt;"",COUNTA($C27:$J27)&gt;0),1,0)</f>
        <v/>
      </c>
      <c r="N27" s="24">
        <f>IF(AND($M27=1,$L27&lt;&gt;"○ Clear"),1,0)</f>
        <v/>
      </c>
      <c r="O27" s="24">
        <f>IF(OR($M27=0,Baseline!$C$13=""),0,IF(NOT(ISNUMBER($H27)),$R27,IF(AND(ISNUMBER($I27),$I27&lt;&gt;$H27),IF(SUMPRODUCT(--(Changes!$I$6:$I$55="Raised"),--(((Changes!$E$6:$E$55=$A27)+(LEFT($A27,LEN(Changes!$E$6:$E$55)+1)=Changes!$E$6:$E$55&amp;"."))&gt;0))=0,1,0),0)))</f>
        <v/>
      </c>
      <c r="P27" s="36">
        <f>IF($M27=0,0,IF(ISNUMBER($I27),$I27,IF(ISNUMBER($H27),$H27,N($F27))))</f>
        <v/>
      </c>
      <c r="Q27" s="36">
        <f>IF($M27=0,0,N($H27))</f>
        <v/>
      </c>
      <c r="R27" s="24">
        <f>IF(OR($M27=0,Baseline!$C$13=""),0,IF(AND(NOT(ISNUMBER($H27)),ISNUMBER($F27),SUMPRODUCT(--(Changes!$I$6:$I$55="Raised"),--(((Changes!$E$6:$E$55=$A27)+(LEFT($A27,LEN(Changes!$E$6:$E$55)+1)=Changes!$E$6:$E$55&amp;"."))&gt;0))+SUMPRODUCT(--(Changes!$I$6:$I$55="Approved"),--(((Changes!$E$6:$E$55=$A27)+(LEFT($A27,LEN(Changes!$E$6:$E$55)+1)=Changes!$E$6:$E$55&amp;"."))&gt;0))=0),1,0))</f>
        <v/>
      </c>
    </row>
    <row r="28">
      <c r="A28" s="25" t="n"/>
      <c r="B28" s="28">
        <f>IF($A28="","",IFERROR(INDEX('Work breakdown'!$B$6:$B$65,MATCH($A28,'Work breakdown'!$A$6:$A$65,0))&amp;"",""))</f>
        <v/>
      </c>
      <c r="C28" s="35" t="n"/>
      <c r="D28" s="23" t="n"/>
      <c r="E28" s="26" t="n"/>
      <c r="F28" s="26" t="n"/>
      <c r="G28" s="26" t="n"/>
      <c r="H28" s="26" t="n"/>
      <c r="I28" s="26" t="n"/>
      <c r="J28" s="35" t="n"/>
      <c r="K28" s="28">
        <f>IF($M28=0,"",IF($L28&lt;&gt;"○ Clear",$L28,IF($R28=1,"△ Added after the baseline with no change",IF($O28=1,"△ Forecast differs from Baselined with no change","○ Clear"))))</f>
        <v/>
      </c>
      <c r="L28" s="30">
        <f>IF($M28=0,"",IF(TRIM($A28)="","△ No item",IF(SUMPRODUCT(--('Work breakdown'!$A$6:$A$65=$A28))=0,"△ Not on Work breakdown",IF(SUMPRODUCT(--($A$6:$A$45=$A28))&gt;1,"△ Estimated twice",IF(ISERROR(MATCH($C28,{"Bottom up","By analogy","Three-point","Fixed scope"},0)),"△ No method",IF(TRIM($D28)="","△ No basis: say where the number came from",IF(NOT(AND(ISNUMBER($E28),ISNUMBER($F28),ISNUMBER($G28))),"△ Low, Likely and High must be numbers in that order",IF(OR($E28&lt;0,$E28&gt;$F28,$F28&gt;$G28),"△ Low, Likely and High must be numbers in that order",IF(ISERROR(MATCH($J28,{"High","Medium","Low"},0)),"△ No confidence","○ Clear")))))))))</f>
        <v/>
      </c>
      <c r="M28" s="24">
        <f>IF(OR(TRIM($A28)&lt;&gt;"",COUNTA($C28:$J28)&gt;0),1,0)</f>
        <v/>
      </c>
      <c r="N28" s="24">
        <f>IF(AND($M28=1,$L28&lt;&gt;"○ Clear"),1,0)</f>
        <v/>
      </c>
      <c r="O28" s="24">
        <f>IF(OR($M28=0,Baseline!$C$13=""),0,IF(NOT(ISNUMBER($H28)),$R28,IF(AND(ISNUMBER($I28),$I28&lt;&gt;$H28),IF(SUMPRODUCT(--(Changes!$I$6:$I$55="Raised"),--(((Changes!$E$6:$E$55=$A28)+(LEFT($A28,LEN(Changes!$E$6:$E$55)+1)=Changes!$E$6:$E$55&amp;"."))&gt;0))=0,1,0),0)))</f>
        <v/>
      </c>
      <c r="P28" s="36">
        <f>IF($M28=0,0,IF(ISNUMBER($I28),$I28,IF(ISNUMBER($H28),$H28,N($F28))))</f>
        <v/>
      </c>
      <c r="Q28" s="36">
        <f>IF($M28=0,0,N($H28))</f>
        <v/>
      </c>
      <c r="R28" s="24">
        <f>IF(OR($M28=0,Baseline!$C$13=""),0,IF(AND(NOT(ISNUMBER($H28)),ISNUMBER($F28),SUMPRODUCT(--(Changes!$I$6:$I$55="Raised"),--(((Changes!$E$6:$E$55=$A28)+(LEFT($A28,LEN(Changes!$E$6:$E$55)+1)=Changes!$E$6:$E$55&amp;"."))&gt;0))+SUMPRODUCT(--(Changes!$I$6:$I$55="Approved"),--(((Changes!$E$6:$E$55=$A28)+(LEFT($A28,LEN(Changes!$E$6:$E$55)+1)=Changes!$E$6:$E$55&amp;"."))&gt;0))=0),1,0))</f>
        <v/>
      </c>
    </row>
    <row r="29">
      <c r="A29" s="25" t="n"/>
      <c r="B29" s="28">
        <f>IF($A29="","",IFERROR(INDEX('Work breakdown'!$B$6:$B$65,MATCH($A29,'Work breakdown'!$A$6:$A$65,0))&amp;"",""))</f>
        <v/>
      </c>
      <c r="C29" s="35" t="n"/>
      <c r="D29" s="23" t="n"/>
      <c r="E29" s="26" t="n"/>
      <c r="F29" s="26" t="n"/>
      <c r="G29" s="26" t="n"/>
      <c r="H29" s="26" t="n"/>
      <c r="I29" s="26" t="n"/>
      <c r="J29" s="35" t="n"/>
      <c r="K29" s="28">
        <f>IF($M29=0,"",IF($L29&lt;&gt;"○ Clear",$L29,IF($R29=1,"△ Added after the baseline with no change",IF($O29=1,"△ Forecast differs from Baselined with no change","○ Clear"))))</f>
        <v/>
      </c>
      <c r="L29" s="30">
        <f>IF($M29=0,"",IF(TRIM($A29)="","△ No item",IF(SUMPRODUCT(--('Work breakdown'!$A$6:$A$65=$A29))=0,"△ Not on Work breakdown",IF(SUMPRODUCT(--($A$6:$A$45=$A29))&gt;1,"△ Estimated twice",IF(ISERROR(MATCH($C29,{"Bottom up","By analogy","Three-point","Fixed scope"},0)),"△ No method",IF(TRIM($D29)="","△ No basis: say where the number came from",IF(NOT(AND(ISNUMBER($E29),ISNUMBER($F29),ISNUMBER($G29))),"△ Low, Likely and High must be numbers in that order",IF(OR($E29&lt;0,$E29&gt;$F29,$F29&gt;$G29),"△ Low, Likely and High must be numbers in that order",IF(ISERROR(MATCH($J29,{"High","Medium","Low"},0)),"△ No confidence","○ Clear")))))))))</f>
        <v/>
      </c>
      <c r="M29" s="24">
        <f>IF(OR(TRIM($A29)&lt;&gt;"",COUNTA($C29:$J29)&gt;0),1,0)</f>
        <v/>
      </c>
      <c r="N29" s="24">
        <f>IF(AND($M29=1,$L29&lt;&gt;"○ Clear"),1,0)</f>
        <v/>
      </c>
      <c r="O29" s="24">
        <f>IF(OR($M29=0,Baseline!$C$13=""),0,IF(NOT(ISNUMBER($H29)),$R29,IF(AND(ISNUMBER($I29),$I29&lt;&gt;$H29),IF(SUMPRODUCT(--(Changes!$I$6:$I$55="Raised"),--(((Changes!$E$6:$E$55=$A29)+(LEFT($A29,LEN(Changes!$E$6:$E$55)+1)=Changes!$E$6:$E$55&amp;"."))&gt;0))=0,1,0),0)))</f>
        <v/>
      </c>
      <c r="P29" s="36">
        <f>IF($M29=0,0,IF(ISNUMBER($I29),$I29,IF(ISNUMBER($H29),$H29,N($F29))))</f>
        <v/>
      </c>
      <c r="Q29" s="36">
        <f>IF($M29=0,0,N($H29))</f>
        <v/>
      </c>
      <c r="R29" s="24">
        <f>IF(OR($M29=0,Baseline!$C$13=""),0,IF(AND(NOT(ISNUMBER($H29)),ISNUMBER($F29),SUMPRODUCT(--(Changes!$I$6:$I$55="Raised"),--(((Changes!$E$6:$E$55=$A29)+(LEFT($A29,LEN(Changes!$E$6:$E$55)+1)=Changes!$E$6:$E$55&amp;"."))&gt;0))+SUMPRODUCT(--(Changes!$I$6:$I$55="Approved"),--(((Changes!$E$6:$E$55=$A29)+(LEFT($A29,LEN(Changes!$E$6:$E$55)+1)=Changes!$E$6:$E$55&amp;"."))&gt;0))=0),1,0))</f>
        <v/>
      </c>
    </row>
    <row r="30">
      <c r="A30" s="25" t="n"/>
      <c r="B30" s="28">
        <f>IF($A30="","",IFERROR(INDEX('Work breakdown'!$B$6:$B$65,MATCH($A30,'Work breakdown'!$A$6:$A$65,0))&amp;"",""))</f>
        <v/>
      </c>
      <c r="C30" s="35" t="n"/>
      <c r="D30" s="23" t="n"/>
      <c r="E30" s="26" t="n"/>
      <c r="F30" s="26" t="n"/>
      <c r="G30" s="26" t="n"/>
      <c r="H30" s="26" t="n"/>
      <c r="I30" s="26" t="n"/>
      <c r="J30" s="35" t="n"/>
      <c r="K30" s="28">
        <f>IF($M30=0,"",IF($L30&lt;&gt;"○ Clear",$L30,IF($R30=1,"△ Added after the baseline with no change",IF($O30=1,"△ Forecast differs from Baselined with no change","○ Clear"))))</f>
        <v/>
      </c>
      <c r="L30" s="30">
        <f>IF($M30=0,"",IF(TRIM($A30)="","△ No item",IF(SUMPRODUCT(--('Work breakdown'!$A$6:$A$65=$A30))=0,"△ Not on Work breakdown",IF(SUMPRODUCT(--($A$6:$A$45=$A30))&gt;1,"△ Estimated twice",IF(ISERROR(MATCH($C30,{"Bottom up","By analogy","Three-point","Fixed scope"},0)),"△ No method",IF(TRIM($D30)="","△ No basis: say where the number came from",IF(NOT(AND(ISNUMBER($E30),ISNUMBER($F30),ISNUMBER($G30))),"△ Low, Likely and High must be numbers in that order",IF(OR($E30&lt;0,$E30&gt;$F30,$F30&gt;$G30),"△ Low, Likely and High must be numbers in that order",IF(ISERROR(MATCH($J30,{"High","Medium","Low"},0)),"△ No confidence","○ Clear")))))))))</f>
        <v/>
      </c>
      <c r="M30" s="24">
        <f>IF(OR(TRIM($A30)&lt;&gt;"",COUNTA($C30:$J30)&gt;0),1,0)</f>
        <v/>
      </c>
      <c r="N30" s="24">
        <f>IF(AND($M30=1,$L30&lt;&gt;"○ Clear"),1,0)</f>
        <v/>
      </c>
      <c r="O30" s="24">
        <f>IF(OR($M30=0,Baseline!$C$13=""),0,IF(NOT(ISNUMBER($H30)),$R30,IF(AND(ISNUMBER($I30),$I30&lt;&gt;$H30),IF(SUMPRODUCT(--(Changes!$I$6:$I$55="Raised"),--(((Changes!$E$6:$E$55=$A30)+(LEFT($A30,LEN(Changes!$E$6:$E$55)+1)=Changes!$E$6:$E$55&amp;"."))&gt;0))=0,1,0),0)))</f>
        <v/>
      </c>
      <c r="P30" s="36">
        <f>IF($M30=0,0,IF(ISNUMBER($I30),$I30,IF(ISNUMBER($H30),$H30,N($F30))))</f>
        <v/>
      </c>
      <c r="Q30" s="36">
        <f>IF($M30=0,0,N($H30))</f>
        <v/>
      </c>
      <c r="R30" s="24">
        <f>IF(OR($M30=0,Baseline!$C$13=""),0,IF(AND(NOT(ISNUMBER($H30)),ISNUMBER($F30),SUMPRODUCT(--(Changes!$I$6:$I$55="Raised"),--(((Changes!$E$6:$E$55=$A30)+(LEFT($A30,LEN(Changes!$E$6:$E$55)+1)=Changes!$E$6:$E$55&amp;"."))&gt;0))+SUMPRODUCT(--(Changes!$I$6:$I$55="Approved"),--(((Changes!$E$6:$E$55=$A30)+(LEFT($A30,LEN(Changes!$E$6:$E$55)+1)=Changes!$E$6:$E$55&amp;"."))&gt;0))=0),1,0))</f>
        <v/>
      </c>
    </row>
    <row r="31">
      <c r="A31" s="25" t="n"/>
      <c r="B31" s="28">
        <f>IF($A31="","",IFERROR(INDEX('Work breakdown'!$B$6:$B$65,MATCH($A31,'Work breakdown'!$A$6:$A$65,0))&amp;"",""))</f>
        <v/>
      </c>
      <c r="C31" s="35" t="n"/>
      <c r="D31" s="23" t="n"/>
      <c r="E31" s="26" t="n"/>
      <c r="F31" s="26" t="n"/>
      <c r="G31" s="26" t="n"/>
      <c r="H31" s="26" t="n"/>
      <c r="I31" s="26" t="n"/>
      <c r="J31" s="35" t="n"/>
      <c r="K31" s="28">
        <f>IF($M31=0,"",IF($L31&lt;&gt;"○ Clear",$L31,IF($R31=1,"△ Added after the baseline with no change",IF($O31=1,"△ Forecast differs from Baselined with no change","○ Clear"))))</f>
        <v/>
      </c>
      <c r="L31" s="30">
        <f>IF($M31=0,"",IF(TRIM($A31)="","△ No item",IF(SUMPRODUCT(--('Work breakdown'!$A$6:$A$65=$A31))=0,"△ Not on Work breakdown",IF(SUMPRODUCT(--($A$6:$A$45=$A31))&gt;1,"△ Estimated twice",IF(ISERROR(MATCH($C31,{"Bottom up","By analogy","Three-point","Fixed scope"},0)),"△ No method",IF(TRIM($D31)="","△ No basis: say where the number came from",IF(NOT(AND(ISNUMBER($E31),ISNUMBER($F31),ISNUMBER($G31))),"△ Low, Likely and High must be numbers in that order",IF(OR($E31&lt;0,$E31&gt;$F31,$F31&gt;$G31),"△ Low, Likely and High must be numbers in that order",IF(ISERROR(MATCH($J31,{"High","Medium","Low"},0)),"△ No confidence","○ Clear")))))))))</f>
        <v/>
      </c>
      <c r="M31" s="24">
        <f>IF(OR(TRIM($A31)&lt;&gt;"",COUNTA($C31:$J31)&gt;0),1,0)</f>
        <v/>
      </c>
      <c r="N31" s="24">
        <f>IF(AND($M31=1,$L31&lt;&gt;"○ Clear"),1,0)</f>
        <v/>
      </c>
      <c r="O31" s="24">
        <f>IF(OR($M31=0,Baseline!$C$13=""),0,IF(NOT(ISNUMBER($H31)),$R31,IF(AND(ISNUMBER($I31),$I31&lt;&gt;$H31),IF(SUMPRODUCT(--(Changes!$I$6:$I$55="Raised"),--(((Changes!$E$6:$E$55=$A31)+(LEFT($A31,LEN(Changes!$E$6:$E$55)+1)=Changes!$E$6:$E$55&amp;"."))&gt;0))=0,1,0),0)))</f>
        <v/>
      </c>
      <c r="P31" s="36">
        <f>IF($M31=0,0,IF(ISNUMBER($I31),$I31,IF(ISNUMBER($H31),$H31,N($F31))))</f>
        <v/>
      </c>
      <c r="Q31" s="36">
        <f>IF($M31=0,0,N($H31))</f>
        <v/>
      </c>
      <c r="R31" s="24">
        <f>IF(OR($M31=0,Baseline!$C$13=""),0,IF(AND(NOT(ISNUMBER($H31)),ISNUMBER($F31),SUMPRODUCT(--(Changes!$I$6:$I$55="Raised"),--(((Changes!$E$6:$E$55=$A31)+(LEFT($A31,LEN(Changes!$E$6:$E$55)+1)=Changes!$E$6:$E$55&amp;"."))&gt;0))+SUMPRODUCT(--(Changes!$I$6:$I$55="Approved"),--(((Changes!$E$6:$E$55=$A31)+(LEFT($A31,LEN(Changes!$E$6:$E$55)+1)=Changes!$E$6:$E$55&amp;"."))&gt;0))=0),1,0))</f>
        <v/>
      </c>
    </row>
    <row r="32">
      <c r="A32" s="25" t="n"/>
      <c r="B32" s="28">
        <f>IF($A32="","",IFERROR(INDEX('Work breakdown'!$B$6:$B$65,MATCH($A32,'Work breakdown'!$A$6:$A$65,0))&amp;"",""))</f>
        <v/>
      </c>
      <c r="C32" s="35" t="n"/>
      <c r="D32" s="23" t="n"/>
      <c r="E32" s="26" t="n"/>
      <c r="F32" s="26" t="n"/>
      <c r="G32" s="26" t="n"/>
      <c r="H32" s="26" t="n"/>
      <c r="I32" s="26" t="n"/>
      <c r="J32" s="35" t="n"/>
      <c r="K32" s="28">
        <f>IF($M32=0,"",IF($L32&lt;&gt;"○ Clear",$L32,IF($R32=1,"△ Added after the baseline with no change",IF($O32=1,"△ Forecast differs from Baselined with no change","○ Clear"))))</f>
        <v/>
      </c>
      <c r="L32" s="30">
        <f>IF($M32=0,"",IF(TRIM($A32)="","△ No item",IF(SUMPRODUCT(--('Work breakdown'!$A$6:$A$65=$A32))=0,"△ Not on Work breakdown",IF(SUMPRODUCT(--($A$6:$A$45=$A32))&gt;1,"△ Estimated twice",IF(ISERROR(MATCH($C32,{"Bottom up","By analogy","Three-point","Fixed scope"},0)),"△ No method",IF(TRIM($D32)="","△ No basis: say where the number came from",IF(NOT(AND(ISNUMBER($E32),ISNUMBER($F32),ISNUMBER($G32))),"△ Low, Likely and High must be numbers in that order",IF(OR($E32&lt;0,$E32&gt;$F32,$F32&gt;$G32),"△ Low, Likely and High must be numbers in that order",IF(ISERROR(MATCH($J32,{"High","Medium","Low"},0)),"△ No confidence","○ Clear")))))))))</f>
        <v/>
      </c>
      <c r="M32" s="24">
        <f>IF(OR(TRIM($A32)&lt;&gt;"",COUNTA($C32:$J32)&gt;0),1,0)</f>
        <v/>
      </c>
      <c r="N32" s="24">
        <f>IF(AND($M32=1,$L32&lt;&gt;"○ Clear"),1,0)</f>
        <v/>
      </c>
      <c r="O32" s="24">
        <f>IF(OR($M32=0,Baseline!$C$13=""),0,IF(NOT(ISNUMBER($H32)),$R32,IF(AND(ISNUMBER($I32),$I32&lt;&gt;$H32),IF(SUMPRODUCT(--(Changes!$I$6:$I$55="Raised"),--(((Changes!$E$6:$E$55=$A32)+(LEFT($A32,LEN(Changes!$E$6:$E$55)+1)=Changes!$E$6:$E$55&amp;"."))&gt;0))=0,1,0),0)))</f>
        <v/>
      </c>
      <c r="P32" s="36">
        <f>IF($M32=0,0,IF(ISNUMBER($I32),$I32,IF(ISNUMBER($H32),$H32,N($F32))))</f>
        <v/>
      </c>
      <c r="Q32" s="36">
        <f>IF($M32=0,0,N($H32))</f>
        <v/>
      </c>
      <c r="R32" s="24">
        <f>IF(OR($M32=0,Baseline!$C$13=""),0,IF(AND(NOT(ISNUMBER($H32)),ISNUMBER($F32),SUMPRODUCT(--(Changes!$I$6:$I$55="Raised"),--(((Changes!$E$6:$E$55=$A32)+(LEFT($A32,LEN(Changes!$E$6:$E$55)+1)=Changes!$E$6:$E$55&amp;"."))&gt;0))+SUMPRODUCT(--(Changes!$I$6:$I$55="Approved"),--(((Changes!$E$6:$E$55=$A32)+(LEFT($A32,LEN(Changes!$E$6:$E$55)+1)=Changes!$E$6:$E$55&amp;"."))&gt;0))=0),1,0))</f>
        <v/>
      </c>
    </row>
    <row r="33">
      <c r="A33" s="25" t="n"/>
      <c r="B33" s="28">
        <f>IF($A33="","",IFERROR(INDEX('Work breakdown'!$B$6:$B$65,MATCH($A33,'Work breakdown'!$A$6:$A$65,0))&amp;"",""))</f>
        <v/>
      </c>
      <c r="C33" s="35" t="n"/>
      <c r="D33" s="23" t="n"/>
      <c r="E33" s="26" t="n"/>
      <c r="F33" s="26" t="n"/>
      <c r="G33" s="26" t="n"/>
      <c r="H33" s="26" t="n"/>
      <c r="I33" s="26" t="n"/>
      <c r="J33" s="35" t="n"/>
      <c r="K33" s="28">
        <f>IF($M33=0,"",IF($L33&lt;&gt;"○ Clear",$L33,IF($R33=1,"△ Added after the baseline with no change",IF($O33=1,"△ Forecast differs from Baselined with no change","○ Clear"))))</f>
        <v/>
      </c>
      <c r="L33" s="30">
        <f>IF($M33=0,"",IF(TRIM($A33)="","△ No item",IF(SUMPRODUCT(--('Work breakdown'!$A$6:$A$65=$A33))=0,"△ Not on Work breakdown",IF(SUMPRODUCT(--($A$6:$A$45=$A33))&gt;1,"△ Estimated twice",IF(ISERROR(MATCH($C33,{"Bottom up","By analogy","Three-point","Fixed scope"},0)),"△ No method",IF(TRIM($D33)="","△ No basis: say where the number came from",IF(NOT(AND(ISNUMBER($E33),ISNUMBER($F33),ISNUMBER($G33))),"△ Low, Likely and High must be numbers in that order",IF(OR($E33&lt;0,$E33&gt;$F33,$F33&gt;$G33),"△ Low, Likely and High must be numbers in that order",IF(ISERROR(MATCH($J33,{"High","Medium","Low"},0)),"△ No confidence","○ Clear")))))))))</f>
        <v/>
      </c>
      <c r="M33" s="24">
        <f>IF(OR(TRIM($A33)&lt;&gt;"",COUNTA($C33:$J33)&gt;0),1,0)</f>
        <v/>
      </c>
      <c r="N33" s="24">
        <f>IF(AND($M33=1,$L33&lt;&gt;"○ Clear"),1,0)</f>
        <v/>
      </c>
      <c r="O33" s="24">
        <f>IF(OR($M33=0,Baseline!$C$13=""),0,IF(NOT(ISNUMBER($H33)),$R33,IF(AND(ISNUMBER($I33),$I33&lt;&gt;$H33),IF(SUMPRODUCT(--(Changes!$I$6:$I$55="Raised"),--(((Changes!$E$6:$E$55=$A33)+(LEFT($A33,LEN(Changes!$E$6:$E$55)+1)=Changes!$E$6:$E$55&amp;"."))&gt;0))=0,1,0),0)))</f>
        <v/>
      </c>
      <c r="P33" s="36">
        <f>IF($M33=0,0,IF(ISNUMBER($I33),$I33,IF(ISNUMBER($H33),$H33,N($F33))))</f>
        <v/>
      </c>
      <c r="Q33" s="36">
        <f>IF($M33=0,0,N($H33))</f>
        <v/>
      </c>
      <c r="R33" s="24">
        <f>IF(OR($M33=0,Baseline!$C$13=""),0,IF(AND(NOT(ISNUMBER($H33)),ISNUMBER($F33),SUMPRODUCT(--(Changes!$I$6:$I$55="Raised"),--(((Changes!$E$6:$E$55=$A33)+(LEFT($A33,LEN(Changes!$E$6:$E$55)+1)=Changes!$E$6:$E$55&amp;"."))&gt;0))+SUMPRODUCT(--(Changes!$I$6:$I$55="Approved"),--(((Changes!$E$6:$E$55=$A33)+(LEFT($A33,LEN(Changes!$E$6:$E$55)+1)=Changes!$E$6:$E$55&amp;"."))&gt;0))=0),1,0))</f>
        <v/>
      </c>
    </row>
    <row r="34">
      <c r="A34" s="25" t="n"/>
      <c r="B34" s="28">
        <f>IF($A34="","",IFERROR(INDEX('Work breakdown'!$B$6:$B$65,MATCH($A34,'Work breakdown'!$A$6:$A$65,0))&amp;"",""))</f>
        <v/>
      </c>
      <c r="C34" s="35" t="n"/>
      <c r="D34" s="23" t="n"/>
      <c r="E34" s="26" t="n"/>
      <c r="F34" s="26" t="n"/>
      <c r="G34" s="26" t="n"/>
      <c r="H34" s="26" t="n"/>
      <c r="I34" s="26" t="n"/>
      <c r="J34" s="35" t="n"/>
      <c r="K34" s="28">
        <f>IF($M34=0,"",IF($L34&lt;&gt;"○ Clear",$L34,IF($R34=1,"△ Added after the baseline with no change",IF($O34=1,"△ Forecast differs from Baselined with no change","○ Clear"))))</f>
        <v/>
      </c>
      <c r="L34" s="30">
        <f>IF($M34=0,"",IF(TRIM($A34)="","△ No item",IF(SUMPRODUCT(--('Work breakdown'!$A$6:$A$65=$A34))=0,"△ Not on Work breakdown",IF(SUMPRODUCT(--($A$6:$A$45=$A34))&gt;1,"△ Estimated twice",IF(ISERROR(MATCH($C34,{"Bottom up","By analogy","Three-point","Fixed scope"},0)),"△ No method",IF(TRIM($D34)="","△ No basis: say where the number came from",IF(NOT(AND(ISNUMBER($E34),ISNUMBER($F34),ISNUMBER($G34))),"△ Low, Likely and High must be numbers in that order",IF(OR($E34&lt;0,$E34&gt;$F34,$F34&gt;$G34),"△ Low, Likely and High must be numbers in that order",IF(ISERROR(MATCH($J34,{"High","Medium","Low"},0)),"△ No confidence","○ Clear")))))))))</f>
        <v/>
      </c>
      <c r="M34" s="24">
        <f>IF(OR(TRIM($A34)&lt;&gt;"",COUNTA($C34:$J34)&gt;0),1,0)</f>
        <v/>
      </c>
      <c r="N34" s="24">
        <f>IF(AND($M34=1,$L34&lt;&gt;"○ Clear"),1,0)</f>
        <v/>
      </c>
      <c r="O34" s="24">
        <f>IF(OR($M34=0,Baseline!$C$13=""),0,IF(NOT(ISNUMBER($H34)),$R34,IF(AND(ISNUMBER($I34),$I34&lt;&gt;$H34),IF(SUMPRODUCT(--(Changes!$I$6:$I$55="Raised"),--(((Changes!$E$6:$E$55=$A34)+(LEFT($A34,LEN(Changes!$E$6:$E$55)+1)=Changes!$E$6:$E$55&amp;"."))&gt;0))=0,1,0),0)))</f>
        <v/>
      </c>
      <c r="P34" s="36">
        <f>IF($M34=0,0,IF(ISNUMBER($I34),$I34,IF(ISNUMBER($H34),$H34,N($F34))))</f>
        <v/>
      </c>
      <c r="Q34" s="36">
        <f>IF($M34=0,0,N($H34))</f>
        <v/>
      </c>
      <c r="R34" s="24">
        <f>IF(OR($M34=0,Baseline!$C$13=""),0,IF(AND(NOT(ISNUMBER($H34)),ISNUMBER($F34),SUMPRODUCT(--(Changes!$I$6:$I$55="Raised"),--(((Changes!$E$6:$E$55=$A34)+(LEFT($A34,LEN(Changes!$E$6:$E$55)+1)=Changes!$E$6:$E$55&amp;"."))&gt;0))+SUMPRODUCT(--(Changes!$I$6:$I$55="Approved"),--(((Changes!$E$6:$E$55=$A34)+(LEFT($A34,LEN(Changes!$E$6:$E$55)+1)=Changes!$E$6:$E$55&amp;"."))&gt;0))=0),1,0))</f>
        <v/>
      </c>
    </row>
    <row r="35">
      <c r="A35" s="25" t="n"/>
      <c r="B35" s="28">
        <f>IF($A35="","",IFERROR(INDEX('Work breakdown'!$B$6:$B$65,MATCH($A35,'Work breakdown'!$A$6:$A$65,0))&amp;"",""))</f>
        <v/>
      </c>
      <c r="C35" s="35" t="n"/>
      <c r="D35" s="23" t="n"/>
      <c r="E35" s="26" t="n"/>
      <c r="F35" s="26" t="n"/>
      <c r="G35" s="26" t="n"/>
      <c r="H35" s="26" t="n"/>
      <c r="I35" s="26" t="n"/>
      <c r="J35" s="35" t="n"/>
      <c r="K35" s="28">
        <f>IF($M35=0,"",IF($L35&lt;&gt;"○ Clear",$L35,IF($R35=1,"△ Added after the baseline with no change",IF($O35=1,"△ Forecast differs from Baselined with no change","○ Clear"))))</f>
        <v/>
      </c>
      <c r="L35" s="30">
        <f>IF($M35=0,"",IF(TRIM($A35)="","△ No item",IF(SUMPRODUCT(--('Work breakdown'!$A$6:$A$65=$A35))=0,"△ Not on Work breakdown",IF(SUMPRODUCT(--($A$6:$A$45=$A35))&gt;1,"△ Estimated twice",IF(ISERROR(MATCH($C35,{"Bottom up","By analogy","Three-point","Fixed scope"},0)),"△ No method",IF(TRIM($D35)="","△ No basis: say where the number came from",IF(NOT(AND(ISNUMBER($E35),ISNUMBER($F35),ISNUMBER($G35))),"△ Low, Likely and High must be numbers in that order",IF(OR($E35&lt;0,$E35&gt;$F35,$F35&gt;$G35),"△ Low, Likely and High must be numbers in that order",IF(ISERROR(MATCH($J35,{"High","Medium","Low"},0)),"△ No confidence","○ Clear")))))))))</f>
        <v/>
      </c>
      <c r="M35" s="24">
        <f>IF(OR(TRIM($A35)&lt;&gt;"",COUNTA($C35:$J35)&gt;0),1,0)</f>
        <v/>
      </c>
      <c r="N35" s="24">
        <f>IF(AND($M35=1,$L35&lt;&gt;"○ Clear"),1,0)</f>
        <v/>
      </c>
      <c r="O35" s="24">
        <f>IF(OR($M35=0,Baseline!$C$13=""),0,IF(NOT(ISNUMBER($H35)),$R35,IF(AND(ISNUMBER($I35),$I35&lt;&gt;$H35),IF(SUMPRODUCT(--(Changes!$I$6:$I$55="Raised"),--(((Changes!$E$6:$E$55=$A35)+(LEFT($A35,LEN(Changes!$E$6:$E$55)+1)=Changes!$E$6:$E$55&amp;"."))&gt;0))=0,1,0),0)))</f>
        <v/>
      </c>
      <c r="P35" s="36">
        <f>IF($M35=0,0,IF(ISNUMBER($I35),$I35,IF(ISNUMBER($H35),$H35,N($F35))))</f>
        <v/>
      </c>
      <c r="Q35" s="36">
        <f>IF($M35=0,0,N($H35))</f>
        <v/>
      </c>
      <c r="R35" s="24">
        <f>IF(OR($M35=0,Baseline!$C$13=""),0,IF(AND(NOT(ISNUMBER($H35)),ISNUMBER($F35),SUMPRODUCT(--(Changes!$I$6:$I$55="Raised"),--(((Changes!$E$6:$E$55=$A35)+(LEFT($A35,LEN(Changes!$E$6:$E$55)+1)=Changes!$E$6:$E$55&amp;"."))&gt;0))+SUMPRODUCT(--(Changes!$I$6:$I$55="Approved"),--(((Changes!$E$6:$E$55=$A35)+(LEFT($A35,LEN(Changes!$E$6:$E$55)+1)=Changes!$E$6:$E$55&amp;"."))&gt;0))=0),1,0))</f>
        <v/>
      </c>
    </row>
    <row r="36">
      <c r="A36" s="25" t="n"/>
      <c r="B36" s="28">
        <f>IF($A36="","",IFERROR(INDEX('Work breakdown'!$B$6:$B$65,MATCH($A36,'Work breakdown'!$A$6:$A$65,0))&amp;"",""))</f>
        <v/>
      </c>
      <c r="C36" s="35" t="n"/>
      <c r="D36" s="23" t="n"/>
      <c r="E36" s="26" t="n"/>
      <c r="F36" s="26" t="n"/>
      <c r="G36" s="26" t="n"/>
      <c r="H36" s="26" t="n"/>
      <c r="I36" s="26" t="n"/>
      <c r="J36" s="35" t="n"/>
      <c r="K36" s="28">
        <f>IF($M36=0,"",IF($L36&lt;&gt;"○ Clear",$L36,IF($R36=1,"△ Added after the baseline with no change",IF($O36=1,"△ Forecast differs from Baselined with no change","○ Clear"))))</f>
        <v/>
      </c>
      <c r="L36" s="30">
        <f>IF($M36=0,"",IF(TRIM($A36)="","△ No item",IF(SUMPRODUCT(--('Work breakdown'!$A$6:$A$65=$A36))=0,"△ Not on Work breakdown",IF(SUMPRODUCT(--($A$6:$A$45=$A36))&gt;1,"△ Estimated twice",IF(ISERROR(MATCH($C36,{"Bottom up","By analogy","Three-point","Fixed scope"},0)),"△ No method",IF(TRIM($D36)="","△ No basis: say where the number came from",IF(NOT(AND(ISNUMBER($E36),ISNUMBER($F36),ISNUMBER($G36))),"△ Low, Likely and High must be numbers in that order",IF(OR($E36&lt;0,$E36&gt;$F36,$F36&gt;$G36),"△ Low, Likely and High must be numbers in that order",IF(ISERROR(MATCH($J36,{"High","Medium","Low"},0)),"△ No confidence","○ Clear")))))))))</f>
        <v/>
      </c>
      <c r="M36" s="24">
        <f>IF(OR(TRIM($A36)&lt;&gt;"",COUNTA($C36:$J36)&gt;0),1,0)</f>
        <v/>
      </c>
      <c r="N36" s="24">
        <f>IF(AND($M36=1,$L36&lt;&gt;"○ Clear"),1,0)</f>
        <v/>
      </c>
      <c r="O36" s="24">
        <f>IF(OR($M36=0,Baseline!$C$13=""),0,IF(NOT(ISNUMBER($H36)),$R36,IF(AND(ISNUMBER($I36),$I36&lt;&gt;$H36),IF(SUMPRODUCT(--(Changes!$I$6:$I$55="Raised"),--(((Changes!$E$6:$E$55=$A36)+(LEFT($A36,LEN(Changes!$E$6:$E$55)+1)=Changes!$E$6:$E$55&amp;"."))&gt;0))=0,1,0),0)))</f>
        <v/>
      </c>
      <c r="P36" s="36">
        <f>IF($M36=0,0,IF(ISNUMBER($I36),$I36,IF(ISNUMBER($H36),$H36,N($F36))))</f>
        <v/>
      </c>
      <c r="Q36" s="36">
        <f>IF($M36=0,0,N($H36))</f>
        <v/>
      </c>
      <c r="R36" s="24">
        <f>IF(OR($M36=0,Baseline!$C$13=""),0,IF(AND(NOT(ISNUMBER($H36)),ISNUMBER($F36),SUMPRODUCT(--(Changes!$I$6:$I$55="Raised"),--(((Changes!$E$6:$E$55=$A36)+(LEFT($A36,LEN(Changes!$E$6:$E$55)+1)=Changes!$E$6:$E$55&amp;"."))&gt;0))+SUMPRODUCT(--(Changes!$I$6:$I$55="Approved"),--(((Changes!$E$6:$E$55=$A36)+(LEFT($A36,LEN(Changes!$E$6:$E$55)+1)=Changes!$E$6:$E$55&amp;"."))&gt;0))=0),1,0))</f>
        <v/>
      </c>
    </row>
    <row r="37">
      <c r="A37" s="25" t="n"/>
      <c r="B37" s="28">
        <f>IF($A37="","",IFERROR(INDEX('Work breakdown'!$B$6:$B$65,MATCH($A37,'Work breakdown'!$A$6:$A$65,0))&amp;"",""))</f>
        <v/>
      </c>
      <c r="C37" s="35" t="n"/>
      <c r="D37" s="23" t="n"/>
      <c r="E37" s="26" t="n"/>
      <c r="F37" s="26" t="n"/>
      <c r="G37" s="26" t="n"/>
      <c r="H37" s="26" t="n"/>
      <c r="I37" s="26" t="n"/>
      <c r="J37" s="35" t="n"/>
      <c r="K37" s="28">
        <f>IF($M37=0,"",IF($L37&lt;&gt;"○ Clear",$L37,IF($R37=1,"△ Added after the baseline with no change",IF($O37=1,"△ Forecast differs from Baselined with no change","○ Clear"))))</f>
        <v/>
      </c>
      <c r="L37" s="30">
        <f>IF($M37=0,"",IF(TRIM($A37)="","△ No item",IF(SUMPRODUCT(--('Work breakdown'!$A$6:$A$65=$A37))=0,"△ Not on Work breakdown",IF(SUMPRODUCT(--($A$6:$A$45=$A37))&gt;1,"△ Estimated twice",IF(ISERROR(MATCH($C37,{"Bottom up","By analogy","Three-point","Fixed scope"},0)),"△ No method",IF(TRIM($D37)="","△ No basis: say where the number came from",IF(NOT(AND(ISNUMBER($E37),ISNUMBER($F37),ISNUMBER($G37))),"△ Low, Likely and High must be numbers in that order",IF(OR($E37&lt;0,$E37&gt;$F37,$F37&gt;$G37),"△ Low, Likely and High must be numbers in that order",IF(ISERROR(MATCH($J37,{"High","Medium","Low"},0)),"△ No confidence","○ Clear")))))))))</f>
        <v/>
      </c>
      <c r="M37" s="24">
        <f>IF(OR(TRIM($A37)&lt;&gt;"",COUNTA($C37:$J37)&gt;0),1,0)</f>
        <v/>
      </c>
      <c r="N37" s="24">
        <f>IF(AND($M37=1,$L37&lt;&gt;"○ Clear"),1,0)</f>
        <v/>
      </c>
      <c r="O37" s="24">
        <f>IF(OR($M37=0,Baseline!$C$13=""),0,IF(NOT(ISNUMBER($H37)),$R37,IF(AND(ISNUMBER($I37),$I37&lt;&gt;$H37),IF(SUMPRODUCT(--(Changes!$I$6:$I$55="Raised"),--(((Changes!$E$6:$E$55=$A37)+(LEFT($A37,LEN(Changes!$E$6:$E$55)+1)=Changes!$E$6:$E$55&amp;"."))&gt;0))=0,1,0),0)))</f>
        <v/>
      </c>
      <c r="P37" s="36">
        <f>IF($M37=0,0,IF(ISNUMBER($I37),$I37,IF(ISNUMBER($H37),$H37,N($F37))))</f>
        <v/>
      </c>
      <c r="Q37" s="36">
        <f>IF($M37=0,0,N($H37))</f>
        <v/>
      </c>
      <c r="R37" s="24">
        <f>IF(OR($M37=0,Baseline!$C$13=""),0,IF(AND(NOT(ISNUMBER($H37)),ISNUMBER($F37),SUMPRODUCT(--(Changes!$I$6:$I$55="Raised"),--(((Changes!$E$6:$E$55=$A37)+(LEFT($A37,LEN(Changes!$E$6:$E$55)+1)=Changes!$E$6:$E$55&amp;"."))&gt;0))+SUMPRODUCT(--(Changes!$I$6:$I$55="Approved"),--(((Changes!$E$6:$E$55=$A37)+(LEFT($A37,LEN(Changes!$E$6:$E$55)+1)=Changes!$E$6:$E$55&amp;"."))&gt;0))=0),1,0))</f>
        <v/>
      </c>
    </row>
    <row r="38">
      <c r="A38" s="25" t="n"/>
      <c r="B38" s="28">
        <f>IF($A38="","",IFERROR(INDEX('Work breakdown'!$B$6:$B$65,MATCH($A38,'Work breakdown'!$A$6:$A$65,0))&amp;"",""))</f>
        <v/>
      </c>
      <c r="C38" s="35" t="n"/>
      <c r="D38" s="23" t="n"/>
      <c r="E38" s="26" t="n"/>
      <c r="F38" s="26" t="n"/>
      <c r="G38" s="26" t="n"/>
      <c r="H38" s="26" t="n"/>
      <c r="I38" s="26" t="n"/>
      <c r="J38" s="35" t="n"/>
      <c r="K38" s="28">
        <f>IF($M38=0,"",IF($L38&lt;&gt;"○ Clear",$L38,IF($R38=1,"△ Added after the baseline with no change",IF($O38=1,"△ Forecast differs from Baselined with no change","○ Clear"))))</f>
        <v/>
      </c>
      <c r="L38" s="30">
        <f>IF($M38=0,"",IF(TRIM($A38)="","△ No item",IF(SUMPRODUCT(--('Work breakdown'!$A$6:$A$65=$A38))=0,"△ Not on Work breakdown",IF(SUMPRODUCT(--($A$6:$A$45=$A38))&gt;1,"△ Estimated twice",IF(ISERROR(MATCH($C38,{"Bottom up","By analogy","Three-point","Fixed scope"},0)),"△ No method",IF(TRIM($D38)="","△ No basis: say where the number came from",IF(NOT(AND(ISNUMBER($E38),ISNUMBER($F38),ISNUMBER($G38))),"△ Low, Likely and High must be numbers in that order",IF(OR($E38&lt;0,$E38&gt;$F38,$F38&gt;$G38),"△ Low, Likely and High must be numbers in that order",IF(ISERROR(MATCH($J38,{"High","Medium","Low"},0)),"△ No confidence","○ Clear")))))))))</f>
        <v/>
      </c>
      <c r="M38" s="24">
        <f>IF(OR(TRIM($A38)&lt;&gt;"",COUNTA($C38:$J38)&gt;0),1,0)</f>
        <v/>
      </c>
      <c r="N38" s="24">
        <f>IF(AND($M38=1,$L38&lt;&gt;"○ Clear"),1,0)</f>
        <v/>
      </c>
      <c r="O38" s="24">
        <f>IF(OR($M38=0,Baseline!$C$13=""),0,IF(NOT(ISNUMBER($H38)),$R38,IF(AND(ISNUMBER($I38),$I38&lt;&gt;$H38),IF(SUMPRODUCT(--(Changes!$I$6:$I$55="Raised"),--(((Changes!$E$6:$E$55=$A38)+(LEFT($A38,LEN(Changes!$E$6:$E$55)+1)=Changes!$E$6:$E$55&amp;"."))&gt;0))=0,1,0),0)))</f>
        <v/>
      </c>
      <c r="P38" s="36">
        <f>IF($M38=0,0,IF(ISNUMBER($I38),$I38,IF(ISNUMBER($H38),$H38,N($F38))))</f>
        <v/>
      </c>
      <c r="Q38" s="36">
        <f>IF($M38=0,0,N($H38))</f>
        <v/>
      </c>
      <c r="R38" s="24">
        <f>IF(OR($M38=0,Baseline!$C$13=""),0,IF(AND(NOT(ISNUMBER($H38)),ISNUMBER($F38),SUMPRODUCT(--(Changes!$I$6:$I$55="Raised"),--(((Changes!$E$6:$E$55=$A38)+(LEFT($A38,LEN(Changes!$E$6:$E$55)+1)=Changes!$E$6:$E$55&amp;"."))&gt;0))+SUMPRODUCT(--(Changes!$I$6:$I$55="Approved"),--(((Changes!$E$6:$E$55=$A38)+(LEFT($A38,LEN(Changes!$E$6:$E$55)+1)=Changes!$E$6:$E$55&amp;"."))&gt;0))=0),1,0))</f>
        <v/>
      </c>
    </row>
    <row r="39">
      <c r="A39" s="25" t="n"/>
      <c r="B39" s="28">
        <f>IF($A39="","",IFERROR(INDEX('Work breakdown'!$B$6:$B$65,MATCH($A39,'Work breakdown'!$A$6:$A$65,0))&amp;"",""))</f>
        <v/>
      </c>
      <c r="C39" s="35" t="n"/>
      <c r="D39" s="23" t="n"/>
      <c r="E39" s="26" t="n"/>
      <c r="F39" s="26" t="n"/>
      <c r="G39" s="26" t="n"/>
      <c r="H39" s="26" t="n"/>
      <c r="I39" s="26" t="n"/>
      <c r="J39" s="35" t="n"/>
      <c r="K39" s="28">
        <f>IF($M39=0,"",IF($L39&lt;&gt;"○ Clear",$L39,IF($R39=1,"△ Added after the baseline with no change",IF($O39=1,"△ Forecast differs from Baselined with no change","○ Clear"))))</f>
        <v/>
      </c>
      <c r="L39" s="30">
        <f>IF($M39=0,"",IF(TRIM($A39)="","△ No item",IF(SUMPRODUCT(--('Work breakdown'!$A$6:$A$65=$A39))=0,"△ Not on Work breakdown",IF(SUMPRODUCT(--($A$6:$A$45=$A39))&gt;1,"△ Estimated twice",IF(ISERROR(MATCH($C39,{"Bottom up","By analogy","Three-point","Fixed scope"},0)),"△ No method",IF(TRIM($D39)="","△ No basis: say where the number came from",IF(NOT(AND(ISNUMBER($E39),ISNUMBER($F39),ISNUMBER($G39))),"△ Low, Likely and High must be numbers in that order",IF(OR($E39&lt;0,$E39&gt;$F39,$F39&gt;$G39),"△ Low, Likely and High must be numbers in that order",IF(ISERROR(MATCH($J39,{"High","Medium","Low"},0)),"△ No confidence","○ Clear")))))))))</f>
        <v/>
      </c>
      <c r="M39" s="24">
        <f>IF(OR(TRIM($A39)&lt;&gt;"",COUNTA($C39:$J39)&gt;0),1,0)</f>
        <v/>
      </c>
      <c r="N39" s="24">
        <f>IF(AND($M39=1,$L39&lt;&gt;"○ Clear"),1,0)</f>
        <v/>
      </c>
      <c r="O39" s="24">
        <f>IF(OR($M39=0,Baseline!$C$13=""),0,IF(NOT(ISNUMBER($H39)),$R39,IF(AND(ISNUMBER($I39),$I39&lt;&gt;$H39),IF(SUMPRODUCT(--(Changes!$I$6:$I$55="Raised"),--(((Changes!$E$6:$E$55=$A39)+(LEFT($A39,LEN(Changes!$E$6:$E$55)+1)=Changes!$E$6:$E$55&amp;"."))&gt;0))=0,1,0),0)))</f>
        <v/>
      </c>
      <c r="P39" s="36">
        <f>IF($M39=0,0,IF(ISNUMBER($I39),$I39,IF(ISNUMBER($H39),$H39,N($F39))))</f>
        <v/>
      </c>
      <c r="Q39" s="36">
        <f>IF($M39=0,0,N($H39))</f>
        <v/>
      </c>
      <c r="R39" s="24">
        <f>IF(OR($M39=0,Baseline!$C$13=""),0,IF(AND(NOT(ISNUMBER($H39)),ISNUMBER($F39),SUMPRODUCT(--(Changes!$I$6:$I$55="Raised"),--(((Changes!$E$6:$E$55=$A39)+(LEFT($A39,LEN(Changes!$E$6:$E$55)+1)=Changes!$E$6:$E$55&amp;"."))&gt;0))+SUMPRODUCT(--(Changes!$I$6:$I$55="Approved"),--(((Changes!$E$6:$E$55=$A39)+(LEFT($A39,LEN(Changes!$E$6:$E$55)+1)=Changes!$E$6:$E$55&amp;"."))&gt;0))=0),1,0))</f>
        <v/>
      </c>
    </row>
    <row r="40">
      <c r="A40" s="25" t="n"/>
      <c r="B40" s="28">
        <f>IF($A40="","",IFERROR(INDEX('Work breakdown'!$B$6:$B$65,MATCH($A40,'Work breakdown'!$A$6:$A$65,0))&amp;"",""))</f>
        <v/>
      </c>
      <c r="C40" s="35" t="n"/>
      <c r="D40" s="23" t="n"/>
      <c r="E40" s="26" t="n"/>
      <c r="F40" s="26" t="n"/>
      <c r="G40" s="26" t="n"/>
      <c r="H40" s="26" t="n"/>
      <c r="I40" s="26" t="n"/>
      <c r="J40" s="35" t="n"/>
      <c r="K40" s="28">
        <f>IF($M40=0,"",IF($L40&lt;&gt;"○ Clear",$L40,IF($R40=1,"△ Added after the baseline with no change",IF($O40=1,"△ Forecast differs from Baselined with no change","○ Clear"))))</f>
        <v/>
      </c>
      <c r="L40" s="30">
        <f>IF($M40=0,"",IF(TRIM($A40)="","△ No item",IF(SUMPRODUCT(--('Work breakdown'!$A$6:$A$65=$A40))=0,"△ Not on Work breakdown",IF(SUMPRODUCT(--($A$6:$A$45=$A40))&gt;1,"△ Estimated twice",IF(ISERROR(MATCH($C40,{"Bottom up","By analogy","Three-point","Fixed scope"},0)),"△ No method",IF(TRIM($D40)="","△ No basis: say where the number came from",IF(NOT(AND(ISNUMBER($E40),ISNUMBER($F40),ISNUMBER($G40))),"△ Low, Likely and High must be numbers in that order",IF(OR($E40&lt;0,$E40&gt;$F40,$F40&gt;$G40),"△ Low, Likely and High must be numbers in that order",IF(ISERROR(MATCH($J40,{"High","Medium","Low"},0)),"△ No confidence","○ Clear")))))))))</f>
        <v/>
      </c>
      <c r="M40" s="24">
        <f>IF(OR(TRIM($A40)&lt;&gt;"",COUNTA($C40:$J40)&gt;0),1,0)</f>
        <v/>
      </c>
      <c r="N40" s="24">
        <f>IF(AND($M40=1,$L40&lt;&gt;"○ Clear"),1,0)</f>
        <v/>
      </c>
      <c r="O40" s="24">
        <f>IF(OR($M40=0,Baseline!$C$13=""),0,IF(NOT(ISNUMBER($H40)),$R40,IF(AND(ISNUMBER($I40),$I40&lt;&gt;$H40),IF(SUMPRODUCT(--(Changes!$I$6:$I$55="Raised"),--(((Changes!$E$6:$E$55=$A40)+(LEFT($A40,LEN(Changes!$E$6:$E$55)+1)=Changes!$E$6:$E$55&amp;"."))&gt;0))=0,1,0),0)))</f>
        <v/>
      </c>
      <c r="P40" s="36">
        <f>IF($M40=0,0,IF(ISNUMBER($I40),$I40,IF(ISNUMBER($H40),$H40,N($F40))))</f>
        <v/>
      </c>
      <c r="Q40" s="36">
        <f>IF($M40=0,0,N($H40))</f>
        <v/>
      </c>
      <c r="R40" s="24">
        <f>IF(OR($M40=0,Baseline!$C$13=""),0,IF(AND(NOT(ISNUMBER($H40)),ISNUMBER($F40),SUMPRODUCT(--(Changes!$I$6:$I$55="Raised"),--(((Changes!$E$6:$E$55=$A40)+(LEFT($A40,LEN(Changes!$E$6:$E$55)+1)=Changes!$E$6:$E$55&amp;"."))&gt;0))+SUMPRODUCT(--(Changes!$I$6:$I$55="Approved"),--(((Changes!$E$6:$E$55=$A40)+(LEFT($A40,LEN(Changes!$E$6:$E$55)+1)=Changes!$E$6:$E$55&amp;"."))&gt;0))=0),1,0))</f>
        <v/>
      </c>
    </row>
    <row r="41">
      <c r="A41" s="25" t="n"/>
      <c r="B41" s="28">
        <f>IF($A41="","",IFERROR(INDEX('Work breakdown'!$B$6:$B$65,MATCH($A41,'Work breakdown'!$A$6:$A$65,0))&amp;"",""))</f>
        <v/>
      </c>
      <c r="C41" s="35" t="n"/>
      <c r="D41" s="23" t="n"/>
      <c r="E41" s="26" t="n"/>
      <c r="F41" s="26" t="n"/>
      <c r="G41" s="26" t="n"/>
      <c r="H41" s="26" t="n"/>
      <c r="I41" s="26" t="n"/>
      <c r="J41" s="35" t="n"/>
      <c r="K41" s="28">
        <f>IF($M41=0,"",IF($L41&lt;&gt;"○ Clear",$L41,IF($R41=1,"△ Added after the baseline with no change",IF($O41=1,"△ Forecast differs from Baselined with no change","○ Clear"))))</f>
        <v/>
      </c>
      <c r="L41" s="30">
        <f>IF($M41=0,"",IF(TRIM($A41)="","△ No item",IF(SUMPRODUCT(--('Work breakdown'!$A$6:$A$65=$A41))=0,"△ Not on Work breakdown",IF(SUMPRODUCT(--($A$6:$A$45=$A41))&gt;1,"△ Estimated twice",IF(ISERROR(MATCH($C41,{"Bottom up","By analogy","Three-point","Fixed scope"},0)),"△ No method",IF(TRIM($D41)="","△ No basis: say where the number came from",IF(NOT(AND(ISNUMBER($E41),ISNUMBER($F41),ISNUMBER($G41))),"△ Low, Likely and High must be numbers in that order",IF(OR($E41&lt;0,$E41&gt;$F41,$F41&gt;$G41),"△ Low, Likely and High must be numbers in that order",IF(ISERROR(MATCH($J41,{"High","Medium","Low"},0)),"△ No confidence","○ Clear")))))))))</f>
        <v/>
      </c>
      <c r="M41" s="24">
        <f>IF(OR(TRIM($A41)&lt;&gt;"",COUNTA($C41:$J41)&gt;0),1,0)</f>
        <v/>
      </c>
      <c r="N41" s="24">
        <f>IF(AND($M41=1,$L41&lt;&gt;"○ Clear"),1,0)</f>
        <v/>
      </c>
      <c r="O41" s="24">
        <f>IF(OR($M41=0,Baseline!$C$13=""),0,IF(NOT(ISNUMBER($H41)),$R41,IF(AND(ISNUMBER($I41),$I41&lt;&gt;$H41),IF(SUMPRODUCT(--(Changes!$I$6:$I$55="Raised"),--(((Changes!$E$6:$E$55=$A41)+(LEFT($A41,LEN(Changes!$E$6:$E$55)+1)=Changes!$E$6:$E$55&amp;"."))&gt;0))=0,1,0),0)))</f>
        <v/>
      </c>
      <c r="P41" s="36">
        <f>IF($M41=0,0,IF(ISNUMBER($I41),$I41,IF(ISNUMBER($H41),$H41,N($F41))))</f>
        <v/>
      </c>
      <c r="Q41" s="36">
        <f>IF($M41=0,0,N($H41))</f>
        <v/>
      </c>
      <c r="R41" s="24">
        <f>IF(OR($M41=0,Baseline!$C$13=""),0,IF(AND(NOT(ISNUMBER($H41)),ISNUMBER($F41),SUMPRODUCT(--(Changes!$I$6:$I$55="Raised"),--(((Changes!$E$6:$E$55=$A41)+(LEFT($A41,LEN(Changes!$E$6:$E$55)+1)=Changes!$E$6:$E$55&amp;"."))&gt;0))+SUMPRODUCT(--(Changes!$I$6:$I$55="Approved"),--(((Changes!$E$6:$E$55=$A41)+(LEFT($A41,LEN(Changes!$E$6:$E$55)+1)=Changes!$E$6:$E$55&amp;"."))&gt;0))=0),1,0))</f>
        <v/>
      </c>
    </row>
    <row r="42">
      <c r="A42" s="25" t="n"/>
      <c r="B42" s="28">
        <f>IF($A42="","",IFERROR(INDEX('Work breakdown'!$B$6:$B$65,MATCH($A42,'Work breakdown'!$A$6:$A$65,0))&amp;"",""))</f>
        <v/>
      </c>
      <c r="C42" s="35" t="n"/>
      <c r="D42" s="23" t="n"/>
      <c r="E42" s="26" t="n"/>
      <c r="F42" s="26" t="n"/>
      <c r="G42" s="26" t="n"/>
      <c r="H42" s="26" t="n"/>
      <c r="I42" s="26" t="n"/>
      <c r="J42" s="35" t="n"/>
      <c r="K42" s="28">
        <f>IF($M42=0,"",IF($L42&lt;&gt;"○ Clear",$L42,IF($R42=1,"△ Added after the baseline with no change",IF($O42=1,"△ Forecast differs from Baselined with no change","○ Clear"))))</f>
        <v/>
      </c>
      <c r="L42" s="30">
        <f>IF($M42=0,"",IF(TRIM($A42)="","△ No item",IF(SUMPRODUCT(--('Work breakdown'!$A$6:$A$65=$A42))=0,"△ Not on Work breakdown",IF(SUMPRODUCT(--($A$6:$A$45=$A42))&gt;1,"△ Estimated twice",IF(ISERROR(MATCH($C42,{"Bottom up","By analogy","Three-point","Fixed scope"},0)),"△ No method",IF(TRIM($D42)="","△ No basis: say where the number came from",IF(NOT(AND(ISNUMBER($E42),ISNUMBER($F42),ISNUMBER($G42))),"△ Low, Likely and High must be numbers in that order",IF(OR($E42&lt;0,$E42&gt;$F42,$F42&gt;$G42),"△ Low, Likely and High must be numbers in that order",IF(ISERROR(MATCH($J42,{"High","Medium","Low"},0)),"△ No confidence","○ Clear")))))))))</f>
        <v/>
      </c>
      <c r="M42" s="24">
        <f>IF(OR(TRIM($A42)&lt;&gt;"",COUNTA($C42:$J42)&gt;0),1,0)</f>
        <v/>
      </c>
      <c r="N42" s="24">
        <f>IF(AND($M42=1,$L42&lt;&gt;"○ Clear"),1,0)</f>
        <v/>
      </c>
      <c r="O42" s="24">
        <f>IF(OR($M42=0,Baseline!$C$13=""),0,IF(NOT(ISNUMBER($H42)),$R42,IF(AND(ISNUMBER($I42),$I42&lt;&gt;$H42),IF(SUMPRODUCT(--(Changes!$I$6:$I$55="Raised"),--(((Changes!$E$6:$E$55=$A42)+(LEFT($A42,LEN(Changes!$E$6:$E$55)+1)=Changes!$E$6:$E$55&amp;"."))&gt;0))=0,1,0),0)))</f>
        <v/>
      </c>
      <c r="P42" s="36">
        <f>IF($M42=0,0,IF(ISNUMBER($I42),$I42,IF(ISNUMBER($H42),$H42,N($F42))))</f>
        <v/>
      </c>
      <c r="Q42" s="36">
        <f>IF($M42=0,0,N($H42))</f>
        <v/>
      </c>
      <c r="R42" s="24">
        <f>IF(OR($M42=0,Baseline!$C$13=""),0,IF(AND(NOT(ISNUMBER($H42)),ISNUMBER($F42),SUMPRODUCT(--(Changes!$I$6:$I$55="Raised"),--(((Changes!$E$6:$E$55=$A42)+(LEFT($A42,LEN(Changes!$E$6:$E$55)+1)=Changes!$E$6:$E$55&amp;"."))&gt;0))+SUMPRODUCT(--(Changes!$I$6:$I$55="Approved"),--(((Changes!$E$6:$E$55=$A42)+(LEFT($A42,LEN(Changes!$E$6:$E$55)+1)=Changes!$E$6:$E$55&amp;"."))&gt;0))=0),1,0))</f>
        <v/>
      </c>
    </row>
    <row r="43">
      <c r="A43" s="25" t="n"/>
      <c r="B43" s="28">
        <f>IF($A43="","",IFERROR(INDEX('Work breakdown'!$B$6:$B$65,MATCH($A43,'Work breakdown'!$A$6:$A$65,0))&amp;"",""))</f>
        <v/>
      </c>
      <c r="C43" s="35" t="n"/>
      <c r="D43" s="23" t="n"/>
      <c r="E43" s="26" t="n"/>
      <c r="F43" s="26" t="n"/>
      <c r="G43" s="26" t="n"/>
      <c r="H43" s="26" t="n"/>
      <c r="I43" s="26" t="n"/>
      <c r="J43" s="35" t="n"/>
      <c r="K43" s="28">
        <f>IF($M43=0,"",IF($L43&lt;&gt;"○ Clear",$L43,IF($R43=1,"△ Added after the baseline with no change",IF($O43=1,"△ Forecast differs from Baselined with no change","○ Clear"))))</f>
        <v/>
      </c>
      <c r="L43" s="30">
        <f>IF($M43=0,"",IF(TRIM($A43)="","△ No item",IF(SUMPRODUCT(--('Work breakdown'!$A$6:$A$65=$A43))=0,"△ Not on Work breakdown",IF(SUMPRODUCT(--($A$6:$A$45=$A43))&gt;1,"△ Estimated twice",IF(ISERROR(MATCH($C43,{"Bottom up","By analogy","Three-point","Fixed scope"},0)),"△ No method",IF(TRIM($D43)="","△ No basis: say where the number came from",IF(NOT(AND(ISNUMBER($E43),ISNUMBER($F43),ISNUMBER($G43))),"△ Low, Likely and High must be numbers in that order",IF(OR($E43&lt;0,$E43&gt;$F43,$F43&gt;$G43),"△ Low, Likely and High must be numbers in that order",IF(ISERROR(MATCH($J43,{"High","Medium","Low"},0)),"△ No confidence","○ Clear")))))))))</f>
        <v/>
      </c>
      <c r="M43" s="24">
        <f>IF(OR(TRIM($A43)&lt;&gt;"",COUNTA($C43:$J43)&gt;0),1,0)</f>
        <v/>
      </c>
      <c r="N43" s="24">
        <f>IF(AND($M43=1,$L43&lt;&gt;"○ Clear"),1,0)</f>
        <v/>
      </c>
      <c r="O43" s="24">
        <f>IF(OR($M43=0,Baseline!$C$13=""),0,IF(NOT(ISNUMBER($H43)),$R43,IF(AND(ISNUMBER($I43),$I43&lt;&gt;$H43),IF(SUMPRODUCT(--(Changes!$I$6:$I$55="Raised"),--(((Changes!$E$6:$E$55=$A43)+(LEFT($A43,LEN(Changes!$E$6:$E$55)+1)=Changes!$E$6:$E$55&amp;"."))&gt;0))=0,1,0),0)))</f>
        <v/>
      </c>
      <c r="P43" s="36">
        <f>IF($M43=0,0,IF(ISNUMBER($I43),$I43,IF(ISNUMBER($H43),$H43,N($F43))))</f>
        <v/>
      </c>
      <c r="Q43" s="36">
        <f>IF($M43=0,0,N($H43))</f>
        <v/>
      </c>
      <c r="R43" s="24">
        <f>IF(OR($M43=0,Baseline!$C$13=""),0,IF(AND(NOT(ISNUMBER($H43)),ISNUMBER($F43),SUMPRODUCT(--(Changes!$I$6:$I$55="Raised"),--(((Changes!$E$6:$E$55=$A43)+(LEFT($A43,LEN(Changes!$E$6:$E$55)+1)=Changes!$E$6:$E$55&amp;"."))&gt;0))+SUMPRODUCT(--(Changes!$I$6:$I$55="Approved"),--(((Changes!$E$6:$E$55=$A43)+(LEFT($A43,LEN(Changes!$E$6:$E$55)+1)=Changes!$E$6:$E$55&amp;"."))&gt;0))=0),1,0))</f>
        <v/>
      </c>
    </row>
    <row r="44">
      <c r="A44" s="25" t="n"/>
      <c r="B44" s="28">
        <f>IF($A44="","",IFERROR(INDEX('Work breakdown'!$B$6:$B$65,MATCH($A44,'Work breakdown'!$A$6:$A$65,0))&amp;"",""))</f>
        <v/>
      </c>
      <c r="C44" s="35" t="n"/>
      <c r="D44" s="23" t="n"/>
      <c r="E44" s="26" t="n"/>
      <c r="F44" s="26" t="n"/>
      <c r="G44" s="26" t="n"/>
      <c r="H44" s="26" t="n"/>
      <c r="I44" s="26" t="n"/>
      <c r="J44" s="35" t="n"/>
      <c r="K44" s="28">
        <f>IF($M44=0,"",IF($L44&lt;&gt;"○ Clear",$L44,IF($R44=1,"△ Added after the baseline with no change",IF($O44=1,"△ Forecast differs from Baselined with no change","○ Clear"))))</f>
        <v/>
      </c>
      <c r="L44" s="30">
        <f>IF($M44=0,"",IF(TRIM($A44)="","△ No item",IF(SUMPRODUCT(--('Work breakdown'!$A$6:$A$65=$A44))=0,"△ Not on Work breakdown",IF(SUMPRODUCT(--($A$6:$A$45=$A44))&gt;1,"△ Estimated twice",IF(ISERROR(MATCH($C44,{"Bottom up","By analogy","Three-point","Fixed scope"},0)),"△ No method",IF(TRIM($D44)="","△ No basis: say where the number came from",IF(NOT(AND(ISNUMBER($E44),ISNUMBER($F44),ISNUMBER($G44))),"△ Low, Likely and High must be numbers in that order",IF(OR($E44&lt;0,$E44&gt;$F44,$F44&gt;$G44),"△ Low, Likely and High must be numbers in that order",IF(ISERROR(MATCH($J44,{"High","Medium","Low"},0)),"△ No confidence","○ Clear")))))))))</f>
        <v/>
      </c>
      <c r="M44" s="24">
        <f>IF(OR(TRIM($A44)&lt;&gt;"",COUNTA($C44:$J44)&gt;0),1,0)</f>
        <v/>
      </c>
      <c r="N44" s="24">
        <f>IF(AND($M44=1,$L44&lt;&gt;"○ Clear"),1,0)</f>
        <v/>
      </c>
      <c r="O44" s="24">
        <f>IF(OR($M44=0,Baseline!$C$13=""),0,IF(NOT(ISNUMBER($H44)),$R44,IF(AND(ISNUMBER($I44),$I44&lt;&gt;$H44),IF(SUMPRODUCT(--(Changes!$I$6:$I$55="Raised"),--(((Changes!$E$6:$E$55=$A44)+(LEFT($A44,LEN(Changes!$E$6:$E$55)+1)=Changes!$E$6:$E$55&amp;"."))&gt;0))=0,1,0),0)))</f>
        <v/>
      </c>
      <c r="P44" s="36">
        <f>IF($M44=0,0,IF(ISNUMBER($I44),$I44,IF(ISNUMBER($H44),$H44,N($F44))))</f>
        <v/>
      </c>
      <c r="Q44" s="36">
        <f>IF($M44=0,0,N($H44))</f>
        <v/>
      </c>
      <c r="R44" s="24">
        <f>IF(OR($M44=0,Baseline!$C$13=""),0,IF(AND(NOT(ISNUMBER($H44)),ISNUMBER($F44),SUMPRODUCT(--(Changes!$I$6:$I$55="Raised"),--(((Changes!$E$6:$E$55=$A44)+(LEFT($A44,LEN(Changes!$E$6:$E$55)+1)=Changes!$E$6:$E$55&amp;"."))&gt;0))+SUMPRODUCT(--(Changes!$I$6:$I$55="Approved"),--(((Changes!$E$6:$E$55=$A44)+(LEFT($A44,LEN(Changes!$E$6:$E$55)+1)=Changes!$E$6:$E$55&amp;"."))&gt;0))=0),1,0))</f>
        <v/>
      </c>
    </row>
    <row r="45">
      <c r="A45" s="25" t="n"/>
      <c r="B45" s="28">
        <f>IF($A45="","",IFERROR(INDEX('Work breakdown'!$B$6:$B$65,MATCH($A45,'Work breakdown'!$A$6:$A$65,0))&amp;"",""))</f>
        <v/>
      </c>
      <c r="C45" s="35" t="n"/>
      <c r="D45" s="23" t="n"/>
      <c r="E45" s="26" t="n"/>
      <c r="F45" s="26" t="n"/>
      <c r="G45" s="26" t="n"/>
      <c r="H45" s="26" t="n"/>
      <c r="I45" s="26" t="n"/>
      <c r="J45" s="35" t="n"/>
      <c r="K45" s="28">
        <f>IF($M45=0,"",IF($L45&lt;&gt;"○ Clear",$L45,IF($R45=1,"△ Added after the baseline with no change",IF($O45=1,"△ Forecast differs from Baselined with no change","○ Clear"))))</f>
        <v/>
      </c>
      <c r="L45" s="30">
        <f>IF($M45=0,"",IF(TRIM($A45)="","△ No item",IF(SUMPRODUCT(--('Work breakdown'!$A$6:$A$65=$A45))=0,"△ Not on Work breakdown",IF(SUMPRODUCT(--($A$6:$A$45=$A45))&gt;1,"△ Estimated twice",IF(ISERROR(MATCH($C45,{"Bottom up","By analogy","Three-point","Fixed scope"},0)),"△ No method",IF(TRIM($D45)="","△ No basis: say where the number came from",IF(NOT(AND(ISNUMBER($E45),ISNUMBER($F45),ISNUMBER($G45))),"△ Low, Likely and High must be numbers in that order",IF(OR($E45&lt;0,$E45&gt;$F45,$F45&gt;$G45),"△ Low, Likely and High must be numbers in that order",IF(ISERROR(MATCH($J45,{"High","Medium","Low"},0)),"△ No confidence","○ Clear")))))))))</f>
        <v/>
      </c>
      <c r="M45" s="24">
        <f>IF(OR(TRIM($A45)&lt;&gt;"",COUNTA($C45:$J45)&gt;0),1,0)</f>
        <v/>
      </c>
      <c r="N45" s="24">
        <f>IF(AND($M45=1,$L45&lt;&gt;"○ Clear"),1,0)</f>
        <v/>
      </c>
      <c r="O45" s="24">
        <f>IF(OR($M45=0,Baseline!$C$13=""),0,IF(NOT(ISNUMBER($H45)),$R45,IF(AND(ISNUMBER($I45),$I45&lt;&gt;$H45),IF(SUMPRODUCT(--(Changes!$I$6:$I$55="Raised"),--(((Changes!$E$6:$E$55=$A45)+(LEFT($A45,LEN(Changes!$E$6:$E$55)+1)=Changes!$E$6:$E$55&amp;"."))&gt;0))=0,1,0),0)))</f>
        <v/>
      </c>
      <c r="P45" s="36">
        <f>IF($M45=0,0,IF(ISNUMBER($I45),$I45,IF(ISNUMBER($H45),$H45,N($F45))))</f>
        <v/>
      </c>
      <c r="Q45" s="36">
        <f>IF($M45=0,0,N($H45))</f>
        <v/>
      </c>
      <c r="R45" s="24">
        <f>IF(OR($M45=0,Baseline!$C$13=""),0,IF(AND(NOT(ISNUMBER($H45)),ISNUMBER($F45),SUMPRODUCT(--(Changes!$I$6:$I$55="Raised"),--(((Changes!$E$6:$E$55=$A45)+(LEFT($A45,LEN(Changes!$E$6:$E$55)+1)=Changes!$E$6:$E$55&amp;"."))&gt;0))+SUMPRODUCT(--(Changes!$I$6:$I$55="Approved"),--(((Changes!$E$6:$E$55=$A45)+(LEFT($A45,LEN(Changes!$E$6:$E$55)+1)=Changes!$E$6:$E$55&amp;"."))&gt;0))=0),1,0))</f>
        <v/>
      </c>
    </row>
    <row r="46" ht="18" customHeight="1">
      <c r="A46" s="29" t="inlineStr">
        <is>
          <t>Total</t>
        </is>
      </c>
      <c r="B46" s="30" t="n"/>
      <c r="C46" s="30" t="n"/>
      <c r="D46" s="30" t="n"/>
      <c r="E46" s="31">
        <f>SUM(E6:E45)</f>
        <v/>
      </c>
      <c r="F46" s="31">
        <f>SUM(F6:F45)</f>
        <v/>
      </c>
      <c r="G46" s="31">
        <f>SUM(G6:G45)</f>
        <v/>
      </c>
      <c r="H46" s="31">
        <f>SUM(H6:H45)</f>
        <v/>
      </c>
      <c r="I46" s="31">
        <f>SUM(P6:P45)</f>
        <v/>
      </c>
      <c r="J46" s="30" t="n"/>
      <c r="K46" s="30" t="n"/>
    </row>
  </sheetData>
  <sheetProtection selectLockedCells="0" selectUnlockedCells="0" sheet="1" objects="0" insertRows="1" insertHyperlinks="1" autoFilter="0" scenarios="0" formatColumns="0" deleteColumns="1" insertColumns="1" pivotTables="1" deleteRows="1" formatCells="0" formatRows="0" sort="0"/>
  <autoFilter ref="A5:K45"/>
  <conditionalFormatting sqref="K6:K45">
    <cfRule type="expression" priority="1" dxfId="0" stopIfTrue="0">
      <formula>LEFT($K6,1)="△"</formula>
    </cfRule>
  </conditionalFormatting>
  <dataValidations count="5">
    <dataValidation sqref="A6:A45" showDropDown="0" showInputMessage="0" showErrorMessage="1" allowBlank="1" errorTitle="Check this entry" error="That number isn't on Work breakdown. You can keep it; the Row check will show it." type="list" errorStyle="warning">
      <formula1>'Work breakdown'!$A$6:$A$65</formula1>
    </dataValidation>
    <dataValidation sqref="C6:C45" showDropDown="0" showInputMessage="0" showErrorMessage="1" allowBlank="1" errorTitle="Check this entry" error="Pick Bottom up, By analogy, Three-point or Fixed scope." type="list" errorStyle="stop">
      <formula1>"Bottom up,By analogy,Three-point,Fixed scope"</formula1>
    </dataValidation>
    <dataValidation sqref="D6:D45" showDropDown="0" showInputMessage="0" showErrorMessage="1" allowBlank="1" errorTitle="Check this entry" error="Keep the basis to 120 characters." type="textLength" errorStyle="stop" operator="between">
      <formula1>0</formula1>
      <formula2>120</formula2>
    </dataValidation>
    <dataValidation sqref="E6:I45" showDropDown="0" showInputMessage="0" showErrorMessage="1" allowBlank="1" errorTitle="Check this entry" error="Type a number, 0 or more, in the Unit on Baseline." type="decimal" errorStyle="stop" operator="between">
      <formula1>0</formula1>
      <formula2>1000000000000</formula2>
    </dataValidation>
    <dataValidation sqref="J6:J45" showDropDown="0" showInputMessage="0" showErrorMessage="1" allowBlank="1" errorTitle="Check this entry" error="Pick High, Medium or Low." type="list" errorStyle="stop">
      <formula1>"High,Medium,Low"</formula1>
    </dataValidation>
  </dataValidations>
  <pageMargins left="0.3" right="0.3" top="0.5" bottom="0.5" header="0.2" footer="0.2"/>
  <pageSetup orientation="landscape" paperSize="9" scale="100"/>
  <drawing xmlns:r="http://schemas.openxmlformats.org/officeDocument/2006/relationships" r:id="rId1"/>
  <legacyDrawing xmlns:r="http://schemas.openxmlformats.org/officeDocument/2006/relationships" r:id="anysvml"/>
</worksheet>
</file>

<file path=xl/worksheets/sheet5.xml><?xml version="1.0" encoding="utf-8"?>
<worksheet xmlns="http://schemas.openxmlformats.org/spreadsheetml/2006/main">
  <sheetPr>
    <outlinePr summaryBelow="1" summaryRight="1"/>
    <pageSetUpPr fitToPage="0"/>
  </sheetPr>
  <dimension ref="A1:Y44"/>
  <sheetViews>
    <sheetView showGridLines="0" tabSelected="0" workbookViewId="0">
      <pane xSplit="2" ySplit="5" topLeftCell="C6" activePane="bottomRight" state="frozen"/>
      <selection pane="topRight"/>
      <selection pane="bottomLeft"/>
      <selection pane="bottomRight" activeCell="A1" sqref="A1"/>
    </sheetView>
  </sheetViews>
  <sheetFormatPr baseColWidth="8" defaultRowHeight="15"/>
  <cols>
    <col width="17" customWidth="1" min="1" max="1"/>
    <col width="24" customWidth="1" min="2" max="2"/>
    <col width="10" customWidth="1" min="3" max="3"/>
    <col width="14" customWidth="1" min="4" max="4"/>
    <col width="14" customWidth="1" min="5" max="5"/>
    <col width="14" customWidth="1" min="6" max="6"/>
    <col width="14" customWidth="1" min="7" max="7"/>
    <col width="20" customWidth="1" min="8" max="8"/>
    <col width="7" customWidth="1" min="9" max="9"/>
    <col width="16" customWidth="1" min="10" max="10"/>
    <col width="14" customWidth="1" min="11" max="11"/>
    <col width="16" customWidth="1" min="12" max="12"/>
    <col width="8" customWidth="1" min="13" max="13"/>
    <col width="8" customWidth="1" min="14" max="14"/>
    <col width="8" customWidth="1" min="15" max="15"/>
    <col width="18" customWidth="1" min="16" max="16"/>
    <col width="2" customWidth="1" min="17" max="17"/>
    <col hidden="1" outlineLevel="1" width="12" customWidth="1" min="18" max="25"/>
    <col width="12" customWidth="1" min="19" max="19"/>
    <col width="12" customWidth="1" min="20" max="20"/>
    <col width="12" customWidth="1" min="21" max="21"/>
    <col width="12" customWidth="1" min="22" max="22"/>
    <col width="12" customWidth="1" min="23" max="23"/>
    <col width="12" customWidth="1" min="24" max="24"/>
    <col width="12" customWidth="1" min="25" max="25"/>
  </cols>
  <sheetData>
    <row r="1" ht="36" customHeight="1">
      <c r="B1" s="1" t="inlineStr">
        <is>
          <t>Schedule</t>
        </is>
      </c>
    </row>
    <row r="2" ht="18" customHeight="1">
      <c r="A2" s="2">
        <f>IF(TRIM(Baseline!$C$5)="","","Project: "&amp;Baseline!$C$5&amp;IF(TRIM(Baseline!$C$6)="",".",". Sits under: "&amp;Baseline!$C$6&amp;"."))</f>
        <v/>
      </c>
    </row>
    <row r="3" ht="6" customHeight="1"/>
    <row r="4" ht="18" customHeight="1">
      <c r="A4" s="9" t="inlineStr">
        <is>
          <t>DATES</t>
        </is>
      </c>
      <c r="B4" s="9" t="n"/>
      <c r="C4" s="9" t="n"/>
      <c r="D4" s="9" t="n"/>
      <c r="E4" s="9" t="n"/>
      <c r="F4" s="9" t="n"/>
      <c r="G4" s="9" t="n"/>
      <c r="H4" s="9" t="n"/>
      <c r="I4" s="9" t="n"/>
      <c r="J4" s="9" t="n"/>
      <c r="K4" s="9" t="n"/>
      <c r="L4" s="9" t="n"/>
      <c r="M4" s="9" t="n"/>
      <c r="N4" s="9" t="n"/>
      <c r="O4" s="9" t="n"/>
      <c r="P4" s="9" t="n"/>
    </row>
    <row r="5" ht="70" customHeight="1">
      <c r="A5" s="21" t="inlineStr">
        <is>
          <t>#</t>
        </is>
      </c>
      <c r="B5" s="19" t="inlineStr">
        <is>
          <t>Milestone</t>
        </is>
      </c>
      <c r="C5" s="19" t="inlineStr">
        <is>
          <t>Kind</t>
        </is>
      </c>
      <c r="D5" s="19" t="inlineStr">
        <is>
          <t>Baselined</t>
        </is>
      </c>
      <c r="E5" s="19" t="inlineStr">
        <is>
          <t>Forecast</t>
        </is>
      </c>
      <c r="F5" s="19" t="inlineStr">
        <is>
          <t>Done on</t>
        </is>
      </c>
      <c r="G5" s="19" t="inlineStr">
        <is>
          <t>Ends</t>
        </is>
      </c>
      <c r="H5" s="19" t="inlineStr">
        <is>
          <t>Owner</t>
        </is>
      </c>
      <c r="I5" s="19" t="inlineStr">
        <is>
          <t>RAID Id</t>
        </is>
      </c>
      <c r="J5" s="19" t="inlineStr">
        <is>
          <t>Needed for</t>
        </is>
      </c>
      <c r="K5" s="19" t="inlineStr">
        <is>
          <t>Original</t>
        </is>
      </c>
      <c r="L5" s="19" t="inlineStr">
        <is>
          <t>Note</t>
        </is>
      </c>
      <c r="M5" s="21" t="inlineStr">
        <is>
          <t>Working days late</t>
        </is>
      </c>
      <c r="N5" s="21" t="inlineStr">
        <is>
          <t>Reading</t>
        </is>
      </c>
      <c r="O5" s="21" t="inlineStr">
        <is>
          <t>Moved in all</t>
        </is>
      </c>
      <c r="P5" s="21" t="inlineStr">
        <is>
          <t>Row check</t>
        </is>
      </c>
      <c r="R5" s="21" t="inlineStr">
        <is>
          <t>Row in use (1 or 0)</t>
        </is>
      </c>
      <c r="S5" s="21" t="inlineStr">
        <is>
          <t>Forecast as the checks read it</t>
        </is>
      </c>
      <c r="T5" s="21" t="inlineStr">
        <is>
          <t>Fails: dates that don't hold together (1 or 0)</t>
        </is>
      </c>
      <c r="U5" s="21" t="inlineStr">
        <is>
          <t>Fails: nobody answers for it (1 or 0)</t>
        </is>
      </c>
      <c r="V5" s="21" t="inlineStr">
        <is>
          <t>Fails: moved with no change (1 or 0)</t>
        </is>
      </c>
      <c r="W5" s="21" t="inlineStr">
        <is>
          <t>Fails: past the Owner's limit (1 or 0)</t>
        </is>
      </c>
      <c r="X5" s="21" t="inlineStr">
        <is>
          <t>Fails: arrives after it is needed (1 or 0)</t>
        </is>
      </c>
      <c r="Y5" s="21" t="inlineStr">
        <is>
          <t>Date the order check reads: Original, or Baselined until Original is typed</t>
        </is>
      </c>
    </row>
    <row r="6">
      <c r="A6" s="37">
        <f>IF($R6=0,"",ROW()-5)</f>
        <v/>
      </c>
      <c r="B6" s="23" t="n"/>
      <c r="C6" s="35" t="n"/>
      <c r="D6" s="38" t="n"/>
      <c r="E6" s="38" t="n"/>
      <c r="F6" s="38" t="n"/>
      <c r="G6" s="38" t="n"/>
      <c r="H6" s="23" t="n"/>
      <c r="I6" s="25" t="n"/>
      <c r="J6" s="23" t="n"/>
      <c r="K6" s="38" t="n"/>
      <c r="L6" s="23" t="n"/>
      <c r="M6" s="37">
        <f>IF(OR($R6=0,$F6&lt;&gt;"",NOT(ISNUMBER($D6)),NOT(ISNUMBER($S6))),"",IF($S6&lt;=$D6,0,NETWORKDAYS($D6+1,$S6)))</f>
        <v/>
      </c>
      <c r="N6" s="39">
        <f>IF(OR($R6=0,$F6&lt;&gt;"",$C6="Need",$C6="Event",NOT(ISNUMBER($D6))),"",IF(OR($D6&lt;Baseline!$K$5,N($M6)&gt;N(Baseline!$C$23)),"Red",IF(N($M6)&gt;0,"Amber","Green")))</f>
        <v/>
      </c>
      <c r="O6" s="37">
        <f>IF(OR($R6=0,NOT(ISNUMBER($K6))),"",IF(ISNUMBER($F6),IF($F6&lt;=$K6,0,NETWORKDAYS($K6+1,$F6)),IF(NOT(ISNUMBER($S6)),"",IF($S6&lt;=$K6,0,NETWORKDAYS($K6+1,$S6)))))</f>
        <v/>
      </c>
      <c r="P6" s="28">
        <f>IF($R6=0,"",IF(AND(TRIM($B6)&lt;&gt;"",SUMPRODUCT(--($B$6:$B$44=$B6))&gt;1),"△ Name used twice",IF(ISERROR(MATCH($C6,{"Gate","Milestone","Need","Event"},0)),"△ No kind",IF(NOT(ISNUMBER($D6)),"△ Baselined isn't a date",IF(AND($C6="Gate",ISERROR(MATCH($B6,'Read me'!$B$56:$B$65,0))),"△ Not a gate name on Read me",IF(IF(AND(ISNUMBER($Y6),ISNUMBER($K6)),$Y6&lt;MAX($Y$5:$Y5),FALSE),"△ Original is before the row above's",IF(IF(AND(ISNUMBER($Y6),NOT(ISNUMBER($K6))),$Y6&lt;MAX($Y$5:$Y5),FALSE),"△ Dated before the row above",IF(AND(ISNUMBER($D6),ISNUMBER(Baseline!$C$10),MAX($D6,IF(ISNUMBER($G6),$G6,0))&gt;Baseline!$C$10),"△ After the Planned finish",IF(AND(TRIM($B6)="Close",ISNUMBER($D6),ISNUMBER(Baseline!$C$10),$D6&lt;&gt;Baseline!$C$10),"△ Close isn't dated on the Planned finish",IF(AND(ISNUMBER($G6),ISNUMBER($D6),$G6&lt;$D6),"△ Ends before it starts",IF($X6=1,"△ Arrives after it is needed",IF($U6=1,"△ Nobody answers for it",IF($V6=1,"△ Moved with no change",IF($W6=1,"△ Past the Owner's limit","○ Clear"))))))))))))))</f>
        <v/>
      </c>
      <c r="R6" s="24">
        <f>IF(COUNTA($B6:$L6)&gt;0,1,0)</f>
        <v/>
      </c>
      <c r="S6" s="40">
        <f>IF($R6=0,"",IF(ISNUMBER($E6),$E6,$D6))</f>
        <v/>
      </c>
      <c r="T6" s="24">
        <f>IF($R6=0,0,IF(OR(AND(TRIM($B6)&lt;&gt;"",SUMPRODUCT(--($B$6:$B$44=$B6))&gt;1),ISERROR(MATCH($C6,{"Gate","Milestone","Need","Event"},0)),NOT(ISNUMBER($D6)),AND($C6="Gate",ISERROR(MATCH($B6,'Read me'!$B$56:$B$65,0))),IF(AND(ISNUMBER($Y6),ISNUMBER($K6)),$Y6&lt;MAX($Y$5:$Y5),FALSE),IF(AND(ISNUMBER($Y6),NOT(ISNUMBER($K6))),$Y6&lt;MAX($Y$5:$Y5),FALSE),AND(ISNUMBER($D6),ISNUMBER(Baseline!$C$10),MAX($D6,IF(ISNUMBER($G6),$G6,0))&gt;Baseline!$C$10),AND(TRIM($B6)="Close",ISNUMBER($D6),ISNUMBER(Baseline!$C$10),$D6&lt;&gt;Baseline!$C$10),AND(ISNUMBER($G6),ISNUMBER($D6),$G6&lt;$D6)),1,0))</f>
        <v/>
      </c>
      <c r="U6" s="24">
        <f>IF(OR($R6=0,$F6&lt;&gt;"",AND($C6&lt;&gt;"Gate",$C6&lt;&gt;"Milestone",$C6&lt;&gt;"Need")),0,IF(TRIM($H6)="",1,0))</f>
        <v/>
      </c>
      <c r="V6" s="24">
        <f>IF(OR($R6=0,$F6&lt;&gt;"",$C6="Need",$C6="Event",Baseline!$C$13=""),0,IF(OR(AND(N($M6)&gt;0,SUMPRODUCT(--(Changes!$I$6:$I$55="Raised"),--(((Changes!$E$6:$E$55=$B6)+(LEFT($B6,LEN(Changes!$E$6:$E$55)+1)=Changes!$E$6:$E$55&amp;"."))&gt;0))=0),AND(ISNUMBER($K6),ISNUMBER($D6),$D6&lt;&gt;$K6,SUMPRODUCT(--(Changes!$I$6:$I$55="Approved"),--(((Changes!$E$6:$E$55=$B6)+(LEFT($B6,LEN(Changes!$E$6:$E$55)+1)=Changes!$E$6:$E$55&amp;"."))&gt;0))=0)),1,0))</f>
        <v/>
      </c>
      <c r="W6" s="24">
        <f>IF(OR($R6=0,$F6&lt;&gt;"",$C6="Need",$C6="Event",NOT(ISNUMBER(Baseline!$C$15))),0,IF(N($M6)&gt;Baseline!$C$15,1,0))</f>
        <v/>
      </c>
      <c r="X6" s="24">
        <f>IF(OR($R6=0,$F6&lt;&gt;"",$C6&lt;&gt;"Need"),0,IF(N($M6)&gt;0,1,0))</f>
        <v/>
      </c>
      <c r="Y6" s="40">
        <f>IF($R6=0,"",IF(ISNUMBER($K6),$K6,IF(ISNUMBER($D6),$D6,"")))</f>
        <v/>
      </c>
    </row>
    <row r="7">
      <c r="A7" s="37">
        <f>IF($R7=0,"",ROW()-5)</f>
        <v/>
      </c>
      <c r="B7" s="23" t="n"/>
      <c r="C7" s="35" t="n"/>
      <c r="D7" s="38" t="n"/>
      <c r="E7" s="38" t="n"/>
      <c r="F7" s="38" t="n"/>
      <c r="G7" s="38" t="n"/>
      <c r="H7" s="23" t="n"/>
      <c r="I7" s="25" t="n"/>
      <c r="J7" s="23" t="n"/>
      <c r="K7" s="38" t="n"/>
      <c r="L7" s="23" t="n"/>
      <c r="M7" s="37">
        <f>IF(OR($R7=0,$F7&lt;&gt;"",NOT(ISNUMBER($D7)),NOT(ISNUMBER($S7))),"",IF($S7&lt;=$D7,0,NETWORKDAYS($D7+1,$S7)))</f>
        <v/>
      </c>
      <c r="N7" s="39">
        <f>IF(OR($R7=0,$F7&lt;&gt;"",$C7="Need",$C7="Event",NOT(ISNUMBER($D7))),"",IF(OR($D7&lt;Baseline!$K$5,N($M7)&gt;N(Baseline!$C$23)),"Red",IF(N($M7)&gt;0,"Amber","Green")))</f>
        <v/>
      </c>
      <c r="O7" s="37">
        <f>IF(OR($R7=0,NOT(ISNUMBER($K7))),"",IF(ISNUMBER($F7),IF($F7&lt;=$K7,0,NETWORKDAYS($K7+1,$F7)),IF(NOT(ISNUMBER($S7)),"",IF($S7&lt;=$K7,0,NETWORKDAYS($K7+1,$S7)))))</f>
        <v/>
      </c>
      <c r="P7" s="28">
        <f>IF($R7=0,"",IF(AND(TRIM($B7)&lt;&gt;"",SUMPRODUCT(--($B$6:$B$44=$B7))&gt;1),"△ Name used twice",IF(ISERROR(MATCH($C7,{"Gate","Milestone","Need","Event"},0)),"△ No kind",IF(NOT(ISNUMBER($D7)),"△ Baselined isn't a date",IF(AND($C7="Gate",ISERROR(MATCH($B7,'Read me'!$B$56:$B$65,0))),"△ Not a gate name on Read me",IF(IF(AND(ISNUMBER($Y7),ISNUMBER($K7)),$Y7&lt;MAX($Y$5:$Y6),FALSE),"△ Original is before the row above's",IF(IF(AND(ISNUMBER($Y7),NOT(ISNUMBER($K7))),$Y7&lt;MAX($Y$5:$Y6),FALSE),"△ Dated before the row above",IF(AND(ISNUMBER($D7),ISNUMBER(Baseline!$C$10),MAX($D7,IF(ISNUMBER($G7),$G7,0))&gt;Baseline!$C$10),"△ After the Planned finish",IF(AND(TRIM($B7)="Close",ISNUMBER($D7),ISNUMBER(Baseline!$C$10),$D7&lt;&gt;Baseline!$C$10),"△ Close isn't dated on the Planned finish",IF(AND(ISNUMBER($G7),ISNUMBER($D7),$G7&lt;$D7),"△ Ends before it starts",IF($X7=1,"△ Arrives after it is needed",IF($U7=1,"△ Nobody answers for it",IF($V7=1,"△ Moved with no change",IF($W7=1,"△ Past the Owner's limit","○ Clear"))))))))))))))</f>
        <v/>
      </c>
      <c r="R7" s="24">
        <f>IF(COUNTA($B7:$L7)&gt;0,1,0)</f>
        <v/>
      </c>
      <c r="S7" s="40">
        <f>IF($R7=0,"",IF(ISNUMBER($E7),$E7,$D7))</f>
        <v/>
      </c>
      <c r="T7" s="24">
        <f>IF($R7=0,0,IF(OR(AND(TRIM($B7)&lt;&gt;"",SUMPRODUCT(--($B$6:$B$44=$B7))&gt;1),ISERROR(MATCH($C7,{"Gate","Milestone","Need","Event"},0)),NOT(ISNUMBER($D7)),AND($C7="Gate",ISERROR(MATCH($B7,'Read me'!$B$56:$B$65,0))),IF(AND(ISNUMBER($Y7),ISNUMBER($K7)),$Y7&lt;MAX($Y$5:$Y6),FALSE),IF(AND(ISNUMBER($Y7),NOT(ISNUMBER($K7))),$Y7&lt;MAX($Y$5:$Y6),FALSE),AND(ISNUMBER($D7),ISNUMBER(Baseline!$C$10),MAX($D7,IF(ISNUMBER($G7),$G7,0))&gt;Baseline!$C$10),AND(TRIM($B7)="Close",ISNUMBER($D7),ISNUMBER(Baseline!$C$10),$D7&lt;&gt;Baseline!$C$10),AND(ISNUMBER($G7),ISNUMBER($D7),$G7&lt;$D7)),1,0))</f>
        <v/>
      </c>
      <c r="U7" s="24">
        <f>IF(OR($R7=0,$F7&lt;&gt;"",AND($C7&lt;&gt;"Gate",$C7&lt;&gt;"Milestone",$C7&lt;&gt;"Need")),0,IF(TRIM($H7)="",1,0))</f>
        <v/>
      </c>
      <c r="V7" s="24">
        <f>IF(OR($R7=0,$F7&lt;&gt;"",$C7="Need",$C7="Event",Baseline!$C$13=""),0,IF(OR(AND(N($M7)&gt;0,SUMPRODUCT(--(Changes!$I$6:$I$55="Raised"),--(((Changes!$E$6:$E$55=$B7)+(LEFT($B7,LEN(Changes!$E$6:$E$55)+1)=Changes!$E$6:$E$55&amp;"."))&gt;0))=0),AND(ISNUMBER($K7),ISNUMBER($D7),$D7&lt;&gt;$K7,SUMPRODUCT(--(Changes!$I$6:$I$55="Approved"),--(((Changes!$E$6:$E$55=$B7)+(LEFT($B7,LEN(Changes!$E$6:$E$55)+1)=Changes!$E$6:$E$55&amp;"."))&gt;0))=0)),1,0))</f>
        <v/>
      </c>
      <c r="W7" s="24">
        <f>IF(OR($R7=0,$F7&lt;&gt;"",$C7="Need",$C7="Event",NOT(ISNUMBER(Baseline!$C$15))),0,IF(N($M7)&gt;Baseline!$C$15,1,0))</f>
        <v/>
      </c>
      <c r="X7" s="24">
        <f>IF(OR($R7=0,$F7&lt;&gt;"",$C7&lt;&gt;"Need"),0,IF(N($M7)&gt;0,1,0))</f>
        <v/>
      </c>
      <c r="Y7" s="40">
        <f>IF($R7=0,"",IF(ISNUMBER($K7),$K7,IF(ISNUMBER($D7),$D7,"")))</f>
        <v/>
      </c>
    </row>
    <row r="8">
      <c r="A8" s="37">
        <f>IF($R8=0,"",ROW()-5)</f>
        <v/>
      </c>
      <c r="B8" s="23" t="n"/>
      <c r="C8" s="35" t="n"/>
      <c r="D8" s="38" t="n"/>
      <c r="E8" s="38" t="n"/>
      <c r="F8" s="38" t="n"/>
      <c r="G8" s="38" t="n"/>
      <c r="H8" s="23" t="n"/>
      <c r="I8" s="25" t="n"/>
      <c r="J8" s="23" t="n"/>
      <c r="K8" s="38" t="n"/>
      <c r="L8" s="23" t="n"/>
      <c r="M8" s="37">
        <f>IF(OR($R8=0,$F8&lt;&gt;"",NOT(ISNUMBER($D8)),NOT(ISNUMBER($S8))),"",IF($S8&lt;=$D8,0,NETWORKDAYS($D8+1,$S8)))</f>
        <v/>
      </c>
      <c r="N8" s="39">
        <f>IF(OR($R8=0,$F8&lt;&gt;"",$C8="Need",$C8="Event",NOT(ISNUMBER($D8))),"",IF(OR($D8&lt;Baseline!$K$5,N($M8)&gt;N(Baseline!$C$23)),"Red",IF(N($M8)&gt;0,"Amber","Green")))</f>
        <v/>
      </c>
      <c r="O8" s="37">
        <f>IF(OR($R8=0,NOT(ISNUMBER($K8))),"",IF(ISNUMBER($F8),IF($F8&lt;=$K8,0,NETWORKDAYS($K8+1,$F8)),IF(NOT(ISNUMBER($S8)),"",IF($S8&lt;=$K8,0,NETWORKDAYS($K8+1,$S8)))))</f>
        <v/>
      </c>
      <c r="P8" s="28">
        <f>IF($R8=0,"",IF(AND(TRIM($B8)&lt;&gt;"",SUMPRODUCT(--($B$6:$B$44=$B8))&gt;1),"△ Name used twice",IF(ISERROR(MATCH($C8,{"Gate","Milestone","Need","Event"},0)),"△ No kind",IF(NOT(ISNUMBER($D8)),"△ Baselined isn't a date",IF(AND($C8="Gate",ISERROR(MATCH($B8,'Read me'!$B$56:$B$65,0))),"△ Not a gate name on Read me",IF(IF(AND(ISNUMBER($Y8),ISNUMBER($K8)),$Y8&lt;MAX($Y$5:$Y7),FALSE),"△ Original is before the row above's",IF(IF(AND(ISNUMBER($Y8),NOT(ISNUMBER($K8))),$Y8&lt;MAX($Y$5:$Y7),FALSE),"△ Dated before the row above",IF(AND(ISNUMBER($D8),ISNUMBER(Baseline!$C$10),MAX($D8,IF(ISNUMBER($G8),$G8,0))&gt;Baseline!$C$10),"△ After the Planned finish",IF(AND(TRIM($B8)="Close",ISNUMBER($D8),ISNUMBER(Baseline!$C$10),$D8&lt;&gt;Baseline!$C$10),"△ Close isn't dated on the Planned finish",IF(AND(ISNUMBER($G8),ISNUMBER($D8),$G8&lt;$D8),"△ Ends before it starts",IF($X8=1,"△ Arrives after it is needed",IF($U8=1,"△ Nobody answers for it",IF($V8=1,"△ Moved with no change",IF($W8=1,"△ Past the Owner's limit","○ Clear"))))))))))))))</f>
        <v/>
      </c>
      <c r="R8" s="24">
        <f>IF(COUNTA($B8:$L8)&gt;0,1,0)</f>
        <v/>
      </c>
      <c r="S8" s="40">
        <f>IF($R8=0,"",IF(ISNUMBER($E8),$E8,$D8))</f>
        <v/>
      </c>
      <c r="T8" s="24">
        <f>IF($R8=0,0,IF(OR(AND(TRIM($B8)&lt;&gt;"",SUMPRODUCT(--($B$6:$B$44=$B8))&gt;1),ISERROR(MATCH($C8,{"Gate","Milestone","Need","Event"},0)),NOT(ISNUMBER($D8)),AND($C8="Gate",ISERROR(MATCH($B8,'Read me'!$B$56:$B$65,0))),IF(AND(ISNUMBER($Y8),ISNUMBER($K8)),$Y8&lt;MAX($Y$5:$Y7),FALSE),IF(AND(ISNUMBER($Y8),NOT(ISNUMBER($K8))),$Y8&lt;MAX($Y$5:$Y7),FALSE),AND(ISNUMBER($D8),ISNUMBER(Baseline!$C$10),MAX($D8,IF(ISNUMBER($G8),$G8,0))&gt;Baseline!$C$10),AND(TRIM($B8)="Close",ISNUMBER($D8),ISNUMBER(Baseline!$C$10),$D8&lt;&gt;Baseline!$C$10),AND(ISNUMBER($G8),ISNUMBER($D8),$G8&lt;$D8)),1,0))</f>
        <v/>
      </c>
      <c r="U8" s="24">
        <f>IF(OR($R8=0,$F8&lt;&gt;"",AND($C8&lt;&gt;"Gate",$C8&lt;&gt;"Milestone",$C8&lt;&gt;"Need")),0,IF(TRIM($H8)="",1,0))</f>
        <v/>
      </c>
      <c r="V8" s="24">
        <f>IF(OR($R8=0,$F8&lt;&gt;"",$C8="Need",$C8="Event",Baseline!$C$13=""),0,IF(OR(AND(N($M8)&gt;0,SUMPRODUCT(--(Changes!$I$6:$I$55="Raised"),--(((Changes!$E$6:$E$55=$B8)+(LEFT($B8,LEN(Changes!$E$6:$E$55)+1)=Changes!$E$6:$E$55&amp;"."))&gt;0))=0),AND(ISNUMBER($K8),ISNUMBER($D8),$D8&lt;&gt;$K8,SUMPRODUCT(--(Changes!$I$6:$I$55="Approved"),--(((Changes!$E$6:$E$55=$B8)+(LEFT($B8,LEN(Changes!$E$6:$E$55)+1)=Changes!$E$6:$E$55&amp;"."))&gt;0))=0)),1,0))</f>
        <v/>
      </c>
      <c r="W8" s="24">
        <f>IF(OR($R8=0,$F8&lt;&gt;"",$C8="Need",$C8="Event",NOT(ISNUMBER(Baseline!$C$15))),0,IF(N($M8)&gt;Baseline!$C$15,1,0))</f>
        <v/>
      </c>
      <c r="X8" s="24">
        <f>IF(OR($R8=0,$F8&lt;&gt;"",$C8&lt;&gt;"Need"),0,IF(N($M8)&gt;0,1,0))</f>
        <v/>
      </c>
      <c r="Y8" s="40">
        <f>IF($R8=0,"",IF(ISNUMBER($K8),$K8,IF(ISNUMBER($D8),$D8,"")))</f>
        <v/>
      </c>
    </row>
    <row r="9">
      <c r="A9" s="37">
        <f>IF($R9=0,"",ROW()-5)</f>
        <v/>
      </c>
      <c r="B9" s="23" t="n"/>
      <c r="C9" s="35" t="n"/>
      <c r="D9" s="38" t="n"/>
      <c r="E9" s="38" t="n"/>
      <c r="F9" s="38" t="n"/>
      <c r="G9" s="38" t="n"/>
      <c r="H9" s="23" t="n"/>
      <c r="I9" s="25" t="n"/>
      <c r="J9" s="23" t="n"/>
      <c r="K9" s="38" t="n"/>
      <c r="L9" s="23" t="n"/>
      <c r="M9" s="37">
        <f>IF(OR($R9=0,$F9&lt;&gt;"",NOT(ISNUMBER($D9)),NOT(ISNUMBER($S9))),"",IF($S9&lt;=$D9,0,NETWORKDAYS($D9+1,$S9)))</f>
        <v/>
      </c>
      <c r="N9" s="39">
        <f>IF(OR($R9=0,$F9&lt;&gt;"",$C9="Need",$C9="Event",NOT(ISNUMBER($D9))),"",IF(OR($D9&lt;Baseline!$K$5,N($M9)&gt;N(Baseline!$C$23)),"Red",IF(N($M9)&gt;0,"Amber","Green")))</f>
        <v/>
      </c>
      <c r="O9" s="37">
        <f>IF(OR($R9=0,NOT(ISNUMBER($K9))),"",IF(ISNUMBER($F9),IF($F9&lt;=$K9,0,NETWORKDAYS($K9+1,$F9)),IF(NOT(ISNUMBER($S9)),"",IF($S9&lt;=$K9,0,NETWORKDAYS($K9+1,$S9)))))</f>
        <v/>
      </c>
      <c r="P9" s="28">
        <f>IF($R9=0,"",IF(AND(TRIM($B9)&lt;&gt;"",SUMPRODUCT(--($B$6:$B$44=$B9))&gt;1),"△ Name used twice",IF(ISERROR(MATCH($C9,{"Gate","Milestone","Need","Event"},0)),"△ No kind",IF(NOT(ISNUMBER($D9)),"△ Baselined isn't a date",IF(AND($C9="Gate",ISERROR(MATCH($B9,'Read me'!$B$56:$B$65,0))),"△ Not a gate name on Read me",IF(IF(AND(ISNUMBER($Y9),ISNUMBER($K9)),$Y9&lt;MAX($Y$5:$Y8),FALSE),"△ Original is before the row above's",IF(IF(AND(ISNUMBER($Y9),NOT(ISNUMBER($K9))),$Y9&lt;MAX($Y$5:$Y8),FALSE),"△ Dated before the row above",IF(AND(ISNUMBER($D9),ISNUMBER(Baseline!$C$10),MAX($D9,IF(ISNUMBER($G9),$G9,0))&gt;Baseline!$C$10),"△ After the Planned finish",IF(AND(TRIM($B9)="Close",ISNUMBER($D9),ISNUMBER(Baseline!$C$10),$D9&lt;&gt;Baseline!$C$10),"△ Close isn't dated on the Planned finish",IF(AND(ISNUMBER($G9),ISNUMBER($D9),$G9&lt;$D9),"△ Ends before it starts",IF($X9=1,"△ Arrives after it is needed",IF($U9=1,"△ Nobody answers for it",IF($V9=1,"△ Moved with no change",IF($W9=1,"△ Past the Owner's limit","○ Clear"))))))))))))))</f>
        <v/>
      </c>
      <c r="R9" s="24">
        <f>IF(COUNTA($B9:$L9)&gt;0,1,0)</f>
        <v/>
      </c>
      <c r="S9" s="40">
        <f>IF($R9=0,"",IF(ISNUMBER($E9),$E9,$D9))</f>
        <v/>
      </c>
      <c r="T9" s="24">
        <f>IF($R9=0,0,IF(OR(AND(TRIM($B9)&lt;&gt;"",SUMPRODUCT(--($B$6:$B$44=$B9))&gt;1),ISERROR(MATCH($C9,{"Gate","Milestone","Need","Event"},0)),NOT(ISNUMBER($D9)),AND($C9="Gate",ISERROR(MATCH($B9,'Read me'!$B$56:$B$65,0))),IF(AND(ISNUMBER($Y9),ISNUMBER($K9)),$Y9&lt;MAX($Y$5:$Y8),FALSE),IF(AND(ISNUMBER($Y9),NOT(ISNUMBER($K9))),$Y9&lt;MAX($Y$5:$Y8),FALSE),AND(ISNUMBER($D9),ISNUMBER(Baseline!$C$10),MAX($D9,IF(ISNUMBER($G9),$G9,0))&gt;Baseline!$C$10),AND(TRIM($B9)="Close",ISNUMBER($D9),ISNUMBER(Baseline!$C$10),$D9&lt;&gt;Baseline!$C$10),AND(ISNUMBER($G9),ISNUMBER($D9),$G9&lt;$D9)),1,0))</f>
        <v/>
      </c>
      <c r="U9" s="24">
        <f>IF(OR($R9=0,$F9&lt;&gt;"",AND($C9&lt;&gt;"Gate",$C9&lt;&gt;"Milestone",$C9&lt;&gt;"Need")),0,IF(TRIM($H9)="",1,0))</f>
        <v/>
      </c>
      <c r="V9" s="24">
        <f>IF(OR($R9=0,$F9&lt;&gt;"",$C9="Need",$C9="Event",Baseline!$C$13=""),0,IF(OR(AND(N($M9)&gt;0,SUMPRODUCT(--(Changes!$I$6:$I$55="Raised"),--(((Changes!$E$6:$E$55=$B9)+(LEFT($B9,LEN(Changes!$E$6:$E$55)+1)=Changes!$E$6:$E$55&amp;"."))&gt;0))=0),AND(ISNUMBER($K9),ISNUMBER($D9),$D9&lt;&gt;$K9,SUMPRODUCT(--(Changes!$I$6:$I$55="Approved"),--(((Changes!$E$6:$E$55=$B9)+(LEFT($B9,LEN(Changes!$E$6:$E$55)+1)=Changes!$E$6:$E$55&amp;"."))&gt;0))=0)),1,0))</f>
        <v/>
      </c>
      <c r="W9" s="24">
        <f>IF(OR($R9=0,$F9&lt;&gt;"",$C9="Need",$C9="Event",NOT(ISNUMBER(Baseline!$C$15))),0,IF(N($M9)&gt;Baseline!$C$15,1,0))</f>
        <v/>
      </c>
      <c r="X9" s="24">
        <f>IF(OR($R9=0,$F9&lt;&gt;"",$C9&lt;&gt;"Need"),0,IF(N($M9)&gt;0,1,0))</f>
        <v/>
      </c>
      <c r="Y9" s="40">
        <f>IF($R9=0,"",IF(ISNUMBER($K9),$K9,IF(ISNUMBER($D9),$D9,"")))</f>
        <v/>
      </c>
    </row>
    <row r="10">
      <c r="A10" s="37">
        <f>IF($R10=0,"",ROW()-5)</f>
        <v/>
      </c>
      <c r="B10" s="23" t="n"/>
      <c r="C10" s="35" t="n"/>
      <c r="D10" s="38" t="n"/>
      <c r="E10" s="38" t="n"/>
      <c r="F10" s="38" t="n"/>
      <c r="G10" s="38" t="n"/>
      <c r="H10" s="23" t="n"/>
      <c r="I10" s="25" t="n"/>
      <c r="J10" s="23" t="n"/>
      <c r="K10" s="38" t="n"/>
      <c r="L10" s="23" t="n"/>
      <c r="M10" s="37">
        <f>IF(OR($R10=0,$F10&lt;&gt;"",NOT(ISNUMBER($D10)),NOT(ISNUMBER($S10))),"",IF($S10&lt;=$D10,0,NETWORKDAYS($D10+1,$S10)))</f>
        <v/>
      </c>
      <c r="N10" s="39">
        <f>IF(OR($R10=0,$F10&lt;&gt;"",$C10="Need",$C10="Event",NOT(ISNUMBER($D10))),"",IF(OR($D10&lt;Baseline!$K$5,N($M10)&gt;N(Baseline!$C$23)),"Red",IF(N($M10)&gt;0,"Amber","Green")))</f>
        <v/>
      </c>
      <c r="O10" s="37">
        <f>IF(OR($R10=0,NOT(ISNUMBER($K10))),"",IF(ISNUMBER($F10),IF($F10&lt;=$K10,0,NETWORKDAYS($K10+1,$F10)),IF(NOT(ISNUMBER($S10)),"",IF($S10&lt;=$K10,0,NETWORKDAYS($K10+1,$S10)))))</f>
        <v/>
      </c>
      <c r="P10" s="28">
        <f>IF($R10=0,"",IF(AND(TRIM($B10)&lt;&gt;"",SUMPRODUCT(--($B$6:$B$44=$B10))&gt;1),"△ Name used twice",IF(ISERROR(MATCH($C10,{"Gate","Milestone","Need","Event"},0)),"△ No kind",IF(NOT(ISNUMBER($D10)),"△ Baselined isn't a date",IF(AND($C10="Gate",ISERROR(MATCH($B10,'Read me'!$B$56:$B$65,0))),"△ Not a gate name on Read me",IF(IF(AND(ISNUMBER($Y10),ISNUMBER($K10)),$Y10&lt;MAX($Y$5:$Y9),FALSE),"△ Original is before the row above's",IF(IF(AND(ISNUMBER($Y10),NOT(ISNUMBER($K10))),$Y10&lt;MAX($Y$5:$Y9),FALSE),"△ Dated before the row above",IF(AND(ISNUMBER($D10),ISNUMBER(Baseline!$C$10),MAX($D10,IF(ISNUMBER($G10),$G10,0))&gt;Baseline!$C$10),"△ After the Planned finish",IF(AND(TRIM($B10)="Close",ISNUMBER($D10),ISNUMBER(Baseline!$C$10),$D10&lt;&gt;Baseline!$C$10),"△ Close isn't dated on the Planned finish",IF(AND(ISNUMBER($G10),ISNUMBER($D10),$G10&lt;$D10),"△ Ends before it starts",IF($X10=1,"△ Arrives after it is needed",IF($U10=1,"△ Nobody answers for it",IF($V10=1,"△ Moved with no change",IF($W10=1,"△ Past the Owner's limit","○ Clear"))))))))))))))</f>
        <v/>
      </c>
      <c r="R10" s="24">
        <f>IF(COUNTA($B10:$L10)&gt;0,1,0)</f>
        <v/>
      </c>
      <c r="S10" s="40">
        <f>IF($R10=0,"",IF(ISNUMBER($E10),$E10,$D10))</f>
        <v/>
      </c>
      <c r="T10" s="24">
        <f>IF($R10=0,0,IF(OR(AND(TRIM($B10)&lt;&gt;"",SUMPRODUCT(--($B$6:$B$44=$B10))&gt;1),ISERROR(MATCH($C10,{"Gate","Milestone","Need","Event"},0)),NOT(ISNUMBER($D10)),AND($C10="Gate",ISERROR(MATCH($B10,'Read me'!$B$56:$B$65,0))),IF(AND(ISNUMBER($Y10),ISNUMBER($K10)),$Y10&lt;MAX($Y$5:$Y9),FALSE),IF(AND(ISNUMBER($Y10),NOT(ISNUMBER($K10))),$Y10&lt;MAX($Y$5:$Y9),FALSE),AND(ISNUMBER($D10),ISNUMBER(Baseline!$C$10),MAX($D10,IF(ISNUMBER($G10),$G10,0))&gt;Baseline!$C$10),AND(TRIM($B10)="Close",ISNUMBER($D10),ISNUMBER(Baseline!$C$10),$D10&lt;&gt;Baseline!$C$10),AND(ISNUMBER($G10),ISNUMBER($D10),$G10&lt;$D10)),1,0))</f>
        <v/>
      </c>
      <c r="U10" s="24">
        <f>IF(OR($R10=0,$F10&lt;&gt;"",AND($C10&lt;&gt;"Gate",$C10&lt;&gt;"Milestone",$C10&lt;&gt;"Need")),0,IF(TRIM($H10)="",1,0))</f>
        <v/>
      </c>
      <c r="V10" s="24">
        <f>IF(OR($R10=0,$F10&lt;&gt;"",$C10="Need",$C10="Event",Baseline!$C$13=""),0,IF(OR(AND(N($M10)&gt;0,SUMPRODUCT(--(Changes!$I$6:$I$55="Raised"),--(((Changes!$E$6:$E$55=$B10)+(LEFT($B10,LEN(Changes!$E$6:$E$55)+1)=Changes!$E$6:$E$55&amp;"."))&gt;0))=0),AND(ISNUMBER($K10),ISNUMBER($D10),$D10&lt;&gt;$K10,SUMPRODUCT(--(Changes!$I$6:$I$55="Approved"),--(((Changes!$E$6:$E$55=$B10)+(LEFT($B10,LEN(Changes!$E$6:$E$55)+1)=Changes!$E$6:$E$55&amp;"."))&gt;0))=0)),1,0))</f>
        <v/>
      </c>
      <c r="W10" s="24">
        <f>IF(OR($R10=0,$F10&lt;&gt;"",$C10="Need",$C10="Event",NOT(ISNUMBER(Baseline!$C$15))),0,IF(N($M10)&gt;Baseline!$C$15,1,0))</f>
        <v/>
      </c>
      <c r="X10" s="24">
        <f>IF(OR($R10=0,$F10&lt;&gt;"",$C10&lt;&gt;"Need"),0,IF(N($M10)&gt;0,1,0))</f>
        <v/>
      </c>
      <c r="Y10" s="40">
        <f>IF($R10=0,"",IF(ISNUMBER($K10),$K10,IF(ISNUMBER($D10),$D10,"")))</f>
        <v/>
      </c>
    </row>
    <row r="11">
      <c r="A11" s="37">
        <f>IF($R11=0,"",ROW()-5)</f>
        <v/>
      </c>
      <c r="B11" s="23" t="n"/>
      <c r="C11" s="35" t="n"/>
      <c r="D11" s="38" t="n"/>
      <c r="E11" s="38" t="n"/>
      <c r="F11" s="38" t="n"/>
      <c r="G11" s="38" t="n"/>
      <c r="H11" s="23" t="n"/>
      <c r="I11" s="25" t="n"/>
      <c r="J11" s="23" t="n"/>
      <c r="K11" s="38" t="n"/>
      <c r="L11" s="23" t="n"/>
      <c r="M11" s="37">
        <f>IF(OR($R11=0,$F11&lt;&gt;"",NOT(ISNUMBER($D11)),NOT(ISNUMBER($S11))),"",IF($S11&lt;=$D11,0,NETWORKDAYS($D11+1,$S11)))</f>
        <v/>
      </c>
      <c r="N11" s="39">
        <f>IF(OR($R11=0,$F11&lt;&gt;"",$C11="Need",$C11="Event",NOT(ISNUMBER($D11))),"",IF(OR($D11&lt;Baseline!$K$5,N($M11)&gt;N(Baseline!$C$23)),"Red",IF(N($M11)&gt;0,"Amber","Green")))</f>
        <v/>
      </c>
      <c r="O11" s="37">
        <f>IF(OR($R11=0,NOT(ISNUMBER($K11))),"",IF(ISNUMBER($F11),IF($F11&lt;=$K11,0,NETWORKDAYS($K11+1,$F11)),IF(NOT(ISNUMBER($S11)),"",IF($S11&lt;=$K11,0,NETWORKDAYS($K11+1,$S11)))))</f>
        <v/>
      </c>
      <c r="P11" s="28">
        <f>IF($R11=0,"",IF(AND(TRIM($B11)&lt;&gt;"",SUMPRODUCT(--($B$6:$B$44=$B11))&gt;1),"△ Name used twice",IF(ISERROR(MATCH($C11,{"Gate","Milestone","Need","Event"},0)),"△ No kind",IF(NOT(ISNUMBER($D11)),"△ Baselined isn't a date",IF(AND($C11="Gate",ISERROR(MATCH($B11,'Read me'!$B$56:$B$65,0))),"△ Not a gate name on Read me",IF(IF(AND(ISNUMBER($Y11),ISNUMBER($K11)),$Y11&lt;MAX($Y$5:$Y10),FALSE),"△ Original is before the row above's",IF(IF(AND(ISNUMBER($Y11),NOT(ISNUMBER($K11))),$Y11&lt;MAX($Y$5:$Y10),FALSE),"△ Dated before the row above",IF(AND(ISNUMBER($D11),ISNUMBER(Baseline!$C$10),MAX($D11,IF(ISNUMBER($G11),$G11,0))&gt;Baseline!$C$10),"△ After the Planned finish",IF(AND(TRIM($B11)="Close",ISNUMBER($D11),ISNUMBER(Baseline!$C$10),$D11&lt;&gt;Baseline!$C$10),"△ Close isn't dated on the Planned finish",IF(AND(ISNUMBER($G11),ISNUMBER($D11),$G11&lt;$D11),"△ Ends before it starts",IF($X11=1,"△ Arrives after it is needed",IF($U11=1,"△ Nobody answers for it",IF($V11=1,"△ Moved with no change",IF($W11=1,"△ Past the Owner's limit","○ Clear"))))))))))))))</f>
        <v/>
      </c>
      <c r="R11" s="24">
        <f>IF(COUNTA($B11:$L11)&gt;0,1,0)</f>
        <v/>
      </c>
      <c r="S11" s="40">
        <f>IF($R11=0,"",IF(ISNUMBER($E11),$E11,$D11))</f>
        <v/>
      </c>
      <c r="T11" s="24">
        <f>IF($R11=0,0,IF(OR(AND(TRIM($B11)&lt;&gt;"",SUMPRODUCT(--($B$6:$B$44=$B11))&gt;1),ISERROR(MATCH($C11,{"Gate","Milestone","Need","Event"},0)),NOT(ISNUMBER($D11)),AND($C11="Gate",ISERROR(MATCH($B11,'Read me'!$B$56:$B$65,0))),IF(AND(ISNUMBER($Y11),ISNUMBER($K11)),$Y11&lt;MAX($Y$5:$Y10),FALSE),IF(AND(ISNUMBER($Y11),NOT(ISNUMBER($K11))),$Y11&lt;MAX($Y$5:$Y10),FALSE),AND(ISNUMBER($D11),ISNUMBER(Baseline!$C$10),MAX($D11,IF(ISNUMBER($G11),$G11,0))&gt;Baseline!$C$10),AND(TRIM($B11)="Close",ISNUMBER($D11),ISNUMBER(Baseline!$C$10),$D11&lt;&gt;Baseline!$C$10),AND(ISNUMBER($G11),ISNUMBER($D11),$G11&lt;$D11)),1,0))</f>
        <v/>
      </c>
      <c r="U11" s="24">
        <f>IF(OR($R11=0,$F11&lt;&gt;"",AND($C11&lt;&gt;"Gate",$C11&lt;&gt;"Milestone",$C11&lt;&gt;"Need")),0,IF(TRIM($H11)="",1,0))</f>
        <v/>
      </c>
      <c r="V11" s="24">
        <f>IF(OR($R11=0,$F11&lt;&gt;"",$C11="Need",$C11="Event",Baseline!$C$13=""),0,IF(OR(AND(N($M11)&gt;0,SUMPRODUCT(--(Changes!$I$6:$I$55="Raised"),--(((Changes!$E$6:$E$55=$B11)+(LEFT($B11,LEN(Changes!$E$6:$E$55)+1)=Changes!$E$6:$E$55&amp;"."))&gt;0))=0),AND(ISNUMBER($K11),ISNUMBER($D11),$D11&lt;&gt;$K11,SUMPRODUCT(--(Changes!$I$6:$I$55="Approved"),--(((Changes!$E$6:$E$55=$B11)+(LEFT($B11,LEN(Changes!$E$6:$E$55)+1)=Changes!$E$6:$E$55&amp;"."))&gt;0))=0)),1,0))</f>
        <v/>
      </c>
      <c r="W11" s="24">
        <f>IF(OR($R11=0,$F11&lt;&gt;"",$C11="Need",$C11="Event",NOT(ISNUMBER(Baseline!$C$15))),0,IF(N($M11)&gt;Baseline!$C$15,1,0))</f>
        <v/>
      </c>
      <c r="X11" s="24">
        <f>IF(OR($R11=0,$F11&lt;&gt;"",$C11&lt;&gt;"Need"),0,IF(N($M11)&gt;0,1,0))</f>
        <v/>
      </c>
      <c r="Y11" s="40">
        <f>IF($R11=0,"",IF(ISNUMBER($K11),$K11,IF(ISNUMBER($D11),$D11,"")))</f>
        <v/>
      </c>
    </row>
    <row r="12">
      <c r="A12" s="37">
        <f>IF($R12=0,"",ROW()-5)</f>
        <v/>
      </c>
      <c r="B12" s="23" t="n"/>
      <c r="C12" s="35" t="n"/>
      <c r="D12" s="38" t="n"/>
      <c r="E12" s="38" t="n"/>
      <c r="F12" s="38" t="n"/>
      <c r="G12" s="38" t="n"/>
      <c r="H12" s="23" t="n"/>
      <c r="I12" s="25" t="n"/>
      <c r="J12" s="23" t="n"/>
      <c r="K12" s="38" t="n"/>
      <c r="L12" s="23" t="n"/>
      <c r="M12" s="37">
        <f>IF(OR($R12=0,$F12&lt;&gt;"",NOT(ISNUMBER($D12)),NOT(ISNUMBER($S12))),"",IF($S12&lt;=$D12,0,NETWORKDAYS($D12+1,$S12)))</f>
        <v/>
      </c>
      <c r="N12" s="39">
        <f>IF(OR($R12=0,$F12&lt;&gt;"",$C12="Need",$C12="Event",NOT(ISNUMBER($D12))),"",IF(OR($D12&lt;Baseline!$K$5,N($M12)&gt;N(Baseline!$C$23)),"Red",IF(N($M12)&gt;0,"Amber","Green")))</f>
        <v/>
      </c>
      <c r="O12" s="37">
        <f>IF(OR($R12=0,NOT(ISNUMBER($K12))),"",IF(ISNUMBER($F12),IF($F12&lt;=$K12,0,NETWORKDAYS($K12+1,$F12)),IF(NOT(ISNUMBER($S12)),"",IF($S12&lt;=$K12,0,NETWORKDAYS($K12+1,$S12)))))</f>
        <v/>
      </c>
      <c r="P12" s="28">
        <f>IF($R12=0,"",IF(AND(TRIM($B12)&lt;&gt;"",SUMPRODUCT(--($B$6:$B$44=$B12))&gt;1),"△ Name used twice",IF(ISERROR(MATCH($C12,{"Gate","Milestone","Need","Event"},0)),"△ No kind",IF(NOT(ISNUMBER($D12)),"△ Baselined isn't a date",IF(AND($C12="Gate",ISERROR(MATCH($B12,'Read me'!$B$56:$B$65,0))),"△ Not a gate name on Read me",IF(IF(AND(ISNUMBER($Y12),ISNUMBER($K12)),$Y12&lt;MAX($Y$5:$Y11),FALSE),"△ Original is before the row above's",IF(IF(AND(ISNUMBER($Y12),NOT(ISNUMBER($K12))),$Y12&lt;MAX($Y$5:$Y11),FALSE),"△ Dated before the row above",IF(AND(ISNUMBER($D12),ISNUMBER(Baseline!$C$10),MAX($D12,IF(ISNUMBER($G12),$G12,0))&gt;Baseline!$C$10),"△ After the Planned finish",IF(AND(TRIM($B12)="Close",ISNUMBER($D12),ISNUMBER(Baseline!$C$10),$D12&lt;&gt;Baseline!$C$10),"△ Close isn't dated on the Planned finish",IF(AND(ISNUMBER($G12),ISNUMBER($D12),$G12&lt;$D12),"△ Ends before it starts",IF($X12=1,"△ Arrives after it is needed",IF($U12=1,"△ Nobody answers for it",IF($V12=1,"△ Moved with no change",IF($W12=1,"△ Past the Owner's limit","○ Clear"))))))))))))))</f>
        <v/>
      </c>
      <c r="R12" s="24">
        <f>IF(COUNTA($B12:$L12)&gt;0,1,0)</f>
        <v/>
      </c>
      <c r="S12" s="40">
        <f>IF($R12=0,"",IF(ISNUMBER($E12),$E12,$D12))</f>
        <v/>
      </c>
      <c r="T12" s="24">
        <f>IF($R12=0,0,IF(OR(AND(TRIM($B12)&lt;&gt;"",SUMPRODUCT(--($B$6:$B$44=$B12))&gt;1),ISERROR(MATCH($C12,{"Gate","Milestone","Need","Event"},0)),NOT(ISNUMBER($D12)),AND($C12="Gate",ISERROR(MATCH($B12,'Read me'!$B$56:$B$65,0))),IF(AND(ISNUMBER($Y12),ISNUMBER($K12)),$Y12&lt;MAX($Y$5:$Y11),FALSE),IF(AND(ISNUMBER($Y12),NOT(ISNUMBER($K12))),$Y12&lt;MAX($Y$5:$Y11),FALSE),AND(ISNUMBER($D12),ISNUMBER(Baseline!$C$10),MAX($D12,IF(ISNUMBER($G12),$G12,0))&gt;Baseline!$C$10),AND(TRIM($B12)="Close",ISNUMBER($D12),ISNUMBER(Baseline!$C$10),$D12&lt;&gt;Baseline!$C$10),AND(ISNUMBER($G12),ISNUMBER($D12),$G12&lt;$D12)),1,0))</f>
        <v/>
      </c>
      <c r="U12" s="24">
        <f>IF(OR($R12=0,$F12&lt;&gt;"",AND($C12&lt;&gt;"Gate",$C12&lt;&gt;"Milestone",$C12&lt;&gt;"Need")),0,IF(TRIM($H12)="",1,0))</f>
        <v/>
      </c>
      <c r="V12" s="24">
        <f>IF(OR($R12=0,$F12&lt;&gt;"",$C12="Need",$C12="Event",Baseline!$C$13=""),0,IF(OR(AND(N($M12)&gt;0,SUMPRODUCT(--(Changes!$I$6:$I$55="Raised"),--(((Changes!$E$6:$E$55=$B12)+(LEFT($B12,LEN(Changes!$E$6:$E$55)+1)=Changes!$E$6:$E$55&amp;"."))&gt;0))=0),AND(ISNUMBER($K12),ISNUMBER($D12),$D12&lt;&gt;$K12,SUMPRODUCT(--(Changes!$I$6:$I$55="Approved"),--(((Changes!$E$6:$E$55=$B12)+(LEFT($B12,LEN(Changes!$E$6:$E$55)+1)=Changes!$E$6:$E$55&amp;"."))&gt;0))=0)),1,0))</f>
        <v/>
      </c>
      <c r="W12" s="24">
        <f>IF(OR($R12=0,$F12&lt;&gt;"",$C12="Need",$C12="Event",NOT(ISNUMBER(Baseline!$C$15))),0,IF(N($M12)&gt;Baseline!$C$15,1,0))</f>
        <v/>
      </c>
      <c r="X12" s="24">
        <f>IF(OR($R12=0,$F12&lt;&gt;"",$C12&lt;&gt;"Need"),0,IF(N($M12)&gt;0,1,0))</f>
        <v/>
      </c>
      <c r="Y12" s="40">
        <f>IF($R12=0,"",IF(ISNUMBER($K12),$K12,IF(ISNUMBER($D12),$D12,"")))</f>
        <v/>
      </c>
    </row>
    <row r="13">
      <c r="A13" s="37">
        <f>IF($R13=0,"",ROW()-5)</f>
        <v/>
      </c>
      <c r="B13" s="23" t="n"/>
      <c r="C13" s="35" t="n"/>
      <c r="D13" s="38" t="n"/>
      <c r="E13" s="38" t="n"/>
      <c r="F13" s="38" t="n"/>
      <c r="G13" s="38" t="n"/>
      <c r="H13" s="23" t="n"/>
      <c r="I13" s="25" t="n"/>
      <c r="J13" s="23" t="n"/>
      <c r="K13" s="38" t="n"/>
      <c r="L13" s="23" t="n"/>
      <c r="M13" s="37">
        <f>IF(OR($R13=0,$F13&lt;&gt;"",NOT(ISNUMBER($D13)),NOT(ISNUMBER($S13))),"",IF($S13&lt;=$D13,0,NETWORKDAYS($D13+1,$S13)))</f>
        <v/>
      </c>
      <c r="N13" s="39">
        <f>IF(OR($R13=0,$F13&lt;&gt;"",$C13="Need",$C13="Event",NOT(ISNUMBER($D13))),"",IF(OR($D13&lt;Baseline!$K$5,N($M13)&gt;N(Baseline!$C$23)),"Red",IF(N($M13)&gt;0,"Amber","Green")))</f>
        <v/>
      </c>
      <c r="O13" s="37">
        <f>IF(OR($R13=0,NOT(ISNUMBER($K13))),"",IF(ISNUMBER($F13),IF($F13&lt;=$K13,0,NETWORKDAYS($K13+1,$F13)),IF(NOT(ISNUMBER($S13)),"",IF($S13&lt;=$K13,0,NETWORKDAYS($K13+1,$S13)))))</f>
        <v/>
      </c>
      <c r="P13" s="28">
        <f>IF($R13=0,"",IF(AND(TRIM($B13)&lt;&gt;"",SUMPRODUCT(--($B$6:$B$44=$B13))&gt;1),"△ Name used twice",IF(ISERROR(MATCH($C13,{"Gate","Milestone","Need","Event"},0)),"△ No kind",IF(NOT(ISNUMBER($D13)),"△ Baselined isn't a date",IF(AND($C13="Gate",ISERROR(MATCH($B13,'Read me'!$B$56:$B$65,0))),"△ Not a gate name on Read me",IF(IF(AND(ISNUMBER($Y13),ISNUMBER($K13)),$Y13&lt;MAX($Y$5:$Y12),FALSE),"△ Original is before the row above's",IF(IF(AND(ISNUMBER($Y13),NOT(ISNUMBER($K13))),$Y13&lt;MAX($Y$5:$Y12),FALSE),"△ Dated before the row above",IF(AND(ISNUMBER($D13),ISNUMBER(Baseline!$C$10),MAX($D13,IF(ISNUMBER($G13),$G13,0))&gt;Baseline!$C$10),"△ After the Planned finish",IF(AND(TRIM($B13)="Close",ISNUMBER($D13),ISNUMBER(Baseline!$C$10),$D13&lt;&gt;Baseline!$C$10),"△ Close isn't dated on the Planned finish",IF(AND(ISNUMBER($G13),ISNUMBER($D13),$G13&lt;$D13),"△ Ends before it starts",IF($X13=1,"△ Arrives after it is needed",IF($U13=1,"△ Nobody answers for it",IF($V13=1,"△ Moved with no change",IF($W13=1,"△ Past the Owner's limit","○ Clear"))))))))))))))</f>
        <v/>
      </c>
      <c r="R13" s="24">
        <f>IF(COUNTA($B13:$L13)&gt;0,1,0)</f>
        <v/>
      </c>
      <c r="S13" s="40">
        <f>IF($R13=0,"",IF(ISNUMBER($E13),$E13,$D13))</f>
        <v/>
      </c>
      <c r="T13" s="24">
        <f>IF($R13=0,0,IF(OR(AND(TRIM($B13)&lt;&gt;"",SUMPRODUCT(--($B$6:$B$44=$B13))&gt;1),ISERROR(MATCH($C13,{"Gate","Milestone","Need","Event"},0)),NOT(ISNUMBER($D13)),AND($C13="Gate",ISERROR(MATCH($B13,'Read me'!$B$56:$B$65,0))),IF(AND(ISNUMBER($Y13),ISNUMBER($K13)),$Y13&lt;MAX($Y$5:$Y12),FALSE),IF(AND(ISNUMBER($Y13),NOT(ISNUMBER($K13))),$Y13&lt;MAX($Y$5:$Y12),FALSE),AND(ISNUMBER($D13),ISNUMBER(Baseline!$C$10),MAX($D13,IF(ISNUMBER($G13),$G13,0))&gt;Baseline!$C$10),AND(TRIM($B13)="Close",ISNUMBER($D13),ISNUMBER(Baseline!$C$10),$D13&lt;&gt;Baseline!$C$10),AND(ISNUMBER($G13),ISNUMBER($D13),$G13&lt;$D13)),1,0))</f>
        <v/>
      </c>
      <c r="U13" s="24">
        <f>IF(OR($R13=0,$F13&lt;&gt;"",AND($C13&lt;&gt;"Gate",$C13&lt;&gt;"Milestone",$C13&lt;&gt;"Need")),0,IF(TRIM($H13)="",1,0))</f>
        <v/>
      </c>
      <c r="V13" s="24">
        <f>IF(OR($R13=0,$F13&lt;&gt;"",$C13="Need",$C13="Event",Baseline!$C$13=""),0,IF(OR(AND(N($M13)&gt;0,SUMPRODUCT(--(Changes!$I$6:$I$55="Raised"),--(((Changes!$E$6:$E$55=$B13)+(LEFT($B13,LEN(Changes!$E$6:$E$55)+1)=Changes!$E$6:$E$55&amp;"."))&gt;0))=0),AND(ISNUMBER($K13),ISNUMBER($D13),$D13&lt;&gt;$K13,SUMPRODUCT(--(Changes!$I$6:$I$55="Approved"),--(((Changes!$E$6:$E$55=$B13)+(LEFT($B13,LEN(Changes!$E$6:$E$55)+1)=Changes!$E$6:$E$55&amp;"."))&gt;0))=0)),1,0))</f>
        <v/>
      </c>
      <c r="W13" s="24">
        <f>IF(OR($R13=0,$F13&lt;&gt;"",$C13="Need",$C13="Event",NOT(ISNUMBER(Baseline!$C$15))),0,IF(N($M13)&gt;Baseline!$C$15,1,0))</f>
        <v/>
      </c>
      <c r="X13" s="24">
        <f>IF(OR($R13=0,$F13&lt;&gt;"",$C13&lt;&gt;"Need"),0,IF(N($M13)&gt;0,1,0))</f>
        <v/>
      </c>
      <c r="Y13" s="40">
        <f>IF($R13=0,"",IF(ISNUMBER($K13),$K13,IF(ISNUMBER($D13),$D13,"")))</f>
        <v/>
      </c>
    </row>
    <row r="14">
      <c r="A14" s="37">
        <f>IF($R14=0,"",ROW()-5)</f>
        <v/>
      </c>
      <c r="B14" s="23" t="n"/>
      <c r="C14" s="35" t="n"/>
      <c r="D14" s="38" t="n"/>
      <c r="E14" s="38" t="n"/>
      <c r="F14" s="38" t="n"/>
      <c r="G14" s="38" t="n"/>
      <c r="H14" s="23" t="n"/>
      <c r="I14" s="25" t="n"/>
      <c r="J14" s="23" t="n"/>
      <c r="K14" s="38" t="n"/>
      <c r="L14" s="23" t="n"/>
      <c r="M14" s="37">
        <f>IF(OR($R14=0,$F14&lt;&gt;"",NOT(ISNUMBER($D14)),NOT(ISNUMBER($S14))),"",IF($S14&lt;=$D14,0,NETWORKDAYS($D14+1,$S14)))</f>
        <v/>
      </c>
      <c r="N14" s="39">
        <f>IF(OR($R14=0,$F14&lt;&gt;"",$C14="Need",$C14="Event",NOT(ISNUMBER($D14))),"",IF(OR($D14&lt;Baseline!$K$5,N($M14)&gt;N(Baseline!$C$23)),"Red",IF(N($M14)&gt;0,"Amber","Green")))</f>
        <v/>
      </c>
      <c r="O14" s="37">
        <f>IF(OR($R14=0,NOT(ISNUMBER($K14))),"",IF(ISNUMBER($F14),IF($F14&lt;=$K14,0,NETWORKDAYS($K14+1,$F14)),IF(NOT(ISNUMBER($S14)),"",IF($S14&lt;=$K14,0,NETWORKDAYS($K14+1,$S14)))))</f>
        <v/>
      </c>
      <c r="P14" s="28">
        <f>IF($R14=0,"",IF(AND(TRIM($B14)&lt;&gt;"",SUMPRODUCT(--($B$6:$B$44=$B14))&gt;1),"△ Name used twice",IF(ISERROR(MATCH($C14,{"Gate","Milestone","Need","Event"},0)),"△ No kind",IF(NOT(ISNUMBER($D14)),"△ Baselined isn't a date",IF(AND($C14="Gate",ISERROR(MATCH($B14,'Read me'!$B$56:$B$65,0))),"△ Not a gate name on Read me",IF(IF(AND(ISNUMBER($Y14),ISNUMBER($K14)),$Y14&lt;MAX($Y$5:$Y13),FALSE),"△ Original is before the row above's",IF(IF(AND(ISNUMBER($Y14),NOT(ISNUMBER($K14))),$Y14&lt;MAX($Y$5:$Y13),FALSE),"△ Dated before the row above",IF(AND(ISNUMBER($D14),ISNUMBER(Baseline!$C$10),MAX($D14,IF(ISNUMBER($G14),$G14,0))&gt;Baseline!$C$10),"△ After the Planned finish",IF(AND(TRIM($B14)="Close",ISNUMBER($D14),ISNUMBER(Baseline!$C$10),$D14&lt;&gt;Baseline!$C$10),"△ Close isn't dated on the Planned finish",IF(AND(ISNUMBER($G14),ISNUMBER($D14),$G14&lt;$D14),"△ Ends before it starts",IF($X14=1,"△ Arrives after it is needed",IF($U14=1,"△ Nobody answers for it",IF($V14=1,"△ Moved with no change",IF($W14=1,"△ Past the Owner's limit","○ Clear"))))))))))))))</f>
        <v/>
      </c>
      <c r="R14" s="24">
        <f>IF(COUNTA($B14:$L14)&gt;0,1,0)</f>
        <v/>
      </c>
      <c r="S14" s="40">
        <f>IF($R14=0,"",IF(ISNUMBER($E14),$E14,$D14))</f>
        <v/>
      </c>
      <c r="T14" s="24">
        <f>IF($R14=0,0,IF(OR(AND(TRIM($B14)&lt;&gt;"",SUMPRODUCT(--($B$6:$B$44=$B14))&gt;1),ISERROR(MATCH($C14,{"Gate","Milestone","Need","Event"},0)),NOT(ISNUMBER($D14)),AND($C14="Gate",ISERROR(MATCH($B14,'Read me'!$B$56:$B$65,0))),IF(AND(ISNUMBER($Y14),ISNUMBER($K14)),$Y14&lt;MAX($Y$5:$Y13),FALSE),IF(AND(ISNUMBER($Y14),NOT(ISNUMBER($K14))),$Y14&lt;MAX($Y$5:$Y13),FALSE),AND(ISNUMBER($D14),ISNUMBER(Baseline!$C$10),MAX($D14,IF(ISNUMBER($G14),$G14,0))&gt;Baseline!$C$10),AND(TRIM($B14)="Close",ISNUMBER($D14),ISNUMBER(Baseline!$C$10),$D14&lt;&gt;Baseline!$C$10),AND(ISNUMBER($G14),ISNUMBER($D14),$G14&lt;$D14)),1,0))</f>
        <v/>
      </c>
      <c r="U14" s="24">
        <f>IF(OR($R14=0,$F14&lt;&gt;"",AND($C14&lt;&gt;"Gate",$C14&lt;&gt;"Milestone",$C14&lt;&gt;"Need")),0,IF(TRIM($H14)="",1,0))</f>
        <v/>
      </c>
      <c r="V14" s="24">
        <f>IF(OR($R14=0,$F14&lt;&gt;"",$C14="Need",$C14="Event",Baseline!$C$13=""),0,IF(OR(AND(N($M14)&gt;0,SUMPRODUCT(--(Changes!$I$6:$I$55="Raised"),--(((Changes!$E$6:$E$55=$B14)+(LEFT($B14,LEN(Changes!$E$6:$E$55)+1)=Changes!$E$6:$E$55&amp;"."))&gt;0))=0),AND(ISNUMBER($K14),ISNUMBER($D14),$D14&lt;&gt;$K14,SUMPRODUCT(--(Changes!$I$6:$I$55="Approved"),--(((Changes!$E$6:$E$55=$B14)+(LEFT($B14,LEN(Changes!$E$6:$E$55)+1)=Changes!$E$6:$E$55&amp;"."))&gt;0))=0)),1,0))</f>
        <v/>
      </c>
      <c r="W14" s="24">
        <f>IF(OR($R14=0,$F14&lt;&gt;"",$C14="Need",$C14="Event",NOT(ISNUMBER(Baseline!$C$15))),0,IF(N($M14)&gt;Baseline!$C$15,1,0))</f>
        <v/>
      </c>
      <c r="X14" s="24">
        <f>IF(OR($R14=0,$F14&lt;&gt;"",$C14&lt;&gt;"Need"),0,IF(N($M14)&gt;0,1,0))</f>
        <v/>
      </c>
      <c r="Y14" s="40">
        <f>IF($R14=0,"",IF(ISNUMBER($K14),$K14,IF(ISNUMBER($D14),$D14,"")))</f>
        <v/>
      </c>
    </row>
    <row r="15">
      <c r="A15" s="37">
        <f>IF($R15=0,"",ROW()-5)</f>
        <v/>
      </c>
      <c r="B15" s="23" t="n"/>
      <c r="C15" s="35" t="n"/>
      <c r="D15" s="38" t="n"/>
      <c r="E15" s="38" t="n"/>
      <c r="F15" s="38" t="n"/>
      <c r="G15" s="38" t="n"/>
      <c r="H15" s="23" t="n"/>
      <c r="I15" s="25" t="n"/>
      <c r="J15" s="23" t="n"/>
      <c r="K15" s="38" t="n"/>
      <c r="L15" s="23" t="n"/>
      <c r="M15" s="37">
        <f>IF(OR($R15=0,$F15&lt;&gt;"",NOT(ISNUMBER($D15)),NOT(ISNUMBER($S15))),"",IF($S15&lt;=$D15,0,NETWORKDAYS($D15+1,$S15)))</f>
        <v/>
      </c>
      <c r="N15" s="39">
        <f>IF(OR($R15=0,$F15&lt;&gt;"",$C15="Need",$C15="Event",NOT(ISNUMBER($D15))),"",IF(OR($D15&lt;Baseline!$K$5,N($M15)&gt;N(Baseline!$C$23)),"Red",IF(N($M15)&gt;0,"Amber","Green")))</f>
        <v/>
      </c>
      <c r="O15" s="37">
        <f>IF(OR($R15=0,NOT(ISNUMBER($K15))),"",IF(ISNUMBER($F15),IF($F15&lt;=$K15,0,NETWORKDAYS($K15+1,$F15)),IF(NOT(ISNUMBER($S15)),"",IF($S15&lt;=$K15,0,NETWORKDAYS($K15+1,$S15)))))</f>
        <v/>
      </c>
      <c r="P15" s="28">
        <f>IF($R15=0,"",IF(AND(TRIM($B15)&lt;&gt;"",SUMPRODUCT(--($B$6:$B$44=$B15))&gt;1),"△ Name used twice",IF(ISERROR(MATCH($C15,{"Gate","Milestone","Need","Event"},0)),"△ No kind",IF(NOT(ISNUMBER($D15)),"△ Baselined isn't a date",IF(AND($C15="Gate",ISERROR(MATCH($B15,'Read me'!$B$56:$B$65,0))),"△ Not a gate name on Read me",IF(IF(AND(ISNUMBER($Y15),ISNUMBER($K15)),$Y15&lt;MAX($Y$5:$Y14),FALSE),"△ Original is before the row above's",IF(IF(AND(ISNUMBER($Y15),NOT(ISNUMBER($K15))),$Y15&lt;MAX($Y$5:$Y14),FALSE),"△ Dated before the row above",IF(AND(ISNUMBER($D15),ISNUMBER(Baseline!$C$10),MAX($D15,IF(ISNUMBER($G15),$G15,0))&gt;Baseline!$C$10),"△ After the Planned finish",IF(AND(TRIM($B15)="Close",ISNUMBER($D15),ISNUMBER(Baseline!$C$10),$D15&lt;&gt;Baseline!$C$10),"△ Close isn't dated on the Planned finish",IF(AND(ISNUMBER($G15),ISNUMBER($D15),$G15&lt;$D15),"△ Ends before it starts",IF($X15=1,"△ Arrives after it is needed",IF($U15=1,"△ Nobody answers for it",IF($V15=1,"△ Moved with no change",IF($W15=1,"△ Past the Owner's limit","○ Clear"))))))))))))))</f>
        <v/>
      </c>
      <c r="R15" s="24">
        <f>IF(COUNTA($B15:$L15)&gt;0,1,0)</f>
        <v/>
      </c>
      <c r="S15" s="40">
        <f>IF($R15=0,"",IF(ISNUMBER($E15),$E15,$D15))</f>
        <v/>
      </c>
      <c r="T15" s="24">
        <f>IF($R15=0,0,IF(OR(AND(TRIM($B15)&lt;&gt;"",SUMPRODUCT(--($B$6:$B$44=$B15))&gt;1),ISERROR(MATCH($C15,{"Gate","Milestone","Need","Event"},0)),NOT(ISNUMBER($D15)),AND($C15="Gate",ISERROR(MATCH($B15,'Read me'!$B$56:$B$65,0))),IF(AND(ISNUMBER($Y15),ISNUMBER($K15)),$Y15&lt;MAX($Y$5:$Y14),FALSE),IF(AND(ISNUMBER($Y15),NOT(ISNUMBER($K15))),$Y15&lt;MAX($Y$5:$Y14),FALSE),AND(ISNUMBER($D15),ISNUMBER(Baseline!$C$10),MAX($D15,IF(ISNUMBER($G15),$G15,0))&gt;Baseline!$C$10),AND(TRIM($B15)="Close",ISNUMBER($D15),ISNUMBER(Baseline!$C$10),$D15&lt;&gt;Baseline!$C$10),AND(ISNUMBER($G15),ISNUMBER($D15),$G15&lt;$D15)),1,0))</f>
        <v/>
      </c>
      <c r="U15" s="24">
        <f>IF(OR($R15=0,$F15&lt;&gt;"",AND($C15&lt;&gt;"Gate",$C15&lt;&gt;"Milestone",$C15&lt;&gt;"Need")),0,IF(TRIM($H15)="",1,0))</f>
        <v/>
      </c>
      <c r="V15" s="24">
        <f>IF(OR($R15=0,$F15&lt;&gt;"",$C15="Need",$C15="Event",Baseline!$C$13=""),0,IF(OR(AND(N($M15)&gt;0,SUMPRODUCT(--(Changes!$I$6:$I$55="Raised"),--(((Changes!$E$6:$E$55=$B15)+(LEFT($B15,LEN(Changes!$E$6:$E$55)+1)=Changes!$E$6:$E$55&amp;"."))&gt;0))=0),AND(ISNUMBER($K15),ISNUMBER($D15),$D15&lt;&gt;$K15,SUMPRODUCT(--(Changes!$I$6:$I$55="Approved"),--(((Changes!$E$6:$E$55=$B15)+(LEFT($B15,LEN(Changes!$E$6:$E$55)+1)=Changes!$E$6:$E$55&amp;"."))&gt;0))=0)),1,0))</f>
        <v/>
      </c>
      <c r="W15" s="24">
        <f>IF(OR($R15=0,$F15&lt;&gt;"",$C15="Need",$C15="Event",NOT(ISNUMBER(Baseline!$C$15))),0,IF(N($M15)&gt;Baseline!$C$15,1,0))</f>
        <v/>
      </c>
      <c r="X15" s="24">
        <f>IF(OR($R15=0,$F15&lt;&gt;"",$C15&lt;&gt;"Need"),0,IF(N($M15)&gt;0,1,0))</f>
        <v/>
      </c>
      <c r="Y15" s="40">
        <f>IF($R15=0,"",IF(ISNUMBER($K15),$K15,IF(ISNUMBER($D15),$D15,"")))</f>
        <v/>
      </c>
    </row>
    <row r="16">
      <c r="A16" s="37">
        <f>IF($R16=0,"",ROW()-5)</f>
        <v/>
      </c>
      <c r="B16" s="23" t="n"/>
      <c r="C16" s="35" t="n"/>
      <c r="D16" s="38" t="n"/>
      <c r="E16" s="38" t="n"/>
      <c r="F16" s="38" t="n"/>
      <c r="G16" s="38" t="n"/>
      <c r="H16" s="23" t="n"/>
      <c r="I16" s="25" t="n"/>
      <c r="J16" s="23" t="n"/>
      <c r="K16" s="38" t="n"/>
      <c r="L16" s="23" t="n"/>
      <c r="M16" s="37">
        <f>IF(OR($R16=0,$F16&lt;&gt;"",NOT(ISNUMBER($D16)),NOT(ISNUMBER($S16))),"",IF($S16&lt;=$D16,0,NETWORKDAYS($D16+1,$S16)))</f>
        <v/>
      </c>
      <c r="N16" s="39">
        <f>IF(OR($R16=0,$F16&lt;&gt;"",$C16="Need",$C16="Event",NOT(ISNUMBER($D16))),"",IF(OR($D16&lt;Baseline!$K$5,N($M16)&gt;N(Baseline!$C$23)),"Red",IF(N($M16)&gt;0,"Amber","Green")))</f>
        <v/>
      </c>
      <c r="O16" s="37">
        <f>IF(OR($R16=0,NOT(ISNUMBER($K16))),"",IF(ISNUMBER($F16),IF($F16&lt;=$K16,0,NETWORKDAYS($K16+1,$F16)),IF(NOT(ISNUMBER($S16)),"",IF($S16&lt;=$K16,0,NETWORKDAYS($K16+1,$S16)))))</f>
        <v/>
      </c>
      <c r="P16" s="28">
        <f>IF($R16=0,"",IF(AND(TRIM($B16)&lt;&gt;"",SUMPRODUCT(--($B$6:$B$44=$B16))&gt;1),"△ Name used twice",IF(ISERROR(MATCH($C16,{"Gate","Milestone","Need","Event"},0)),"△ No kind",IF(NOT(ISNUMBER($D16)),"△ Baselined isn't a date",IF(AND($C16="Gate",ISERROR(MATCH($B16,'Read me'!$B$56:$B$65,0))),"△ Not a gate name on Read me",IF(IF(AND(ISNUMBER($Y16),ISNUMBER($K16)),$Y16&lt;MAX($Y$5:$Y15),FALSE),"△ Original is before the row above's",IF(IF(AND(ISNUMBER($Y16),NOT(ISNUMBER($K16))),$Y16&lt;MAX($Y$5:$Y15),FALSE),"△ Dated before the row above",IF(AND(ISNUMBER($D16),ISNUMBER(Baseline!$C$10),MAX($D16,IF(ISNUMBER($G16),$G16,0))&gt;Baseline!$C$10),"△ After the Planned finish",IF(AND(TRIM($B16)="Close",ISNUMBER($D16),ISNUMBER(Baseline!$C$10),$D16&lt;&gt;Baseline!$C$10),"△ Close isn't dated on the Planned finish",IF(AND(ISNUMBER($G16),ISNUMBER($D16),$G16&lt;$D16),"△ Ends before it starts",IF($X16=1,"△ Arrives after it is needed",IF($U16=1,"△ Nobody answers for it",IF($V16=1,"△ Moved with no change",IF($W16=1,"△ Past the Owner's limit","○ Clear"))))))))))))))</f>
        <v/>
      </c>
      <c r="R16" s="24">
        <f>IF(COUNTA($B16:$L16)&gt;0,1,0)</f>
        <v/>
      </c>
      <c r="S16" s="40">
        <f>IF($R16=0,"",IF(ISNUMBER($E16),$E16,$D16))</f>
        <v/>
      </c>
      <c r="T16" s="24">
        <f>IF($R16=0,0,IF(OR(AND(TRIM($B16)&lt;&gt;"",SUMPRODUCT(--($B$6:$B$44=$B16))&gt;1),ISERROR(MATCH($C16,{"Gate","Milestone","Need","Event"},0)),NOT(ISNUMBER($D16)),AND($C16="Gate",ISERROR(MATCH($B16,'Read me'!$B$56:$B$65,0))),IF(AND(ISNUMBER($Y16),ISNUMBER($K16)),$Y16&lt;MAX($Y$5:$Y15),FALSE),IF(AND(ISNUMBER($Y16),NOT(ISNUMBER($K16))),$Y16&lt;MAX($Y$5:$Y15),FALSE),AND(ISNUMBER($D16),ISNUMBER(Baseline!$C$10),MAX($D16,IF(ISNUMBER($G16),$G16,0))&gt;Baseline!$C$10),AND(TRIM($B16)="Close",ISNUMBER($D16),ISNUMBER(Baseline!$C$10),$D16&lt;&gt;Baseline!$C$10),AND(ISNUMBER($G16),ISNUMBER($D16),$G16&lt;$D16)),1,0))</f>
        <v/>
      </c>
      <c r="U16" s="24">
        <f>IF(OR($R16=0,$F16&lt;&gt;"",AND($C16&lt;&gt;"Gate",$C16&lt;&gt;"Milestone",$C16&lt;&gt;"Need")),0,IF(TRIM($H16)="",1,0))</f>
        <v/>
      </c>
      <c r="V16" s="24">
        <f>IF(OR($R16=0,$F16&lt;&gt;"",$C16="Need",$C16="Event",Baseline!$C$13=""),0,IF(OR(AND(N($M16)&gt;0,SUMPRODUCT(--(Changes!$I$6:$I$55="Raised"),--(((Changes!$E$6:$E$55=$B16)+(LEFT($B16,LEN(Changes!$E$6:$E$55)+1)=Changes!$E$6:$E$55&amp;"."))&gt;0))=0),AND(ISNUMBER($K16),ISNUMBER($D16),$D16&lt;&gt;$K16,SUMPRODUCT(--(Changes!$I$6:$I$55="Approved"),--(((Changes!$E$6:$E$55=$B16)+(LEFT($B16,LEN(Changes!$E$6:$E$55)+1)=Changes!$E$6:$E$55&amp;"."))&gt;0))=0)),1,0))</f>
        <v/>
      </c>
      <c r="W16" s="24">
        <f>IF(OR($R16=0,$F16&lt;&gt;"",$C16="Need",$C16="Event",NOT(ISNUMBER(Baseline!$C$15))),0,IF(N($M16)&gt;Baseline!$C$15,1,0))</f>
        <v/>
      </c>
      <c r="X16" s="24">
        <f>IF(OR($R16=0,$F16&lt;&gt;"",$C16&lt;&gt;"Need"),0,IF(N($M16)&gt;0,1,0))</f>
        <v/>
      </c>
      <c r="Y16" s="40">
        <f>IF($R16=0,"",IF(ISNUMBER($K16),$K16,IF(ISNUMBER($D16),$D16,"")))</f>
        <v/>
      </c>
    </row>
    <row r="17">
      <c r="A17" s="37">
        <f>IF($R17=0,"",ROW()-5)</f>
        <v/>
      </c>
      <c r="B17" s="23" t="n"/>
      <c r="C17" s="35" t="n"/>
      <c r="D17" s="38" t="n"/>
      <c r="E17" s="38" t="n"/>
      <c r="F17" s="38" t="n"/>
      <c r="G17" s="38" t="n"/>
      <c r="H17" s="23" t="n"/>
      <c r="I17" s="25" t="n"/>
      <c r="J17" s="23" t="n"/>
      <c r="K17" s="38" t="n"/>
      <c r="L17" s="23" t="n"/>
      <c r="M17" s="37">
        <f>IF(OR($R17=0,$F17&lt;&gt;"",NOT(ISNUMBER($D17)),NOT(ISNUMBER($S17))),"",IF($S17&lt;=$D17,0,NETWORKDAYS($D17+1,$S17)))</f>
        <v/>
      </c>
      <c r="N17" s="39">
        <f>IF(OR($R17=0,$F17&lt;&gt;"",$C17="Need",$C17="Event",NOT(ISNUMBER($D17))),"",IF(OR($D17&lt;Baseline!$K$5,N($M17)&gt;N(Baseline!$C$23)),"Red",IF(N($M17)&gt;0,"Amber","Green")))</f>
        <v/>
      </c>
      <c r="O17" s="37">
        <f>IF(OR($R17=0,NOT(ISNUMBER($K17))),"",IF(ISNUMBER($F17),IF($F17&lt;=$K17,0,NETWORKDAYS($K17+1,$F17)),IF(NOT(ISNUMBER($S17)),"",IF($S17&lt;=$K17,0,NETWORKDAYS($K17+1,$S17)))))</f>
        <v/>
      </c>
      <c r="P17" s="28">
        <f>IF($R17=0,"",IF(AND(TRIM($B17)&lt;&gt;"",SUMPRODUCT(--($B$6:$B$44=$B17))&gt;1),"△ Name used twice",IF(ISERROR(MATCH($C17,{"Gate","Milestone","Need","Event"},0)),"△ No kind",IF(NOT(ISNUMBER($D17)),"△ Baselined isn't a date",IF(AND($C17="Gate",ISERROR(MATCH($B17,'Read me'!$B$56:$B$65,0))),"△ Not a gate name on Read me",IF(IF(AND(ISNUMBER($Y17),ISNUMBER($K17)),$Y17&lt;MAX($Y$5:$Y16),FALSE),"△ Original is before the row above's",IF(IF(AND(ISNUMBER($Y17),NOT(ISNUMBER($K17))),$Y17&lt;MAX($Y$5:$Y16),FALSE),"△ Dated before the row above",IF(AND(ISNUMBER($D17),ISNUMBER(Baseline!$C$10),MAX($D17,IF(ISNUMBER($G17),$G17,0))&gt;Baseline!$C$10),"△ After the Planned finish",IF(AND(TRIM($B17)="Close",ISNUMBER($D17),ISNUMBER(Baseline!$C$10),$D17&lt;&gt;Baseline!$C$10),"△ Close isn't dated on the Planned finish",IF(AND(ISNUMBER($G17),ISNUMBER($D17),$G17&lt;$D17),"△ Ends before it starts",IF($X17=1,"△ Arrives after it is needed",IF($U17=1,"△ Nobody answers for it",IF($V17=1,"△ Moved with no change",IF($W17=1,"△ Past the Owner's limit","○ Clear"))))))))))))))</f>
        <v/>
      </c>
      <c r="R17" s="24">
        <f>IF(COUNTA($B17:$L17)&gt;0,1,0)</f>
        <v/>
      </c>
      <c r="S17" s="40">
        <f>IF($R17=0,"",IF(ISNUMBER($E17),$E17,$D17))</f>
        <v/>
      </c>
      <c r="T17" s="24">
        <f>IF($R17=0,0,IF(OR(AND(TRIM($B17)&lt;&gt;"",SUMPRODUCT(--($B$6:$B$44=$B17))&gt;1),ISERROR(MATCH($C17,{"Gate","Milestone","Need","Event"},0)),NOT(ISNUMBER($D17)),AND($C17="Gate",ISERROR(MATCH($B17,'Read me'!$B$56:$B$65,0))),IF(AND(ISNUMBER($Y17),ISNUMBER($K17)),$Y17&lt;MAX($Y$5:$Y16),FALSE),IF(AND(ISNUMBER($Y17),NOT(ISNUMBER($K17))),$Y17&lt;MAX($Y$5:$Y16),FALSE),AND(ISNUMBER($D17),ISNUMBER(Baseline!$C$10),MAX($D17,IF(ISNUMBER($G17),$G17,0))&gt;Baseline!$C$10),AND(TRIM($B17)="Close",ISNUMBER($D17),ISNUMBER(Baseline!$C$10),$D17&lt;&gt;Baseline!$C$10),AND(ISNUMBER($G17),ISNUMBER($D17),$G17&lt;$D17)),1,0))</f>
        <v/>
      </c>
      <c r="U17" s="24">
        <f>IF(OR($R17=0,$F17&lt;&gt;"",AND($C17&lt;&gt;"Gate",$C17&lt;&gt;"Milestone",$C17&lt;&gt;"Need")),0,IF(TRIM($H17)="",1,0))</f>
        <v/>
      </c>
      <c r="V17" s="24">
        <f>IF(OR($R17=0,$F17&lt;&gt;"",$C17="Need",$C17="Event",Baseline!$C$13=""),0,IF(OR(AND(N($M17)&gt;0,SUMPRODUCT(--(Changes!$I$6:$I$55="Raised"),--(((Changes!$E$6:$E$55=$B17)+(LEFT($B17,LEN(Changes!$E$6:$E$55)+1)=Changes!$E$6:$E$55&amp;"."))&gt;0))=0),AND(ISNUMBER($K17),ISNUMBER($D17),$D17&lt;&gt;$K17,SUMPRODUCT(--(Changes!$I$6:$I$55="Approved"),--(((Changes!$E$6:$E$55=$B17)+(LEFT($B17,LEN(Changes!$E$6:$E$55)+1)=Changes!$E$6:$E$55&amp;"."))&gt;0))=0)),1,0))</f>
        <v/>
      </c>
      <c r="W17" s="24">
        <f>IF(OR($R17=0,$F17&lt;&gt;"",$C17="Need",$C17="Event",NOT(ISNUMBER(Baseline!$C$15))),0,IF(N($M17)&gt;Baseline!$C$15,1,0))</f>
        <v/>
      </c>
      <c r="X17" s="24">
        <f>IF(OR($R17=0,$F17&lt;&gt;"",$C17&lt;&gt;"Need"),0,IF(N($M17)&gt;0,1,0))</f>
        <v/>
      </c>
      <c r="Y17" s="40">
        <f>IF($R17=0,"",IF(ISNUMBER($K17),$K17,IF(ISNUMBER($D17),$D17,"")))</f>
        <v/>
      </c>
    </row>
    <row r="18">
      <c r="A18" s="37">
        <f>IF($R18=0,"",ROW()-5)</f>
        <v/>
      </c>
      <c r="B18" s="23" t="n"/>
      <c r="C18" s="35" t="n"/>
      <c r="D18" s="38" t="n"/>
      <c r="E18" s="38" t="n"/>
      <c r="F18" s="38" t="n"/>
      <c r="G18" s="38" t="n"/>
      <c r="H18" s="23" t="n"/>
      <c r="I18" s="25" t="n"/>
      <c r="J18" s="23" t="n"/>
      <c r="K18" s="38" t="n"/>
      <c r="L18" s="23" t="n"/>
      <c r="M18" s="37">
        <f>IF(OR($R18=0,$F18&lt;&gt;"",NOT(ISNUMBER($D18)),NOT(ISNUMBER($S18))),"",IF($S18&lt;=$D18,0,NETWORKDAYS($D18+1,$S18)))</f>
        <v/>
      </c>
      <c r="N18" s="39">
        <f>IF(OR($R18=0,$F18&lt;&gt;"",$C18="Need",$C18="Event",NOT(ISNUMBER($D18))),"",IF(OR($D18&lt;Baseline!$K$5,N($M18)&gt;N(Baseline!$C$23)),"Red",IF(N($M18)&gt;0,"Amber","Green")))</f>
        <v/>
      </c>
      <c r="O18" s="37">
        <f>IF(OR($R18=0,NOT(ISNUMBER($K18))),"",IF(ISNUMBER($F18),IF($F18&lt;=$K18,0,NETWORKDAYS($K18+1,$F18)),IF(NOT(ISNUMBER($S18)),"",IF($S18&lt;=$K18,0,NETWORKDAYS($K18+1,$S18)))))</f>
        <v/>
      </c>
      <c r="P18" s="28">
        <f>IF($R18=0,"",IF(AND(TRIM($B18)&lt;&gt;"",SUMPRODUCT(--($B$6:$B$44=$B18))&gt;1),"△ Name used twice",IF(ISERROR(MATCH($C18,{"Gate","Milestone","Need","Event"},0)),"△ No kind",IF(NOT(ISNUMBER($D18)),"△ Baselined isn't a date",IF(AND($C18="Gate",ISERROR(MATCH($B18,'Read me'!$B$56:$B$65,0))),"△ Not a gate name on Read me",IF(IF(AND(ISNUMBER($Y18),ISNUMBER($K18)),$Y18&lt;MAX($Y$5:$Y17),FALSE),"△ Original is before the row above's",IF(IF(AND(ISNUMBER($Y18),NOT(ISNUMBER($K18))),$Y18&lt;MAX($Y$5:$Y17),FALSE),"△ Dated before the row above",IF(AND(ISNUMBER($D18),ISNUMBER(Baseline!$C$10),MAX($D18,IF(ISNUMBER($G18),$G18,0))&gt;Baseline!$C$10),"△ After the Planned finish",IF(AND(TRIM($B18)="Close",ISNUMBER($D18),ISNUMBER(Baseline!$C$10),$D18&lt;&gt;Baseline!$C$10),"△ Close isn't dated on the Planned finish",IF(AND(ISNUMBER($G18),ISNUMBER($D18),$G18&lt;$D18),"△ Ends before it starts",IF($X18=1,"△ Arrives after it is needed",IF($U18=1,"△ Nobody answers for it",IF($V18=1,"△ Moved with no change",IF($W18=1,"△ Past the Owner's limit","○ Clear"))))))))))))))</f>
        <v/>
      </c>
      <c r="R18" s="24">
        <f>IF(COUNTA($B18:$L18)&gt;0,1,0)</f>
        <v/>
      </c>
      <c r="S18" s="40">
        <f>IF($R18=0,"",IF(ISNUMBER($E18),$E18,$D18))</f>
        <v/>
      </c>
      <c r="T18" s="24">
        <f>IF($R18=0,0,IF(OR(AND(TRIM($B18)&lt;&gt;"",SUMPRODUCT(--($B$6:$B$44=$B18))&gt;1),ISERROR(MATCH($C18,{"Gate","Milestone","Need","Event"},0)),NOT(ISNUMBER($D18)),AND($C18="Gate",ISERROR(MATCH($B18,'Read me'!$B$56:$B$65,0))),IF(AND(ISNUMBER($Y18),ISNUMBER($K18)),$Y18&lt;MAX($Y$5:$Y17),FALSE),IF(AND(ISNUMBER($Y18),NOT(ISNUMBER($K18))),$Y18&lt;MAX($Y$5:$Y17),FALSE),AND(ISNUMBER($D18),ISNUMBER(Baseline!$C$10),MAX($D18,IF(ISNUMBER($G18),$G18,0))&gt;Baseline!$C$10),AND(TRIM($B18)="Close",ISNUMBER($D18),ISNUMBER(Baseline!$C$10),$D18&lt;&gt;Baseline!$C$10),AND(ISNUMBER($G18),ISNUMBER($D18),$G18&lt;$D18)),1,0))</f>
        <v/>
      </c>
      <c r="U18" s="24">
        <f>IF(OR($R18=0,$F18&lt;&gt;"",AND($C18&lt;&gt;"Gate",$C18&lt;&gt;"Milestone",$C18&lt;&gt;"Need")),0,IF(TRIM($H18)="",1,0))</f>
        <v/>
      </c>
      <c r="V18" s="24">
        <f>IF(OR($R18=0,$F18&lt;&gt;"",$C18="Need",$C18="Event",Baseline!$C$13=""),0,IF(OR(AND(N($M18)&gt;0,SUMPRODUCT(--(Changes!$I$6:$I$55="Raised"),--(((Changes!$E$6:$E$55=$B18)+(LEFT($B18,LEN(Changes!$E$6:$E$55)+1)=Changes!$E$6:$E$55&amp;"."))&gt;0))=0),AND(ISNUMBER($K18),ISNUMBER($D18),$D18&lt;&gt;$K18,SUMPRODUCT(--(Changes!$I$6:$I$55="Approved"),--(((Changes!$E$6:$E$55=$B18)+(LEFT($B18,LEN(Changes!$E$6:$E$55)+1)=Changes!$E$6:$E$55&amp;"."))&gt;0))=0)),1,0))</f>
        <v/>
      </c>
      <c r="W18" s="24">
        <f>IF(OR($R18=0,$F18&lt;&gt;"",$C18="Need",$C18="Event",NOT(ISNUMBER(Baseline!$C$15))),0,IF(N($M18)&gt;Baseline!$C$15,1,0))</f>
        <v/>
      </c>
      <c r="X18" s="24">
        <f>IF(OR($R18=0,$F18&lt;&gt;"",$C18&lt;&gt;"Need"),0,IF(N($M18)&gt;0,1,0))</f>
        <v/>
      </c>
      <c r="Y18" s="40">
        <f>IF($R18=0,"",IF(ISNUMBER($K18),$K18,IF(ISNUMBER($D18),$D18,"")))</f>
        <v/>
      </c>
    </row>
    <row r="19">
      <c r="A19" s="37">
        <f>IF($R19=0,"",ROW()-5)</f>
        <v/>
      </c>
      <c r="B19" s="23" t="n"/>
      <c r="C19" s="35" t="n"/>
      <c r="D19" s="38" t="n"/>
      <c r="E19" s="38" t="n"/>
      <c r="F19" s="38" t="n"/>
      <c r="G19" s="38" t="n"/>
      <c r="H19" s="23" t="n"/>
      <c r="I19" s="25" t="n"/>
      <c r="J19" s="23" t="n"/>
      <c r="K19" s="38" t="n"/>
      <c r="L19" s="23" t="n"/>
      <c r="M19" s="37">
        <f>IF(OR($R19=0,$F19&lt;&gt;"",NOT(ISNUMBER($D19)),NOT(ISNUMBER($S19))),"",IF($S19&lt;=$D19,0,NETWORKDAYS($D19+1,$S19)))</f>
        <v/>
      </c>
      <c r="N19" s="39">
        <f>IF(OR($R19=0,$F19&lt;&gt;"",$C19="Need",$C19="Event",NOT(ISNUMBER($D19))),"",IF(OR($D19&lt;Baseline!$K$5,N($M19)&gt;N(Baseline!$C$23)),"Red",IF(N($M19)&gt;0,"Amber","Green")))</f>
        <v/>
      </c>
      <c r="O19" s="37">
        <f>IF(OR($R19=0,NOT(ISNUMBER($K19))),"",IF(ISNUMBER($F19),IF($F19&lt;=$K19,0,NETWORKDAYS($K19+1,$F19)),IF(NOT(ISNUMBER($S19)),"",IF($S19&lt;=$K19,0,NETWORKDAYS($K19+1,$S19)))))</f>
        <v/>
      </c>
      <c r="P19" s="28">
        <f>IF($R19=0,"",IF(AND(TRIM($B19)&lt;&gt;"",SUMPRODUCT(--($B$6:$B$44=$B19))&gt;1),"△ Name used twice",IF(ISERROR(MATCH($C19,{"Gate","Milestone","Need","Event"},0)),"△ No kind",IF(NOT(ISNUMBER($D19)),"△ Baselined isn't a date",IF(AND($C19="Gate",ISERROR(MATCH($B19,'Read me'!$B$56:$B$65,0))),"△ Not a gate name on Read me",IF(IF(AND(ISNUMBER($Y19),ISNUMBER($K19)),$Y19&lt;MAX($Y$5:$Y18),FALSE),"△ Original is before the row above's",IF(IF(AND(ISNUMBER($Y19),NOT(ISNUMBER($K19))),$Y19&lt;MAX($Y$5:$Y18),FALSE),"△ Dated before the row above",IF(AND(ISNUMBER($D19),ISNUMBER(Baseline!$C$10),MAX($D19,IF(ISNUMBER($G19),$G19,0))&gt;Baseline!$C$10),"△ After the Planned finish",IF(AND(TRIM($B19)="Close",ISNUMBER($D19),ISNUMBER(Baseline!$C$10),$D19&lt;&gt;Baseline!$C$10),"△ Close isn't dated on the Planned finish",IF(AND(ISNUMBER($G19),ISNUMBER($D19),$G19&lt;$D19),"△ Ends before it starts",IF($X19=1,"△ Arrives after it is needed",IF($U19=1,"△ Nobody answers for it",IF($V19=1,"△ Moved with no change",IF($W19=1,"△ Past the Owner's limit","○ Clear"))))))))))))))</f>
        <v/>
      </c>
      <c r="R19" s="24">
        <f>IF(COUNTA($B19:$L19)&gt;0,1,0)</f>
        <v/>
      </c>
      <c r="S19" s="40">
        <f>IF($R19=0,"",IF(ISNUMBER($E19),$E19,$D19))</f>
        <v/>
      </c>
      <c r="T19" s="24">
        <f>IF($R19=0,0,IF(OR(AND(TRIM($B19)&lt;&gt;"",SUMPRODUCT(--($B$6:$B$44=$B19))&gt;1),ISERROR(MATCH($C19,{"Gate","Milestone","Need","Event"},0)),NOT(ISNUMBER($D19)),AND($C19="Gate",ISERROR(MATCH($B19,'Read me'!$B$56:$B$65,0))),IF(AND(ISNUMBER($Y19),ISNUMBER($K19)),$Y19&lt;MAX($Y$5:$Y18),FALSE),IF(AND(ISNUMBER($Y19),NOT(ISNUMBER($K19))),$Y19&lt;MAX($Y$5:$Y18),FALSE),AND(ISNUMBER($D19),ISNUMBER(Baseline!$C$10),MAX($D19,IF(ISNUMBER($G19),$G19,0))&gt;Baseline!$C$10),AND(TRIM($B19)="Close",ISNUMBER($D19),ISNUMBER(Baseline!$C$10),$D19&lt;&gt;Baseline!$C$10),AND(ISNUMBER($G19),ISNUMBER($D19),$G19&lt;$D19)),1,0))</f>
        <v/>
      </c>
      <c r="U19" s="24">
        <f>IF(OR($R19=0,$F19&lt;&gt;"",AND($C19&lt;&gt;"Gate",$C19&lt;&gt;"Milestone",$C19&lt;&gt;"Need")),0,IF(TRIM($H19)="",1,0))</f>
        <v/>
      </c>
      <c r="V19" s="24">
        <f>IF(OR($R19=0,$F19&lt;&gt;"",$C19="Need",$C19="Event",Baseline!$C$13=""),0,IF(OR(AND(N($M19)&gt;0,SUMPRODUCT(--(Changes!$I$6:$I$55="Raised"),--(((Changes!$E$6:$E$55=$B19)+(LEFT($B19,LEN(Changes!$E$6:$E$55)+1)=Changes!$E$6:$E$55&amp;"."))&gt;0))=0),AND(ISNUMBER($K19),ISNUMBER($D19),$D19&lt;&gt;$K19,SUMPRODUCT(--(Changes!$I$6:$I$55="Approved"),--(((Changes!$E$6:$E$55=$B19)+(LEFT($B19,LEN(Changes!$E$6:$E$55)+1)=Changes!$E$6:$E$55&amp;"."))&gt;0))=0)),1,0))</f>
        <v/>
      </c>
      <c r="W19" s="24">
        <f>IF(OR($R19=0,$F19&lt;&gt;"",$C19="Need",$C19="Event",NOT(ISNUMBER(Baseline!$C$15))),0,IF(N($M19)&gt;Baseline!$C$15,1,0))</f>
        <v/>
      </c>
      <c r="X19" s="24">
        <f>IF(OR($R19=0,$F19&lt;&gt;"",$C19&lt;&gt;"Need"),0,IF(N($M19)&gt;0,1,0))</f>
        <v/>
      </c>
      <c r="Y19" s="40">
        <f>IF($R19=0,"",IF(ISNUMBER($K19),$K19,IF(ISNUMBER($D19),$D19,"")))</f>
        <v/>
      </c>
    </row>
    <row r="20">
      <c r="A20" s="37">
        <f>IF($R20=0,"",ROW()-5)</f>
        <v/>
      </c>
      <c r="B20" s="23" t="n"/>
      <c r="C20" s="35" t="n"/>
      <c r="D20" s="38" t="n"/>
      <c r="E20" s="38" t="n"/>
      <c r="F20" s="38" t="n"/>
      <c r="G20" s="38" t="n"/>
      <c r="H20" s="23" t="n"/>
      <c r="I20" s="25" t="n"/>
      <c r="J20" s="23" t="n"/>
      <c r="K20" s="38" t="n"/>
      <c r="L20" s="23" t="n"/>
      <c r="M20" s="37">
        <f>IF(OR($R20=0,$F20&lt;&gt;"",NOT(ISNUMBER($D20)),NOT(ISNUMBER($S20))),"",IF($S20&lt;=$D20,0,NETWORKDAYS($D20+1,$S20)))</f>
        <v/>
      </c>
      <c r="N20" s="39">
        <f>IF(OR($R20=0,$F20&lt;&gt;"",$C20="Need",$C20="Event",NOT(ISNUMBER($D20))),"",IF(OR($D20&lt;Baseline!$K$5,N($M20)&gt;N(Baseline!$C$23)),"Red",IF(N($M20)&gt;0,"Amber","Green")))</f>
        <v/>
      </c>
      <c r="O20" s="37">
        <f>IF(OR($R20=0,NOT(ISNUMBER($K20))),"",IF(ISNUMBER($F20),IF($F20&lt;=$K20,0,NETWORKDAYS($K20+1,$F20)),IF(NOT(ISNUMBER($S20)),"",IF($S20&lt;=$K20,0,NETWORKDAYS($K20+1,$S20)))))</f>
        <v/>
      </c>
      <c r="P20" s="28">
        <f>IF($R20=0,"",IF(AND(TRIM($B20)&lt;&gt;"",SUMPRODUCT(--($B$6:$B$44=$B20))&gt;1),"△ Name used twice",IF(ISERROR(MATCH($C20,{"Gate","Milestone","Need","Event"},0)),"△ No kind",IF(NOT(ISNUMBER($D20)),"△ Baselined isn't a date",IF(AND($C20="Gate",ISERROR(MATCH($B20,'Read me'!$B$56:$B$65,0))),"△ Not a gate name on Read me",IF(IF(AND(ISNUMBER($Y20),ISNUMBER($K20)),$Y20&lt;MAX($Y$5:$Y19),FALSE),"△ Original is before the row above's",IF(IF(AND(ISNUMBER($Y20),NOT(ISNUMBER($K20))),$Y20&lt;MAX($Y$5:$Y19),FALSE),"△ Dated before the row above",IF(AND(ISNUMBER($D20),ISNUMBER(Baseline!$C$10),MAX($D20,IF(ISNUMBER($G20),$G20,0))&gt;Baseline!$C$10),"△ After the Planned finish",IF(AND(TRIM($B20)="Close",ISNUMBER($D20),ISNUMBER(Baseline!$C$10),$D20&lt;&gt;Baseline!$C$10),"△ Close isn't dated on the Planned finish",IF(AND(ISNUMBER($G20),ISNUMBER($D20),$G20&lt;$D20),"△ Ends before it starts",IF($X20=1,"△ Arrives after it is needed",IF($U20=1,"△ Nobody answers for it",IF($V20=1,"△ Moved with no change",IF($W20=1,"△ Past the Owner's limit","○ Clear"))))))))))))))</f>
        <v/>
      </c>
      <c r="R20" s="24">
        <f>IF(COUNTA($B20:$L20)&gt;0,1,0)</f>
        <v/>
      </c>
      <c r="S20" s="40">
        <f>IF($R20=0,"",IF(ISNUMBER($E20),$E20,$D20))</f>
        <v/>
      </c>
      <c r="T20" s="24">
        <f>IF($R20=0,0,IF(OR(AND(TRIM($B20)&lt;&gt;"",SUMPRODUCT(--($B$6:$B$44=$B20))&gt;1),ISERROR(MATCH($C20,{"Gate","Milestone","Need","Event"},0)),NOT(ISNUMBER($D20)),AND($C20="Gate",ISERROR(MATCH($B20,'Read me'!$B$56:$B$65,0))),IF(AND(ISNUMBER($Y20),ISNUMBER($K20)),$Y20&lt;MAX($Y$5:$Y19),FALSE),IF(AND(ISNUMBER($Y20),NOT(ISNUMBER($K20))),$Y20&lt;MAX($Y$5:$Y19),FALSE),AND(ISNUMBER($D20),ISNUMBER(Baseline!$C$10),MAX($D20,IF(ISNUMBER($G20),$G20,0))&gt;Baseline!$C$10),AND(TRIM($B20)="Close",ISNUMBER($D20),ISNUMBER(Baseline!$C$10),$D20&lt;&gt;Baseline!$C$10),AND(ISNUMBER($G20),ISNUMBER($D20),$G20&lt;$D20)),1,0))</f>
        <v/>
      </c>
      <c r="U20" s="24">
        <f>IF(OR($R20=0,$F20&lt;&gt;"",AND($C20&lt;&gt;"Gate",$C20&lt;&gt;"Milestone",$C20&lt;&gt;"Need")),0,IF(TRIM($H20)="",1,0))</f>
        <v/>
      </c>
      <c r="V20" s="24">
        <f>IF(OR($R20=0,$F20&lt;&gt;"",$C20="Need",$C20="Event",Baseline!$C$13=""),0,IF(OR(AND(N($M20)&gt;0,SUMPRODUCT(--(Changes!$I$6:$I$55="Raised"),--(((Changes!$E$6:$E$55=$B20)+(LEFT($B20,LEN(Changes!$E$6:$E$55)+1)=Changes!$E$6:$E$55&amp;"."))&gt;0))=0),AND(ISNUMBER($K20),ISNUMBER($D20),$D20&lt;&gt;$K20,SUMPRODUCT(--(Changes!$I$6:$I$55="Approved"),--(((Changes!$E$6:$E$55=$B20)+(LEFT($B20,LEN(Changes!$E$6:$E$55)+1)=Changes!$E$6:$E$55&amp;"."))&gt;0))=0)),1,0))</f>
        <v/>
      </c>
      <c r="W20" s="24">
        <f>IF(OR($R20=0,$F20&lt;&gt;"",$C20="Need",$C20="Event",NOT(ISNUMBER(Baseline!$C$15))),0,IF(N($M20)&gt;Baseline!$C$15,1,0))</f>
        <v/>
      </c>
      <c r="X20" s="24">
        <f>IF(OR($R20=0,$F20&lt;&gt;"",$C20&lt;&gt;"Need"),0,IF(N($M20)&gt;0,1,0))</f>
        <v/>
      </c>
      <c r="Y20" s="40">
        <f>IF($R20=0,"",IF(ISNUMBER($K20),$K20,IF(ISNUMBER($D20),$D20,"")))</f>
        <v/>
      </c>
    </row>
    <row r="21">
      <c r="A21" s="37">
        <f>IF($R21=0,"",ROW()-5)</f>
        <v/>
      </c>
      <c r="B21" s="23" t="n"/>
      <c r="C21" s="35" t="n"/>
      <c r="D21" s="38" t="n"/>
      <c r="E21" s="38" t="n"/>
      <c r="F21" s="38" t="n"/>
      <c r="G21" s="38" t="n"/>
      <c r="H21" s="23" t="n"/>
      <c r="I21" s="25" t="n"/>
      <c r="J21" s="23" t="n"/>
      <c r="K21" s="38" t="n"/>
      <c r="L21" s="23" t="n"/>
      <c r="M21" s="37">
        <f>IF(OR($R21=0,$F21&lt;&gt;"",NOT(ISNUMBER($D21)),NOT(ISNUMBER($S21))),"",IF($S21&lt;=$D21,0,NETWORKDAYS($D21+1,$S21)))</f>
        <v/>
      </c>
      <c r="N21" s="39">
        <f>IF(OR($R21=0,$F21&lt;&gt;"",$C21="Need",$C21="Event",NOT(ISNUMBER($D21))),"",IF(OR($D21&lt;Baseline!$K$5,N($M21)&gt;N(Baseline!$C$23)),"Red",IF(N($M21)&gt;0,"Amber","Green")))</f>
        <v/>
      </c>
      <c r="O21" s="37">
        <f>IF(OR($R21=0,NOT(ISNUMBER($K21))),"",IF(ISNUMBER($F21),IF($F21&lt;=$K21,0,NETWORKDAYS($K21+1,$F21)),IF(NOT(ISNUMBER($S21)),"",IF($S21&lt;=$K21,0,NETWORKDAYS($K21+1,$S21)))))</f>
        <v/>
      </c>
      <c r="P21" s="28">
        <f>IF($R21=0,"",IF(AND(TRIM($B21)&lt;&gt;"",SUMPRODUCT(--($B$6:$B$44=$B21))&gt;1),"△ Name used twice",IF(ISERROR(MATCH($C21,{"Gate","Milestone","Need","Event"},0)),"△ No kind",IF(NOT(ISNUMBER($D21)),"△ Baselined isn't a date",IF(AND($C21="Gate",ISERROR(MATCH($B21,'Read me'!$B$56:$B$65,0))),"△ Not a gate name on Read me",IF(IF(AND(ISNUMBER($Y21),ISNUMBER($K21)),$Y21&lt;MAX($Y$5:$Y20),FALSE),"△ Original is before the row above's",IF(IF(AND(ISNUMBER($Y21),NOT(ISNUMBER($K21))),$Y21&lt;MAX($Y$5:$Y20),FALSE),"△ Dated before the row above",IF(AND(ISNUMBER($D21),ISNUMBER(Baseline!$C$10),MAX($D21,IF(ISNUMBER($G21),$G21,0))&gt;Baseline!$C$10),"△ After the Planned finish",IF(AND(TRIM($B21)="Close",ISNUMBER($D21),ISNUMBER(Baseline!$C$10),$D21&lt;&gt;Baseline!$C$10),"△ Close isn't dated on the Planned finish",IF(AND(ISNUMBER($G21),ISNUMBER($D21),$G21&lt;$D21),"△ Ends before it starts",IF($X21=1,"△ Arrives after it is needed",IF($U21=1,"△ Nobody answers for it",IF($V21=1,"△ Moved with no change",IF($W21=1,"△ Past the Owner's limit","○ Clear"))))))))))))))</f>
        <v/>
      </c>
      <c r="R21" s="24">
        <f>IF(COUNTA($B21:$L21)&gt;0,1,0)</f>
        <v/>
      </c>
      <c r="S21" s="40">
        <f>IF($R21=0,"",IF(ISNUMBER($E21),$E21,$D21))</f>
        <v/>
      </c>
      <c r="T21" s="24">
        <f>IF($R21=0,0,IF(OR(AND(TRIM($B21)&lt;&gt;"",SUMPRODUCT(--($B$6:$B$44=$B21))&gt;1),ISERROR(MATCH($C21,{"Gate","Milestone","Need","Event"},0)),NOT(ISNUMBER($D21)),AND($C21="Gate",ISERROR(MATCH($B21,'Read me'!$B$56:$B$65,0))),IF(AND(ISNUMBER($Y21),ISNUMBER($K21)),$Y21&lt;MAX($Y$5:$Y20),FALSE),IF(AND(ISNUMBER($Y21),NOT(ISNUMBER($K21))),$Y21&lt;MAX($Y$5:$Y20),FALSE),AND(ISNUMBER($D21),ISNUMBER(Baseline!$C$10),MAX($D21,IF(ISNUMBER($G21),$G21,0))&gt;Baseline!$C$10),AND(TRIM($B21)="Close",ISNUMBER($D21),ISNUMBER(Baseline!$C$10),$D21&lt;&gt;Baseline!$C$10),AND(ISNUMBER($G21),ISNUMBER($D21),$G21&lt;$D21)),1,0))</f>
        <v/>
      </c>
      <c r="U21" s="24">
        <f>IF(OR($R21=0,$F21&lt;&gt;"",AND($C21&lt;&gt;"Gate",$C21&lt;&gt;"Milestone",$C21&lt;&gt;"Need")),0,IF(TRIM($H21)="",1,0))</f>
        <v/>
      </c>
      <c r="V21" s="24">
        <f>IF(OR($R21=0,$F21&lt;&gt;"",$C21="Need",$C21="Event",Baseline!$C$13=""),0,IF(OR(AND(N($M21)&gt;0,SUMPRODUCT(--(Changes!$I$6:$I$55="Raised"),--(((Changes!$E$6:$E$55=$B21)+(LEFT($B21,LEN(Changes!$E$6:$E$55)+1)=Changes!$E$6:$E$55&amp;"."))&gt;0))=0),AND(ISNUMBER($K21),ISNUMBER($D21),$D21&lt;&gt;$K21,SUMPRODUCT(--(Changes!$I$6:$I$55="Approved"),--(((Changes!$E$6:$E$55=$B21)+(LEFT($B21,LEN(Changes!$E$6:$E$55)+1)=Changes!$E$6:$E$55&amp;"."))&gt;0))=0)),1,0))</f>
        <v/>
      </c>
      <c r="W21" s="24">
        <f>IF(OR($R21=0,$F21&lt;&gt;"",$C21="Need",$C21="Event",NOT(ISNUMBER(Baseline!$C$15))),0,IF(N($M21)&gt;Baseline!$C$15,1,0))</f>
        <v/>
      </c>
      <c r="X21" s="24">
        <f>IF(OR($R21=0,$F21&lt;&gt;"",$C21&lt;&gt;"Need"),0,IF(N($M21)&gt;0,1,0))</f>
        <v/>
      </c>
      <c r="Y21" s="40">
        <f>IF($R21=0,"",IF(ISNUMBER($K21),$K21,IF(ISNUMBER($D21),$D21,"")))</f>
        <v/>
      </c>
    </row>
    <row r="22">
      <c r="A22" s="37">
        <f>IF($R22=0,"",ROW()-5)</f>
        <v/>
      </c>
      <c r="B22" s="23" t="n"/>
      <c r="C22" s="35" t="n"/>
      <c r="D22" s="38" t="n"/>
      <c r="E22" s="38" t="n"/>
      <c r="F22" s="38" t="n"/>
      <c r="G22" s="38" t="n"/>
      <c r="H22" s="23" t="n"/>
      <c r="I22" s="25" t="n"/>
      <c r="J22" s="23" t="n"/>
      <c r="K22" s="38" t="n"/>
      <c r="L22" s="23" t="n"/>
      <c r="M22" s="37">
        <f>IF(OR($R22=0,$F22&lt;&gt;"",NOT(ISNUMBER($D22)),NOT(ISNUMBER($S22))),"",IF($S22&lt;=$D22,0,NETWORKDAYS($D22+1,$S22)))</f>
        <v/>
      </c>
      <c r="N22" s="39">
        <f>IF(OR($R22=0,$F22&lt;&gt;"",$C22="Need",$C22="Event",NOT(ISNUMBER($D22))),"",IF(OR($D22&lt;Baseline!$K$5,N($M22)&gt;N(Baseline!$C$23)),"Red",IF(N($M22)&gt;0,"Amber","Green")))</f>
        <v/>
      </c>
      <c r="O22" s="37">
        <f>IF(OR($R22=0,NOT(ISNUMBER($K22))),"",IF(ISNUMBER($F22),IF($F22&lt;=$K22,0,NETWORKDAYS($K22+1,$F22)),IF(NOT(ISNUMBER($S22)),"",IF($S22&lt;=$K22,0,NETWORKDAYS($K22+1,$S22)))))</f>
        <v/>
      </c>
      <c r="P22" s="28">
        <f>IF($R22=0,"",IF(AND(TRIM($B22)&lt;&gt;"",SUMPRODUCT(--($B$6:$B$44=$B22))&gt;1),"△ Name used twice",IF(ISERROR(MATCH($C22,{"Gate","Milestone","Need","Event"},0)),"△ No kind",IF(NOT(ISNUMBER($D22)),"△ Baselined isn't a date",IF(AND($C22="Gate",ISERROR(MATCH($B22,'Read me'!$B$56:$B$65,0))),"△ Not a gate name on Read me",IF(IF(AND(ISNUMBER($Y22),ISNUMBER($K22)),$Y22&lt;MAX($Y$5:$Y21),FALSE),"△ Original is before the row above's",IF(IF(AND(ISNUMBER($Y22),NOT(ISNUMBER($K22))),$Y22&lt;MAX($Y$5:$Y21),FALSE),"△ Dated before the row above",IF(AND(ISNUMBER($D22),ISNUMBER(Baseline!$C$10),MAX($D22,IF(ISNUMBER($G22),$G22,0))&gt;Baseline!$C$10),"△ After the Planned finish",IF(AND(TRIM($B22)="Close",ISNUMBER($D22),ISNUMBER(Baseline!$C$10),$D22&lt;&gt;Baseline!$C$10),"△ Close isn't dated on the Planned finish",IF(AND(ISNUMBER($G22),ISNUMBER($D22),$G22&lt;$D22),"△ Ends before it starts",IF($X22=1,"△ Arrives after it is needed",IF($U22=1,"△ Nobody answers for it",IF($V22=1,"△ Moved with no change",IF($W22=1,"△ Past the Owner's limit","○ Clear"))))))))))))))</f>
        <v/>
      </c>
      <c r="R22" s="24">
        <f>IF(COUNTA($B22:$L22)&gt;0,1,0)</f>
        <v/>
      </c>
      <c r="S22" s="40">
        <f>IF($R22=0,"",IF(ISNUMBER($E22),$E22,$D22))</f>
        <v/>
      </c>
      <c r="T22" s="24">
        <f>IF($R22=0,0,IF(OR(AND(TRIM($B22)&lt;&gt;"",SUMPRODUCT(--($B$6:$B$44=$B22))&gt;1),ISERROR(MATCH($C22,{"Gate","Milestone","Need","Event"},0)),NOT(ISNUMBER($D22)),AND($C22="Gate",ISERROR(MATCH($B22,'Read me'!$B$56:$B$65,0))),IF(AND(ISNUMBER($Y22),ISNUMBER($K22)),$Y22&lt;MAX($Y$5:$Y21),FALSE),IF(AND(ISNUMBER($Y22),NOT(ISNUMBER($K22))),$Y22&lt;MAX($Y$5:$Y21),FALSE),AND(ISNUMBER($D22),ISNUMBER(Baseline!$C$10),MAX($D22,IF(ISNUMBER($G22),$G22,0))&gt;Baseline!$C$10),AND(TRIM($B22)="Close",ISNUMBER($D22),ISNUMBER(Baseline!$C$10),$D22&lt;&gt;Baseline!$C$10),AND(ISNUMBER($G22),ISNUMBER($D22),$G22&lt;$D22)),1,0))</f>
        <v/>
      </c>
      <c r="U22" s="24">
        <f>IF(OR($R22=0,$F22&lt;&gt;"",AND($C22&lt;&gt;"Gate",$C22&lt;&gt;"Milestone",$C22&lt;&gt;"Need")),0,IF(TRIM($H22)="",1,0))</f>
        <v/>
      </c>
      <c r="V22" s="24">
        <f>IF(OR($R22=0,$F22&lt;&gt;"",$C22="Need",$C22="Event",Baseline!$C$13=""),0,IF(OR(AND(N($M22)&gt;0,SUMPRODUCT(--(Changes!$I$6:$I$55="Raised"),--(((Changes!$E$6:$E$55=$B22)+(LEFT($B22,LEN(Changes!$E$6:$E$55)+1)=Changes!$E$6:$E$55&amp;"."))&gt;0))=0),AND(ISNUMBER($K22),ISNUMBER($D22),$D22&lt;&gt;$K22,SUMPRODUCT(--(Changes!$I$6:$I$55="Approved"),--(((Changes!$E$6:$E$55=$B22)+(LEFT($B22,LEN(Changes!$E$6:$E$55)+1)=Changes!$E$6:$E$55&amp;"."))&gt;0))=0)),1,0))</f>
        <v/>
      </c>
      <c r="W22" s="24">
        <f>IF(OR($R22=0,$F22&lt;&gt;"",$C22="Need",$C22="Event",NOT(ISNUMBER(Baseline!$C$15))),0,IF(N($M22)&gt;Baseline!$C$15,1,0))</f>
        <v/>
      </c>
      <c r="X22" s="24">
        <f>IF(OR($R22=0,$F22&lt;&gt;"",$C22&lt;&gt;"Need"),0,IF(N($M22)&gt;0,1,0))</f>
        <v/>
      </c>
      <c r="Y22" s="40">
        <f>IF($R22=0,"",IF(ISNUMBER($K22),$K22,IF(ISNUMBER($D22),$D22,"")))</f>
        <v/>
      </c>
    </row>
    <row r="23">
      <c r="A23" s="37">
        <f>IF($R23=0,"",ROW()-5)</f>
        <v/>
      </c>
      <c r="B23" s="23" t="n"/>
      <c r="C23" s="35" t="n"/>
      <c r="D23" s="38" t="n"/>
      <c r="E23" s="38" t="n"/>
      <c r="F23" s="38" t="n"/>
      <c r="G23" s="38" t="n"/>
      <c r="H23" s="23" t="n"/>
      <c r="I23" s="25" t="n"/>
      <c r="J23" s="23" t="n"/>
      <c r="K23" s="38" t="n"/>
      <c r="L23" s="23" t="n"/>
      <c r="M23" s="37">
        <f>IF(OR($R23=0,$F23&lt;&gt;"",NOT(ISNUMBER($D23)),NOT(ISNUMBER($S23))),"",IF($S23&lt;=$D23,0,NETWORKDAYS($D23+1,$S23)))</f>
        <v/>
      </c>
      <c r="N23" s="39">
        <f>IF(OR($R23=0,$F23&lt;&gt;"",$C23="Need",$C23="Event",NOT(ISNUMBER($D23))),"",IF(OR($D23&lt;Baseline!$K$5,N($M23)&gt;N(Baseline!$C$23)),"Red",IF(N($M23)&gt;0,"Amber","Green")))</f>
        <v/>
      </c>
      <c r="O23" s="37">
        <f>IF(OR($R23=0,NOT(ISNUMBER($K23))),"",IF(ISNUMBER($F23),IF($F23&lt;=$K23,0,NETWORKDAYS($K23+1,$F23)),IF(NOT(ISNUMBER($S23)),"",IF($S23&lt;=$K23,0,NETWORKDAYS($K23+1,$S23)))))</f>
        <v/>
      </c>
      <c r="P23" s="28">
        <f>IF($R23=0,"",IF(AND(TRIM($B23)&lt;&gt;"",SUMPRODUCT(--($B$6:$B$44=$B23))&gt;1),"△ Name used twice",IF(ISERROR(MATCH($C23,{"Gate","Milestone","Need","Event"},0)),"△ No kind",IF(NOT(ISNUMBER($D23)),"△ Baselined isn't a date",IF(AND($C23="Gate",ISERROR(MATCH($B23,'Read me'!$B$56:$B$65,0))),"△ Not a gate name on Read me",IF(IF(AND(ISNUMBER($Y23),ISNUMBER($K23)),$Y23&lt;MAX($Y$5:$Y22),FALSE),"△ Original is before the row above's",IF(IF(AND(ISNUMBER($Y23),NOT(ISNUMBER($K23))),$Y23&lt;MAX($Y$5:$Y22),FALSE),"△ Dated before the row above",IF(AND(ISNUMBER($D23),ISNUMBER(Baseline!$C$10),MAX($D23,IF(ISNUMBER($G23),$G23,0))&gt;Baseline!$C$10),"△ After the Planned finish",IF(AND(TRIM($B23)="Close",ISNUMBER($D23),ISNUMBER(Baseline!$C$10),$D23&lt;&gt;Baseline!$C$10),"△ Close isn't dated on the Planned finish",IF(AND(ISNUMBER($G23),ISNUMBER($D23),$G23&lt;$D23),"△ Ends before it starts",IF($X23=1,"△ Arrives after it is needed",IF($U23=1,"△ Nobody answers for it",IF($V23=1,"△ Moved with no change",IF($W23=1,"△ Past the Owner's limit","○ Clear"))))))))))))))</f>
        <v/>
      </c>
      <c r="R23" s="24">
        <f>IF(COUNTA($B23:$L23)&gt;0,1,0)</f>
        <v/>
      </c>
      <c r="S23" s="40">
        <f>IF($R23=0,"",IF(ISNUMBER($E23),$E23,$D23))</f>
        <v/>
      </c>
      <c r="T23" s="24">
        <f>IF($R23=0,0,IF(OR(AND(TRIM($B23)&lt;&gt;"",SUMPRODUCT(--($B$6:$B$44=$B23))&gt;1),ISERROR(MATCH($C23,{"Gate","Milestone","Need","Event"},0)),NOT(ISNUMBER($D23)),AND($C23="Gate",ISERROR(MATCH($B23,'Read me'!$B$56:$B$65,0))),IF(AND(ISNUMBER($Y23),ISNUMBER($K23)),$Y23&lt;MAX($Y$5:$Y22),FALSE),IF(AND(ISNUMBER($Y23),NOT(ISNUMBER($K23))),$Y23&lt;MAX($Y$5:$Y22),FALSE),AND(ISNUMBER($D23),ISNUMBER(Baseline!$C$10),MAX($D23,IF(ISNUMBER($G23),$G23,0))&gt;Baseline!$C$10),AND(TRIM($B23)="Close",ISNUMBER($D23),ISNUMBER(Baseline!$C$10),$D23&lt;&gt;Baseline!$C$10),AND(ISNUMBER($G23),ISNUMBER($D23),$G23&lt;$D23)),1,0))</f>
        <v/>
      </c>
      <c r="U23" s="24">
        <f>IF(OR($R23=0,$F23&lt;&gt;"",AND($C23&lt;&gt;"Gate",$C23&lt;&gt;"Milestone",$C23&lt;&gt;"Need")),0,IF(TRIM($H23)="",1,0))</f>
        <v/>
      </c>
      <c r="V23" s="24">
        <f>IF(OR($R23=0,$F23&lt;&gt;"",$C23="Need",$C23="Event",Baseline!$C$13=""),0,IF(OR(AND(N($M23)&gt;0,SUMPRODUCT(--(Changes!$I$6:$I$55="Raised"),--(((Changes!$E$6:$E$55=$B23)+(LEFT($B23,LEN(Changes!$E$6:$E$55)+1)=Changes!$E$6:$E$55&amp;"."))&gt;0))=0),AND(ISNUMBER($K23),ISNUMBER($D23),$D23&lt;&gt;$K23,SUMPRODUCT(--(Changes!$I$6:$I$55="Approved"),--(((Changes!$E$6:$E$55=$B23)+(LEFT($B23,LEN(Changes!$E$6:$E$55)+1)=Changes!$E$6:$E$55&amp;"."))&gt;0))=0)),1,0))</f>
        <v/>
      </c>
      <c r="W23" s="24">
        <f>IF(OR($R23=0,$F23&lt;&gt;"",$C23="Need",$C23="Event",NOT(ISNUMBER(Baseline!$C$15))),0,IF(N($M23)&gt;Baseline!$C$15,1,0))</f>
        <v/>
      </c>
      <c r="X23" s="24">
        <f>IF(OR($R23=0,$F23&lt;&gt;"",$C23&lt;&gt;"Need"),0,IF(N($M23)&gt;0,1,0))</f>
        <v/>
      </c>
      <c r="Y23" s="40">
        <f>IF($R23=0,"",IF(ISNUMBER($K23),$K23,IF(ISNUMBER($D23),$D23,"")))</f>
        <v/>
      </c>
    </row>
    <row r="24">
      <c r="A24" s="37">
        <f>IF($R24=0,"",ROW()-5)</f>
        <v/>
      </c>
      <c r="B24" s="23" t="n"/>
      <c r="C24" s="35" t="n"/>
      <c r="D24" s="38" t="n"/>
      <c r="E24" s="38" t="n"/>
      <c r="F24" s="38" t="n"/>
      <c r="G24" s="38" t="n"/>
      <c r="H24" s="23" t="n"/>
      <c r="I24" s="25" t="n"/>
      <c r="J24" s="23" t="n"/>
      <c r="K24" s="38" t="n"/>
      <c r="L24" s="23" t="n"/>
      <c r="M24" s="37">
        <f>IF(OR($R24=0,$F24&lt;&gt;"",NOT(ISNUMBER($D24)),NOT(ISNUMBER($S24))),"",IF($S24&lt;=$D24,0,NETWORKDAYS($D24+1,$S24)))</f>
        <v/>
      </c>
      <c r="N24" s="39">
        <f>IF(OR($R24=0,$F24&lt;&gt;"",$C24="Need",$C24="Event",NOT(ISNUMBER($D24))),"",IF(OR($D24&lt;Baseline!$K$5,N($M24)&gt;N(Baseline!$C$23)),"Red",IF(N($M24)&gt;0,"Amber","Green")))</f>
        <v/>
      </c>
      <c r="O24" s="37">
        <f>IF(OR($R24=0,NOT(ISNUMBER($K24))),"",IF(ISNUMBER($F24),IF($F24&lt;=$K24,0,NETWORKDAYS($K24+1,$F24)),IF(NOT(ISNUMBER($S24)),"",IF($S24&lt;=$K24,0,NETWORKDAYS($K24+1,$S24)))))</f>
        <v/>
      </c>
      <c r="P24" s="28">
        <f>IF($R24=0,"",IF(AND(TRIM($B24)&lt;&gt;"",SUMPRODUCT(--($B$6:$B$44=$B24))&gt;1),"△ Name used twice",IF(ISERROR(MATCH($C24,{"Gate","Milestone","Need","Event"},0)),"△ No kind",IF(NOT(ISNUMBER($D24)),"△ Baselined isn't a date",IF(AND($C24="Gate",ISERROR(MATCH($B24,'Read me'!$B$56:$B$65,0))),"△ Not a gate name on Read me",IF(IF(AND(ISNUMBER($Y24),ISNUMBER($K24)),$Y24&lt;MAX($Y$5:$Y23),FALSE),"△ Original is before the row above's",IF(IF(AND(ISNUMBER($Y24),NOT(ISNUMBER($K24))),$Y24&lt;MAX($Y$5:$Y23),FALSE),"△ Dated before the row above",IF(AND(ISNUMBER($D24),ISNUMBER(Baseline!$C$10),MAX($D24,IF(ISNUMBER($G24),$G24,0))&gt;Baseline!$C$10),"△ After the Planned finish",IF(AND(TRIM($B24)="Close",ISNUMBER($D24),ISNUMBER(Baseline!$C$10),$D24&lt;&gt;Baseline!$C$10),"△ Close isn't dated on the Planned finish",IF(AND(ISNUMBER($G24),ISNUMBER($D24),$G24&lt;$D24),"△ Ends before it starts",IF($X24=1,"△ Arrives after it is needed",IF($U24=1,"△ Nobody answers for it",IF($V24=1,"△ Moved with no change",IF($W24=1,"△ Past the Owner's limit","○ Clear"))))))))))))))</f>
        <v/>
      </c>
      <c r="R24" s="24">
        <f>IF(COUNTA($B24:$L24)&gt;0,1,0)</f>
        <v/>
      </c>
      <c r="S24" s="40">
        <f>IF($R24=0,"",IF(ISNUMBER($E24),$E24,$D24))</f>
        <v/>
      </c>
      <c r="T24" s="24">
        <f>IF($R24=0,0,IF(OR(AND(TRIM($B24)&lt;&gt;"",SUMPRODUCT(--($B$6:$B$44=$B24))&gt;1),ISERROR(MATCH($C24,{"Gate","Milestone","Need","Event"},0)),NOT(ISNUMBER($D24)),AND($C24="Gate",ISERROR(MATCH($B24,'Read me'!$B$56:$B$65,0))),IF(AND(ISNUMBER($Y24),ISNUMBER($K24)),$Y24&lt;MAX($Y$5:$Y23),FALSE),IF(AND(ISNUMBER($Y24),NOT(ISNUMBER($K24))),$Y24&lt;MAX($Y$5:$Y23),FALSE),AND(ISNUMBER($D24),ISNUMBER(Baseline!$C$10),MAX($D24,IF(ISNUMBER($G24),$G24,0))&gt;Baseline!$C$10),AND(TRIM($B24)="Close",ISNUMBER($D24),ISNUMBER(Baseline!$C$10),$D24&lt;&gt;Baseline!$C$10),AND(ISNUMBER($G24),ISNUMBER($D24),$G24&lt;$D24)),1,0))</f>
        <v/>
      </c>
      <c r="U24" s="24">
        <f>IF(OR($R24=0,$F24&lt;&gt;"",AND($C24&lt;&gt;"Gate",$C24&lt;&gt;"Milestone",$C24&lt;&gt;"Need")),0,IF(TRIM($H24)="",1,0))</f>
        <v/>
      </c>
      <c r="V24" s="24">
        <f>IF(OR($R24=0,$F24&lt;&gt;"",$C24="Need",$C24="Event",Baseline!$C$13=""),0,IF(OR(AND(N($M24)&gt;0,SUMPRODUCT(--(Changes!$I$6:$I$55="Raised"),--(((Changes!$E$6:$E$55=$B24)+(LEFT($B24,LEN(Changes!$E$6:$E$55)+1)=Changes!$E$6:$E$55&amp;"."))&gt;0))=0),AND(ISNUMBER($K24),ISNUMBER($D24),$D24&lt;&gt;$K24,SUMPRODUCT(--(Changes!$I$6:$I$55="Approved"),--(((Changes!$E$6:$E$55=$B24)+(LEFT($B24,LEN(Changes!$E$6:$E$55)+1)=Changes!$E$6:$E$55&amp;"."))&gt;0))=0)),1,0))</f>
        <v/>
      </c>
      <c r="W24" s="24">
        <f>IF(OR($R24=0,$F24&lt;&gt;"",$C24="Need",$C24="Event",NOT(ISNUMBER(Baseline!$C$15))),0,IF(N($M24)&gt;Baseline!$C$15,1,0))</f>
        <v/>
      </c>
      <c r="X24" s="24">
        <f>IF(OR($R24=0,$F24&lt;&gt;"",$C24&lt;&gt;"Need"),0,IF(N($M24)&gt;0,1,0))</f>
        <v/>
      </c>
      <c r="Y24" s="40">
        <f>IF($R24=0,"",IF(ISNUMBER($K24),$K24,IF(ISNUMBER($D24),$D24,"")))</f>
        <v/>
      </c>
    </row>
    <row r="25">
      <c r="A25" s="37">
        <f>IF($R25=0,"",ROW()-5)</f>
        <v/>
      </c>
      <c r="B25" s="23" t="n"/>
      <c r="C25" s="35" t="n"/>
      <c r="D25" s="38" t="n"/>
      <c r="E25" s="38" t="n"/>
      <c r="F25" s="38" t="n"/>
      <c r="G25" s="38" t="n"/>
      <c r="H25" s="23" t="n"/>
      <c r="I25" s="25" t="n"/>
      <c r="J25" s="23" t="n"/>
      <c r="K25" s="38" t="n"/>
      <c r="L25" s="23" t="n"/>
      <c r="M25" s="37">
        <f>IF(OR($R25=0,$F25&lt;&gt;"",NOT(ISNUMBER($D25)),NOT(ISNUMBER($S25))),"",IF($S25&lt;=$D25,0,NETWORKDAYS($D25+1,$S25)))</f>
        <v/>
      </c>
      <c r="N25" s="39">
        <f>IF(OR($R25=0,$F25&lt;&gt;"",$C25="Need",$C25="Event",NOT(ISNUMBER($D25))),"",IF(OR($D25&lt;Baseline!$K$5,N($M25)&gt;N(Baseline!$C$23)),"Red",IF(N($M25)&gt;0,"Amber","Green")))</f>
        <v/>
      </c>
      <c r="O25" s="37">
        <f>IF(OR($R25=0,NOT(ISNUMBER($K25))),"",IF(ISNUMBER($F25),IF($F25&lt;=$K25,0,NETWORKDAYS($K25+1,$F25)),IF(NOT(ISNUMBER($S25)),"",IF($S25&lt;=$K25,0,NETWORKDAYS($K25+1,$S25)))))</f>
        <v/>
      </c>
      <c r="P25" s="28">
        <f>IF($R25=0,"",IF(AND(TRIM($B25)&lt;&gt;"",SUMPRODUCT(--($B$6:$B$44=$B25))&gt;1),"△ Name used twice",IF(ISERROR(MATCH($C25,{"Gate","Milestone","Need","Event"},0)),"△ No kind",IF(NOT(ISNUMBER($D25)),"△ Baselined isn't a date",IF(AND($C25="Gate",ISERROR(MATCH($B25,'Read me'!$B$56:$B$65,0))),"△ Not a gate name on Read me",IF(IF(AND(ISNUMBER($Y25),ISNUMBER($K25)),$Y25&lt;MAX($Y$5:$Y24),FALSE),"△ Original is before the row above's",IF(IF(AND(ISNUMBER($Y25),NOT(ISNUMBER($K25))),$Y25&lt;MAX($Y$5:$Y24),FALSE),"△ Dated before the row above",IF(AND(ISNUMBER($D25),ISNUMBER(Baseline!$C$10),MAX($D25,IF(ISNUMBER($G25),$G25,0))&gt;Baseline!$C$10),"△ After the Planned finish",IF(AND(TRIM($B25)="Close",ISNUMBER($D25),ISNUMBER(Baseline!$C$10),$D25&lt;&gt;Baseline!$C$10),"△ Close isn't dated on the Planned finish",IF(AND(ISNUMBER($G25),ISNUMBER($D25),$G25&lt;$D25),"△ Ends before it starts",IF($X25=1,"△ Arrives after it is needed",IF($U25=1,"△ Nobody answers for it",IF($V25=1,"△ Moved with no change",IF($W25=1,"△ Past the Owner's limit","○ Clear"))))))))))))))</f>
        <v/>
      </c>
      <c r="R25" s="24">
        <f>IF(COUNTA($B25:$L25)&gt;0,1,0)</f>
        <v/>
      </c>
      <c r="S25" s="40">
        <f>IF($R25=0,"",IF(ISNUMBER($E25),$E25,$D25))</f>
        <v/>
      </c>
      <c r="T25" s="24">
        <f>IF($R25=0,0,IF(OR(AND(TRIM($B25)&lt;&gt;"",SUMPRODUCT(--($B$6:$B$44=$B25))&gt;1),ISERROR(MATCH($C25,{"Gate","Milestone","Need","Event"},0)),NOT(ISNUMBER($D25)),AND($C25="Gate",ISERROR(MATCH($B25,'Read me'!$B$56:$B$65,0))),IF(AND(ISNUMBER($Y25),ISNUMBER($K25)),$Y25&lt;MAX($Y$5:$Y24),FALSE),IF(AND(ISNUMBER($Y25),NOT(ISNUMBER($K25))),$Y25&lt;MAX($Y$5:$Y24),FALSE),AND(ISNUMBER($D25),ISNUMBER(Baseline!$C$10),MAX($D25,IF(ISNUMBER($G25),$G25,0))&gt;Baseline!$C$10),AND(TRIM($B25)="Close",ISNUMBER($D25),ISNUMBER(Baseline!$C$10),$D25&lt;&gt;Baseline!$C$10),AND(ISNUMBER($G25),ISNUMBER($D25),$G25&lt;$D25)),1,0))</f>
        <v/>
      </c>
      <c r="U25" s="24">
        <f>IF(OR($R25=0,$F25&lt;&gt;"",AND($C25&lt;&gt;"Gate",$C25&lt;&gt;"Milestone",$C25&lt;&gt;"Need")),0,IF(TRIM($H25)="",1,0))</f>
        <v/>
      </c>
      <c r="V25" s="24">
        <f>IF(OR($R25=0,$F25&lt;&gt;"",$C25="Need",$C25="Event",Baseline!$C$13=""),0,IF(OR(AND(N($M25)&gt;0,SUMPRODUCT(--(Changes!$I$6:$I$55="Raised"),--(((Changes!$E$6:$E$55=$B25)+(LEFT($B25,LEN(Changes!$E$6:$E$55)+1)=Changes!$E$6:$E$55&amp;"."))&gt;0))=0),AND(ISNUMBER($K25),ISNUMBER($D25),$D25&lt;&gt;$K25,SUMPRODUCT(--(Changes!$I$6:$I$55="Approved"),--(((Changes!$E$6:$E$55=$B25)+(LEFT($B25,LEN(Changes!$E$6:$E$55)+1)=Changes!$E$6:$E$55&amp;"."))&gt;0))=0)),1,0))</f>
        <v/>
      </c>
      <c r="W25" s="24">
        <f>IF(OR($R25=0,$F25&lt;&gt;"",$C25="Need",$C25="Event",NOT(ISNUMBER(Baseline!$C$15))),0,IF(N($M25)&gt;Baseline!$C$15,1,0))</f>
        <v/>
      </c>
      <c r="X25" s="24">
        <f>IF(OR($R25=0,$F25&lt;&gt;"",$C25&lt;&gt;"Need"),0,IF(N($M25)&gt;0,1,0))</f>
        <v/>
      </c>
      <c r="Y25" s="40">
        <f>IF($R25=0,"",IF(ISNUMBER($K25),$K25,IF(ISNUMBER($D25),$D25,"")))</f>
        <v/>
      </c>
    </row>
    <row r="26">
      <c r="A26" s="37">
        <f>IF($R26=0,"",ROW()-5)</f>
        <v/>
      </c>
      <c r="B26" s="23" t="n"/>
      <c r="C26" s="35" t="n"/>
      <c r="D26" s="38" t="n"/>
      <c r="E26" s="38" t="n"/>
      <c r="F26" s="38" t="n"/>
      <c r="G26" s="38" t="n"/>
      <c r="H26" s="23" t="n"/>
      <c r="I26" s="25" t="n"/>
      <c r="J26" s="23" t="n"/>
      <c r="K26" s="38" t="n"/>
      <c r="L26" s="23" t="n"/>
      <c r="M26" s="37">
        <f>IF(OR($R26=0,$F26&lt;&gt;"",NOT(ISNUMBER($D26)),NOT(ISNUMBER($S26))),"",IF($S26&lt;=$D26,0,NETWORKDAYS($D26+1,$S26)))</f>
        <v/>
      </c>
      <c r="N26" s="39">
        <f>IF(OR($R26=0,$F26&lt;&gt;"",$C26="Need",$C26="Event",NOT(ISNUMBER($D26))),"",IF(OR($D26&lt;Baseline!$K$5,N($M26)&gt;N(Baseline!$C$23)),"Red",IF(N($M26)&gt;0,"Amber","Green")))</f>
        <v/>
      </c>
      <c r="O26" s="37">
        <f>IF(OR($R26=0,NOT(ISNUMBER($K26))),"",IF(ISNUMBER($F26),IF($F26&lt;=$K26,0,NETWORKDAYS($K26+1,$F26)),IF(NOT(ISNUMBER($S26)),"",IF($S26&lt;=$K26,0,NETWORKDAYS($K26+1,$S26)))))</f>
        <v/>
      </c>
      <c r="P26" s="28">
        <f>IF($R26=0,"",IF(AND(TRIM($B26)&lt;&gt;"",SUMPRODUCT(--($B$6:$B$44=$B26))&gt;1),"△ Name used twice",IF(ISERROR(MATCH($C26,{"Gate","Milestone","Need","Event"},0)),"△ No kind",IF(NOT(ISNUMBER($D26)),"△ Baselined isn't a date",IF(AND($C26="Gate",ISERROR(MATCH($B26,'Read me'!$B$56:$B$65,0))),"△ Not a gate name on Read me",IF(IF(AND(ISNUMBER($Y26),ISNUMBER($K26)),$Y26&lt;MAX($Y$5:$Y25),FALSE),"△ Original is before the row above's",IF(IF(AND(ISNUMBER($Y26),NOT(ISNUMBER($K26))),$Y26&lt;MAX($Y$5:$Y25),FALSE),"△ Dated before the row above",IF(AND(ISNUMBER($D26),ISNUMBER(Baseline!$C$10),MAX($D26,IF(ISNUMBER($G26),$G26,0))&gt;Baseline!$C$10),"△ After the Planned finish",IF(AND(TRIM($B26)="Close",ISNUMBER($D26),ISNUMBER(Baseline!$C$10),$D26&lt;&gt;Baseline!$C$10),"△ Close isn't dated on the Planned finish",IF(AND(ISNUMBER($G26),ISNUMBER($D26),$G26&lt;$D26),"△ Ends before it starts",IF($X26=1,"△ Arrives after it is needed",IF($U26=1,"△ Nobody answers for it",IF($V26=1,"△ Moved with no change",IF($W26=1,"△ Past the Owner's limit","○ Clear"))))))))))))))</f>
        <v/>
      </c>
      <c r="R26" s="24">
        <f>IF(COUNTA($B26:$L26)&gt;0,1,0)</f>
        <v/>
      </c>
      <c r="S26" s="40">
        <f>IF($R26=0,"",IF(ISNUMBER($E26),$E26,$D26))</f>
        <v/>
      </c>
      <c r="T26" s="24">
        <f>IF($R26=0,0,IF(OR(AND(TRIM($B26)&lt;&gt;"",SUMPRODUCT(--($B$6:$B$44=$B26))&gt;1),ISERROR(MATCH($C26,{"Gate","Milestone","Need","Event"},0)),NOT(ISNUMBER($D26)),AND($C26="Gate",ISERROR(MATCH($B26,'Read me'!$B$56:$B$65,0))),IF(AND(ISNUMBER($Y26),ISNUMBER($K26)),$Y26&lt;MAX($Y$5:$Y25),FALSE),IF(AND(ISNUMBER($Y26),NOT(ISNUMBER($K26))),$Y26&lt;MAX($Y$5:$Y25),FALSE),AND(ISNUMBER($D26),ISNUMBER(Baseline!$C$10),MAX($D26,IF(ISNUMBER($G26),$G26,0))&gt;Baseline!$C$10),AND(TRIM($B26)="Close",ISNUMBER($D26),ISNUMBER(Baseline!$C$10),$D26&lt;&gt;Baseline!$C$10),AND(ISNUMBER($G26),ISNUMBER($D26),$G26&lt;$D26)),1,0))</f>
        <v/>
      </c>
      <c r="U26" s="24">
        <f>IF(OR($R26=0,$F26&lt;&gt;"",AND($C26&lt;&gt;"Gate",$C26&lt;&gt;"Milestone",$C26&lt;&gt;"Need")),0,IF(TRIM($H26)="",1,0))</f>
        <v/>
      </c>
      <c r="V26" s="24">
        <f>IF(OR($R26=0,$F26&lt;&gt;"",$C26="Need",$C26="Event",Baseline!$C$13=""),0,IF(OR(AND(N($M26)&gt;0,SUMPRODUCT(--(Changes!$I$6:$I$55="Raised"),--(((Changes!$E$6:$E$55=$B26)+(LEFT($B26,LEN(Changes!$E$6:$E$55)+1)=Changes!$E$6:$E$55&amp;"."))&gt;0))=0),AND(ISNUMBER($K26),ISNUMBER($D26),$D26&lt;&gt;$K26,SUMPRODUCT(--(Changes!$I$6:$I$55="Approved"),--(((Changes!$E$6:$E$55=$B26)+(LEFT($B26,LEN(Changes!$E$6:$E$55)+1)=Changes!$E$6:$E$55&amp;"."))&gt;0))=0)),1,0))</f>
        <v/>
      </c>
      <c r="W26" s="24">
        <f>IF(OR($R26=0,$F26&lt;&gt;"",$C26="Need",$C26="Event",NOT(ISNUMBER(Baseline!$C$15))),0,IF(N($M26)&gt;Baseline!$C$15,1,0))</f>
        <v/>
      </c>
      <c r="X26" s="24">
        <f>IF(OR($R26=0,$F26&lt;&gt;"",$C26&lt;&gt;"Need"),0,IF(N($M26)&gt;0,1,0))</f>
        <v/>
      </c>
      <c r="Y26" s="40">
        <f>IF($R26=0,"",IF(ISNUMBER($K26),$K26,IF(ISNUMBER($D26),$D26,"")))</f>
        <v/>
      </c>
    </row>
    <row r="27">
      <c r="A27" s="37">
        <f>IF($R27=0,"",ROW()-5)</f>
        <v/>
      </c>
      <c r="B27" s="23" t="n"/>
      <c r="C27" s="35" t="n"/>
      <c r="D27" s="38" t="n"/>
      <c r="E27" s="38" t="n"/>
      <c r="F27" s="38" t="n"/>
      <c r="G27" s="38" t="n"/>
      <c r="H27" s="23" t="n"/>
      <c r="I27" s="25" t="n"/>
      <c r="J27" s="23" t="n"/>
      <c r="K27" s="38" t="n"/>
      <c r="L27" s="23" t="n"/>
      <c r="M27" s="37">
        <f>IF(OR($R27=0,$F27&lt;&gt;"",NOT(ISNUMBER($D27)),NOT(ISNUMBER($S27))),"",IF($S27&lt;=$D27,0,NETWORKDAYS($D27+1,$S27)))</f>
        <v/>
      </c>
      <c r="N27" s="39">
        <f>IF(OR($R27=0,$F27&lt;&gt;"",$C27="Need",$C27="Event",NOT(ISNUMBER($D27))),"",IF(OR($D27&lt;Baseline!$K$5,N($M27)&gt;N(Baseline!$C$23)),"Red",IF(N($M27)&gt;0,"Amber","Green")))</f>
        <v/>
      </c>
      <c r="O27" s="37">
        <f>IF(OR($R27=0,NOT(ISNUMBER($K27))),"",IF(ISNUMBER($F27),IF($F27&lt;=$K27,0,NETWORKDAYS($K27+1,$F27)),IF(NOT(ISNUMBER($S27)),"",IF($S27&lt;=$K27,0,NETWORKDAYS($K27+1,$S27)))))</f>
        <v/>
      </c>
      <c r="P27" s="28">
        <f>IF($R27=0,"",IF(AND(TRIM($B27)&lt;&gt;"",SUMPRODUCT(--($B$6:$B$44=$B27))&gt;1),"△ Name used twice",IF(ISERROR(MATCH($C27,{"Gate","Milestone","Need","Event"},0)),"△ No kind",IF(NOT(ISNUMBER($D27)),"△ Baselined isn't a date",IF(AND($C27="Gate",ISERROR(MATCH($B27,'Read me'!$B$56:$B$65,0))),"△ Not a gate name on Read me",IF(IF(AND(ISNUMBER($Y27),ISNUMBER($K27)),$Y27&lt;MAX($Y$5:$Y26),FALSE),"△ Original is before the row above's",IF(IF(AND(ISNUMBER($Y27),NOT(ISNUMBER($K27))),$Y27&lt;MAX($Y$5:$Y26),FALSE),"△ Dated before the row above",IF(AND(ISNUMBER($D27),ISNUMBER(Baseline!$C$10),MAX($D27,IF(ISNUMBER($G27),$G27,0))&gt;Baseline!$C$10),"△ After the Planned finish",IF(AND(TRIM($B27)="Close",ISNUMBER($D27),ISNUMBER(Baseline!$C$10),$D27&lt;&gt;Baseline!$C$10),"△ Close isn't dated on the Planned finish",IF(AND(ISNUMBER($G27),ISNUMBER($D27),$G27&lt;$D27),"△ Ends before it starts",IF($X27=1,"△ Arrives after it is needed",IF($U27=1,"△ Nobody answers for it",IF($V27=1,"△ Moved with no change",IF($W27=1,"△ Past the Owner's limit","○ Clear"))))))))))))))</f>
        <v/>
      </c>
      <c r="R27" s="24">
        <f>IF(COUNTA($B27:$L27)&gt;0,1,0)</f>
        <v/>
      </c>
      <c r="S27" s="40">
        <f>IF($R27=0,"",IF(ISNUMBER($E27),$E27,$D27))</f>
        <v/>
      </c>
      <c r="T27" s="24">
        <f>IF($R27=0,0,IF(OR(AND(TRIM($B27)&lt;&gt;"",SUMPRODUCT(--($B$6:$B$44=$B27))&gt;1),ISERROR(MATCH($C27,{"Gate","Milestone","Need","Event"},0)),NOT(ISNUMBER($D27)),AND($C27="Gate",ISERROR(MATCH($B27,'Read me'!$B$56:$B$65,0))),IF(AND(ISNUMBER($Y27),ISNUMBER($K27)),$Y27&lt;MAX($Y$5:$Y26),FALSE),IF(AND(ISNUMBER($Y27),NOT(ISNUMBER($K27))),$Y27&lt;MAX($Y$5:$Y26),FALSE),AND(ISNUMBER($D27),ISNUMBER(Baseline!$C$10),MAX($D27,IF(ISNUMBER($G27),$G27,0))&gt;Baseline!$C$10),AND(TRIM($B27)="Close",ISNUMBER($D27),ISNUMBER(Baseline!$C$10),$D27&lt;&gt;Baseline!$C$10),AND(ISNUMBER($G27),ISNUMBER($D27),$G27&lt;$D27)),1,0))</f>
        <v/>
      </c>
      <c r="U27" s="24">
        <f>IF(OR($R27=0,$F27&lt;&gt;"",AND($C27&lt;&gt;"Gate",$C27&lt;&gt;"Milestone",$C27&lt;&gt;"Need")),0,IF(TRIM($H27)="",1,0))</f>
        <v/>
      </c>
      <c r="V27" s="24">
        <f>IF(OR($R27=0,$F27&lt;&gt;"",$C27="Need",$C27="Event",Baseline!$C$13=""),0,IF(OR(AND(N($M27)&gt;0,SUMPRODUCT(--(Changes!$I$6:$I$55="Raised"),--(((Changes!$E$6:$E$55=$B27)+(LEFT($B27,LEN(Changes!$E$6:$E$55)+1)=Changes!$E$6:$E$55&amp;"."))&gt;0))=0),AND(ISNUMBER($K27),ISNUMBER($D27),$D27&lt;&gt;$K27,SUMPRODUCT(--(Changes!$I$6:$I$55="Approved"),--(((Changes!$E$6:$E$55=$B27)+(LEFT($B27,LEN(Changes!$E$6:$E$55)+1)=Changes!$E$6:$E$55&amp;"."))&gt;0))=0)),1,0))</f>
        <v/>
      </c>
      <c r="W27" s="24">
        <f>IF(OR($R27=0,$F27&lt;&gt;"",$C27="Need",$C27="Event",NOT(ISNUMBER(Baseline!$C$15))),0,IF(N($M27)&gt;Baseline!$C$15,1,0))</f>
        <v/>
      </c>
      <c r="X27" s="24">
        <f>IF(OR($R27=0,$F27&lt;&gt;"",$C27&lt;&gt;"Need"),0,IF(N($M27)&gt;0,1,0))</f>
        <v/>
      </c>
      <c r="Y27" s="40">
        <f>IF($R27=0,"",IF(ISNUMBER($K27),$K27,IF(ISNUMBER($D27),$D27,"")))</f>
        <v/>
      </c>
    </row>
    <row r="28">
      <c r="A28" s="37">
        <f>IF($R28=0,"",ROW()-5)</f>
        <v/>
      </c>
      <c r="B28" s="23" t="n"/>
      <c r="C28" s="35" t="n"/>
      <c r="D28" s="38" t="n"/>
      <c r="E28" s="38" t="n"/>
      <c r="F28" s="38" t="n"/>
      <c r="G28" s="38" t="n"/>
      <c r="H28" s="23" t="n"/>
      <c r="I28" s="25" t="n"/>
      <c r="J28" s="23" t="n"/>
      <c r="K28" s="38" t="n"/>
      <c r="L28" s="23" t="n"/>
      <c r="M28" s="37">
        <f>IF(OR($R28=0,$F28&lt;&gt;"",NOT(ISNUMBER($D28)),NOT(ISNUMBER($S28))),"",IF($S28&lt;=$D28,0,NETWORKDAYS($D28+1,$S28)))</f>
        <v/>
      </c>
      <c r="N28" s="39">
        <f>IF(OR($R28=0,$F28&lt;&gt;"",$C28="Need",$C28="Event",NOT(ISNUMBER($D28))),"",IF(OR($D28&lt;Baseline!$K$5,N($M28)&gt;N(Baseline!$C$23)),"Red",IF(N($M28)&gt;0,"Amber","Green")))</f>
        <v/>
      </c>
      <c r="O28" s="37">
        <f>IF(OR($R28=0,NOT(ISNUMBER($K28))),"",IF(ISNUMBER($F28),IF($F28&lt;=$K28,0,NETWORKDAYS($K28+1,$F28)),IF(NOT(ISNUMBER($S28)),"",IF($S28&lt;=$K28,0,NETWORKDAYS($K28+1,$S28)))))</f>
        <v/>
      </c>
      <c r="P28" s="28">
        <f>IF($R28=0,"",IF(AND(TRIM($B28)&lt;&gt;"",SUMPRODUCT(--($B$6:$B$44=$B28))&gt;1),"△ Name used twice",IF(ISERROR(MATCH($C28,{"Gate","Milestone","Need","Event"},0)),"△ No kind",IF(NOT(ISNUMBER($D28)),"△ Baselined isn't a date",IF(AND($C28="Gate",ISERROR(MATCH($B28,'Read me'!$B$56:$B$65,0))),"△ Not a gate name on Read me",IF(IF(AND(ISNUMBER($Y28),ISNUMBER($K28)),$Y28&lt;MAX($Y$5:$Y27),FALSE),"△ Original is before the row above's",IF(IF(AND(ISNUMBER($Y28),NOT(ISNUMBER($K28))),$Y28&lt;MAX($Y$5:$Y27),FALSE),"△ Dated before the row above",IF(AND(ISNUMBER($D28),ISNUMBER(Baseline!$C$10),MAX($D28,IF(ISNUMBER($G28),$G28,0))&gt;Baseline!$C$10),"△ After the Planned finish",IF(AND(TRIM($B28)="Close",ISNUMBER($D28),ISNUMBER(Baseline!$C$10),$D28&lt;&gt;Baseline!$C$10),"△ Close isn't dated on the Planned finish",IF(AND(ISNUMBER($G28),ISNUMBER($D28),$G28&lt;$D28),"△ Ends before it starts",IF($X28=1,"△ Arrives after it is needed",IF($U28=1,"△ Nobody answers for it",IF($V28=1,"△ Moved with no change",IF($W28=1,"△ Past the Owner's limit","○ Clear"))))))))))))))</f>
        <v/>
      </c>
      <c r="R28" s="24">
        <f>IF(COUNTA($B28:$L28)&gt;0,1,0)</f>
        <v/>
      </c>
      <c r="S28" s="40">
        <f>IF($R28=0,"",IF(ISNUMBER($E28),$E28,$D28))</f>
        <v/>
      </c>
      <c r="T28" s="24">
        <f>IF($R28=0,0,IF(OR(AND(TRIM($B28)&lt;&gt;"",SUMPRODUCT(--($B$6:$B$44=$B28))&gt;1),ISERROR(MATCH($C28,{"Gate","Milestone","Need","Event"},0)),NOT(ISNUMBER($D28)),AND($C28="Gate",ISERROR(MATCH($B28,'Read me'!$B$56:$B$65,0))),IF(AND(ISNUMBER($Y28),ISNUMBER($K28)),$Y28&lt;MAX($Y$5:$Y27),FALSE),IF(AND(ISNUMBER($Y28),NOT(ISNUMBER($K28))),$Y28&lt;MAX($Y$5:$Y27),FALSE),AND(ISNUMBER($D28),ISNUMBER(Baseline!$C$10),MAX($D28,IF(ISNUMBER($G28),$G28,0))&gt;Baseline!$C$10),AND(TRIM($B28)="Close",ISNUMBER($D28),ISNUMBER(Baseline!$C$10),$D28&lt;&gt;Baseline!$C$10),AND(ISNUMBER($G28),ISNUMBER($D28),$G28&lt;$D28)),1,0))</f>
        <v/>
      </c>
      <c r="U28" s="24">
        <f>IF(OR($R28=0,$F28&lt;&gt;"",AND($C28&lt;&gt;"Gate",$C28&lt;&gt;"Milestone",$C28&lt;&gt;"Need")),0,IF(TRIM($H28)="",1,0))</f>
        <v/>
      </c>
      <c r="V28" s="24">
        <f>IF(OR($R28=0,$F28&lt;&gt;"",$C28="Need",$C28="Event",Baseline!$C$13=""),0,IF(OR(AND(N($M28)&gt;0,SUMPRODUCT(--(Changes!$I$6:$I$55="Raised"),--(((Changes!$E$6:$E$55=$B28)+(LEFT($B28,LEN(Changes!$E$6:$E$55)+1)=Changes!$E$6:$E$55&amp;"."))&gt;0))=0),AND(ISNUMBER($K28),ISNUMBER($D28),$D28&lt;&gt;$K28,SUMPRODUCT(--(Changes!$I$6:$I$55="Approved"),--(((Changes!$E$6:$E$55=$B28)+(LEFT($B28,LEN(Changes!$E$6:$E$55)+1)=Changes!$E$6:$E$55&amp;"."))&gt;0))=0)),1,0))</f>
        <v/>
      </c>
      <c r="W28" s="24">
        <f>IF(OR($R28=0,$F28&lt;&gt;"",$C28="Need",$C28="Event",NOT(ISNUMBER(Baseline!$C$15))),0,IF(N($M28)&gt;Baseline!$C$15,1,0))</f>
        <v/>
      </c>
      <c r="X28" s="24">
        <f>IF(OR($R28=0,$F28&lt;&gt;"",$C28&lt;&gt;"Need"),0,IF(N($M28)&gt;0,1,0))</f>
        <v/>
      </c>
      <c r="Y28" s="40">
        <f>IF($R28=0,"",IF(ISNUMBER($K28),$K28,IF(ISNUMBER($D28),$D28,"")))</f>
        <v/>
      </c>
    </row>
    <row r="29">
      <c r="A29" s="37">
        <f>IF($R29=0,"",ROW()-5)</f>
        <v/>
      </c>
      <c r="B29" s="23" t="n"/>
      <c r="C29" s="35" t="n"/>
      <c r="D29" s="38" t="n"/>
      <c r="E29" s="38" t="n"/>
      <c r="F29" s="38" t="n"/>
      <c r="G29" s="38" t="n"/>
      <c r="H29" s="23" t="n"/>
      <c r="I29" s="25" t="n"/>
      <c r="J29" s="23" t="n"/>
      <c r="K29" s="38" t="n"/>
      <c r="L29" s="23" t="n"/>
      <c r="M29" s="37">
        <f>IF(OR($R29=0,$F29&lt;&gt;"",NOT(ISNUMBER($D29)),NOT(ISNUMBER($S29))),"",IF($S29&lt;=$D29,0,NETWORKDAYS($D29+1,$S29)))</f>
        <v/>
      </c>
      <c r="N29" s="39">
        <f>IF(OR($R29=0,$F29&lt;&gt;"",$C29="Need",$C29="Event",NOT(ISNUMBER($D29))),"",IF(OR($D29&lt;Baseline!$K$5,N($M29)&gt;N(Baseline!$C$23)),"Red",IF(N($M29)&gt;0,"Amber","Green")))</f>
        <v/>
      </c>
      <c r="O29" s="37">
        <f>IF(OR($R29=0,NOT(ISNUMBER($K29))),"",IF(ISNUMBER($F29),IF($F29&lt;=$K29,0,NETWORKDAYS($K29+1,$F29)),IF(NOT(ISNUMBER($S29)),"",IF($S29&lt;=$K29,0,NETWORKDAYS($K29+1,$S29)))))</f>
        <v/>
      </c>
      <c r="P29" s="28">
        <f>IF($R29=0,"",IF(AND(TRIM($B29)&lt;&gt;"",SUMPRODUCT(--($B$6:$B$44=$B29))&gt;1),"△ Name used twice",IF(ISERROR(MATCH($C29,{"Gate","Milestone","Need","Event"},0)),"△ No kind",IF(NOT(ISNUMBER($D29)),"△ Baselined isn't a date",IF(AND($C29="Gate",ISERROR(MATCH($B29,'Read me'!$B$56:$B$65,0))),"△ Not a gate name on Read me",IF(IF(AND(ISNUMBER($Y29),ISNUMBER($K29)),$Y29&lt;MAX($Y$5:$Y28),FALSE),"△ Original is before the row above's",IF(IF(AND(ISNUMBER($Y29),NOT(ISNUMBER($K29))),$Y29&lt;MAX($Y$5:$Y28),FALSE),"△ Dated before the row above",IF(AND(ISNUMBER($D29),ISNUMBER(Baseline!$C$10),MAX($D29,IF(ISNUMBER($G29),$G29,0))&gt;Baseline!$C$10),"△ After the Planned finish",IF(AND(TRIM($B29)="Close",ISNUMBER($D29),ISNUMBER(Baseline!$C$10),$D29&lt;&gt;Baseline!$C$10),"△ Close isn't dated on the Planned finish",IF(AND(ISNUMBER($G29),ISNUMBER($D29),$G29&lt;$D29),"△ Ends before it starts",IF($X29=1,"△ Arrives after it is needed",IF($U29=1,"△ Nobody answers for it",IF($V29=1,"△ Moved with no change",IF($W29=1,"△ Past the Owner's limit","○ Clear"))))))))))))))</f>
        <v/>
      </c>
      <c r="R29" s="24">
        <f>IF(COUNTA($B29:$L29)&gt;0,1,0)</f>
        <v/>
      </c>
      <c r="S29" s="40">
        <f>IF($R29=0,"",IF(ISNUMBER($E29),$E29,$D29))</f>
        <v/>
      </c>
      <c r="T29" s="24">
        <f>IF($R29=0,0,IF(OR(AND(TRIM($B29)&lt;&gt;"",SUMPRODUCT(--($B$6:$B$44=$B29))&gt;1),ISERROR(MATCH($C29,{"Gate","Milestone","Need","Event"},0)),NOT(ISNUMBER($D29)),AND($C29="Gate",ISERROR(MATCH($B29,'Read me'!$B$56:$B$65,0))),IF(AND(ISNUMBER($Y29),ISNUMBER($K29)),$Y29&lt;MAX($Y$5:$Y28),FALSE),IF(AND(ISNUMBER($Y29),NOT(ISNUMBER($K29))),$Y29&lt;MAX($Y$5:$Y28),FALSE),AND(ISNUMBER($D29),ISNUMBER(Baseline!$C$10),MAX($D29,IF(ISNUMBER($G29),$G29,0))&gt;Baseline!$C$10),AND(TRIM($B29)="Close",ISNUMBER($D29),ISNUMBER(Baseline!$C$10),$D29&lt;&gt;Baseline!$C$10),AND(ISNUMBER($G29),ISNUMBER($D29),$G29&lt;$D29)),1,0))</f>
        <v/>
      </c>
      <c r="U29" s="24">
        <f>IF(OR($R29=0,$F29&lt;&gt;"",AND($C29&lt;&gt;"Gate",$C29&lt;&gt;"Milestone",$C29&lt;&gt;"Need")),0,IF(TRIM($H29)="",1,0))</f>
        <v/>
      </c>
      <c r="V29" s="24">
        <f>IF(OR($R29=0,$F29&lt;&gt;"",$C29="Need",$C29="Event",Baseline!$C$13=""),0,IF(OR(AND(N($M29)&gt;0,SUMPRODUCT(--(Changes!$I$6:$I$55="Raised"),--(((Changes!$E$6:$E$55=$B29)+(LEFT($B29,LEN(Changes!$E$6:$E$55)+1)=Changes!$E$6:$E$55&amp;"."))&gt;0))=0),AND(ISNUMBER($K29),ISNUMBER($D29),$D29&lt;&gt;$K29,SUMPRODUCT(--(Changes!$I$6:$I$55="Approved"),--(((Changes!$E$6:$E$55=$B29)+(LEFT($B29,LEN(Changes!$E$6:$E$55)+1)=Changes!$E$6:$E$55&amp;"."))&gt;0))=0)),1,0))</f>
        <v/>
      </c>
      <c r="W29" s="24">
        <f>IF(OR($R29=0,$F29&lt;&gt;"",$C29="Need",$C29="Event",NOT(ISNUMBER(Baseline!$C$15))),0,IF(N($M29)&gt;Baseline!$C$15,1,0))</f>
        <v/>
      </c>
      <c r="X29" s="24">
        <f>IF(OR($R29=0,$F29&lt;&gt;"",$C29&lt;&gt;"Need"),0,IF(N($M29)&gt;0,1,0))</f>
        <v/>
      </c>
      <c r="Y29" s="40">
        <f>IF($R29=0,"",IF(ISNUMBER($K29),$K29,IF(ISNUMBER($D29),$D29,"")))</f>
        <v/>
      </c>
    </row>
    <row r="30">
      <c r="A30" s="37">
        <f>IF($R30=0,"",ROW()-5)</f>
        <v/>
      </c>
      <c r="B30" s="23" t="n"/>
      <c r="C30" s="35" t="n"/>
      <c r="D30" s="38" t="n"/>
      <c r="E30" s="38" t="n"/>
      <c r="F30" s="38" t="n"/>
      <c r="G30" s="38" t="n"/>
      <c r="H30" s="23" t="n"/>
      <c r="I30" s="25" t="n"/>
      <c r="J30" s="23" t="n"/>
      <c r="K30" s="38" t="n"/>
      <c r="L30" s="23" t="n"/>
      <c r="M30" s="37">
        <f>IF(OR($R30=0,$F30&lt;&gt;"",NOT(ISNUMBER($D30)),NOT(ISNUMBER($S30))),"",IF($S30&lt;=$D30,0,NETWORKDAYS($D30+1,$S30)))</f>
        <v/>
      </c>
      <c r="N30" s="39">
        <f>IF(OR($R30=0,$F30&lt;&gt;"",$C30="Need",$C30="Event",NOT(ISNUMBER($D30))),"",IF(OR($D30&lt;Baseline!$K$5,N($M30)&gt;N(Baseline!$C$23)),"Red",IF(N($M30)&gt;0,"Amber","Green")))</f>
        <v/>
      </c>
      <c r="O30" s="37">
        <f>IF(OR($R30=0,NOT(ISNUMBER($K30))),"",IF(ISNUMBER($F30),IF($F30&lt;=$K30,0,NETWORKDAYS($K30+1,$F30)),IF(NOT(ISNUMBER($S30)),"",IF($S30&lt;=$K30,0,NETWORKDAYS($K30+1,$S30)))))</f>
        <v/>
      </c>
      <c r="P30" s="28">
        <f>IF($R30=0,"",IF(AND(TRIM($B30)&lt;&gt;"",SUMPRODUCT(--($B$6:$B$44=$B30))&gt;1),"△ Name used twice",IF(ISERROR(MATCH($C30,{"Gate","Milestone","Need","Event"},0)),"△ No kind",IF(NOT(ISNUMBER($D30)),"△ Baselined isn't a date",IF(AND($C30="Gate",ISERROR(MATCH($B30,'Read me'!$B$56:$B$65,0))),"△ Not a gate name on Read me",IF(IF(AND(ISNUMBER($Y30),ISNUMBER($K30)),$Y30&lt;MAX($Y$5:$Y29),FALSE),"△ Original is before the row above's",IF(IF(AND(ISNUMBER($Y30),NOT(ISNUMBER($K30))),$Y30&lt;MAX($Y$5:$Y29),FALSE),"△ Dated before the row above",IF(AND(ISNUMBER($D30),ISNUMBER(Baseline!$C$10),MAX($D30,IF(ISNUMBER($G30),$G30,0))&gt;Baseline!$C$10),"△ After the Planned finish",IF(AND(TRIM($B30)="Close",ISNUMBER($D30),ISNUMBER(Baseline!$C$10),$D30&lt;&gt;Baseline!$C$10),"△ Close isn't dated on the Planned finish",IF(AND(ISNUMBER($G30),ISNUMBER($D30),$G30&lt;$D30),"△ Ends before it starts",IF($X30=1,"△ Arrives after it is needed",IF($U30=1,"△ Nobody answers for it",IF($V30=1,"△ Moved with no change",IF($W30=1,"△ Past the Owner's limit","○ Clear"))))))))))))))</f>
        <v/>
      </c>
      <c r="R30" s="24">
        <f>IF(COUNTA($B30:$L30)&gt;0,1,0)</f>
        <v/>
      </c>
      <c r="S30" s="40">
        <f>IF($R30=0,"",IF(ISNUMBER($E30),$E30,$D30))</f>
        <v/>
      </c>
      <c r="T30" s="24">
        <f>IF($R30=0,0,IF(OR(AND(TRIM($B30)&lt;&gt;"",SUMPRODUCT(--($B$6:$B$44=$B30))&gt;1),ISERROR(MATCH($C30,{"Gate","Milestone","Need","Event"},0)),NOT(ISNUMBER($D30)),AND($C30="Gate",ISERROR(MATCH($B30,'Read me'!$B$56:$B$65,0))),IF(AND(ISNUMBER($Y30),ISNUMBER($K30)),$Y30&lt;MAX($Y$5:$Y29),FALSE),IF(AND(ISNUMBER($Y30),NOT(ISNUMBER($K30))),$Y30&lt;MAX($Y$5:$Y29),FALSE),AND(ISNUMBER($D30),ISNUMBER(Baseline!$C$10),MAX($D30,IF(ISNUMBER($G30),$G30,0))&gt;Baseline!$C$10),AND(TRIM($B30)="Close",ISNUMBER($D30),ISNUMBER(Baseline!$C$10),$D30&lt;&gt;Baseline!$C$10),AND(ISNUMBER($G30),ISNUMBER($D30),$G30&lt;$D30)),1,0))</f>
        <v/>
      </c>
      <c r="U30" s="24">
        <f>IF(OR($R30=0,$F30&lt;&gt;"",AND($C30&lt;&gt;"Gate",$C30&lt;&gt;"Milestone",$C30&lt;&gt;"Need")),0,IF(TRIM($H30)="",1,0))</f>
        <v/>
      </c>
      <c r="V30" s="24">
        <f>IF(OR($R30=0,$F30&lt;&gt;"",$C30="Need",$C30="Event",Baseline!$C$13=""),0,IF(OR(AND(N($M30)&gt;0,SUMPRODUCT(--(Changes!$I$6:$I$55="Raised"),--(((Changes!$E$6:$E$55=$B30)+(LEFT($B30,LEN(Changes!$E$6:$E$55)+1)=Changes!$E$6:$E$55&amp;"."))&gt;0))=0),AND(ISNUMBER($K30),ISNUMBER($D30),$D30&lt;&gt;$K30,SUMPRODUCT(--(Changes!$I$6:$I$55="Approved"),--(((Changes!$E$6:$E$55=$B30)+(LEFT($B30,LEN(Changes!$E$6:$E$55)+1)=Changes!$E$6:$E$55&amp;"."))&gt;0))=0)),1,0))</f>
        <v/>
      </c>
      <c r="W30" s="24">
        <f>IF(OR($R30=0,$F30&lt;&gt;"",$C30="Need",$C30="Event",NOT(ISNUMBER(Baseline!$C$15))),0,IF(N($M30)&gt;Baseline!$C$15,1,0))</f>
        <v/>
      </c>
      <c r="X30" s="24">
        <f>IF(OR($R30=0,$F30&lt;&gt;"",$C30&lt;&gt;"Need"),0,IF(N($M30)&gt;0,1,0))</f>
        <v/>
      </c>
      <c r="Y30" s="40">
        <f>IF($R30=0,"",IF(ISNUMBER($K30),$K30,IF(ISNUMBER($D30),$D30,"")))</f>
        <v/>
      </c>
    </row>
    <row r="31">
      <c r="A31" s="37">
        <f>IF($R31=0,"",ROW()-5)</f>
        <v/>
      </c>
      <c r="B31" s="23" t="n"/>
      <c r="C31" s="35" t="n"/>
      <c r="D31" s="38" t="n"/>
      <c r="E31" s="38" t="n"/>
      <c r="F31" s="38" t="n"/>
      <c r="G31" s="38" t="n"/>
      <c r="H31" s="23" t="n"/>
      <c r="I31" s="25" t="n"/>
      <c r="J31" s="23" t="n"/>
      <c r="K31" s="38" t="n"/>
      <c r="L31" s="23" t="n"/>
      <c r="M31" s="37">
        <f>IF(OR($R31=0,$F31&lt;&gt;"",NOT(ISNUMBER($D31)),NOT(ISNUMBER($S31))),"",IF($S31&lt;=$D31,0,NETWORKDAYS($D31+1,$S31)))</f>
        <v/>
      </c>
      <c r="N31" s="39">
        <f>IF(OR($R31=0,$F31&lt;&gt;"",$C31="Need",$C31="Event",NOT(ISNUMBER($D31))),"",IF(OR($D31&lt;Baseline!$K$5,N($M31)&gt;N(Baseline!$C$23)),"Red",IF(N($M31)&gt;0,"Amber","Green")))</f>
        <v/>
      </c>
      <c r="O31" s="37">
        <f>IF(OR($R31=0,NOT(ISNUMBER($K31))),"",IF(ISNUMBER($F31),IF($F31&lt;=$K31,0,NETWORKDAYS($K31+1,$F31)),IF(NOT(ISNUMBER($S31)),"",IF($S31&lt;=$K31,0,NETWORKDAYS($K31+1,$S31)))))</f>
        <v/>
      </c>
      <c r="P31" s="28">
        <f>IF($R31=0,"",IF(AND(TRIM($B31)&lt;&gt;"",SUMPRODUCT(--($B$6:$B$44=$B31))&gt;1),"△ Name used twice",IF(ISERROR(MATCH($C31,{"Gate","Milestone","Need","Event"},0)),"△ No kind",IF(NOT(ISNUMBER($D31)),"△ Baselined isn't a date",IF(AND($C31="Gate",ISERROR(MATCH($B31,'Read me'!$B$56:$B$65,0))),"△ Not a gate name on Read me",IF(IF(AND(ISNUMBER($Y31),ISNUMBER($K31)),$Y31&lt;MAX($Y$5:$Y30),FALSE),"△ Original is before the row above's",IF(IF(AND(ISNUMBER($Y31),NOT(ISNUMBER($K31))),$Y31&lt;MAX($Y$5:$Y30),FALSE),"△ Dated before the row above",IF(AND(ISNUMBER($D31),ISNUMBER(Baseline!$C$10),MAX($D31,IF(ISNUMBER($G31),$G31,0))&gt;Baseline!$C$10),"△ After the Planned finish",IF(AND(TRIM($B31)="Close",ISNUMBER($D31),ISNUMBER(Baseline!$C$10),$D31&lt;&gt;Baseline!$C$10),"△ Close isn't dated on the Planned finish",IF(AND(ISNUMBER($G31),ISNUMBER($D31),$G31&lt;$D31),"△ Ends before it starts",IF($X31=1,"△ Arrives after it is needed",IF($U31=1,"△ Nobody answers for it",IF($V31=1,"△ Moved with no change",IF($W31=1,"△ Past the Owner's limit","○ Clear"))))))))))))))</f>
        <v/>
      </c>
      <c r="R31" s="24">
        <f>IF(COUNTA($B31:$L31)&gt;0,1,0)</f>
        <v/>
      </c>
      <c r="S31" s="40">
        <f>IF($R31=0,"",IF(ISNUMBER($E31),$E31,$D31))</f>
        <v/>
      </c>
      <c r="T31" s="24">
        <f>IF($R31=0,0,IF(OR(AND(TRIM($B31)&lt;&gt;"",SUMPRODUCT(--($B$6:$B$44=$B31))&gt;1),ISERROR(MATCH($C31,{"Gate","Milestone","Need","Event"},0)),NOT(ISNUMBER($D31)),AND($C31="Gate",ISERROR(MATCH($B31,'Read me'!$B$56:$B$65,0))),IF(AND(ISNUMBER($Y31),ISNUMBER($K31)),$Y31&lt;MAX($Y$5:$Y30),FALSE),IF(AND(ISNUMBER($Y31),NOT(ISNUMBER($K31))),$Y31&lt;MAX($Y$5:$Y30),FALSE),AND(ISNUMBER($D31),ISNUMBER(Baseline!$C$10),MAX($D31,IF(ISNUMBER($G31),$G31,0))&gt;Baseline!$C$10),AND(TRIM($B31)="Close",ISNUMBER($D31),ISNUMBER(Baseline!$C$10),$D31&lt;&gt;Baseline!$C$10),AND(ISNUMBER($G31),ISNUMBER($D31),$G31&lt;$D31)),1,0))</f>
        <v/>
      </c>
      <c r="U31" s="24">
        <f>IF(OR($R31=0,$F31&lt;&gt;"",AND($C31&lt;&gt;"Gate",$C31&lt;&gt;"Milestone",$C31&lt;&gt;"Need")),0,IF(TRIM($H31)="",1,0))</f>
        <v/>
      </c>
      <c r="V31" s="24">
        <f>IF(OR($R31=0,$F31&lt;&gt;"",$C31="Need",$C31="Event",Baseline!$C$13=""),0,IF(OR(AND(N($M31)&gt;0,SUMPRODUCT(--(Changes!$I$6:$I$55="Raised"),--(((Changes!$E$6:$E$55=$B31)+(LEFT($B31,LEN(Changes!$E$6:$E$55)+1)=Changes!$E$6:$E$55&amp;"."))&gt;0))=0),AND(ISNUMBER($K31),ISNUMBER($D31),$D31&lt;&gt;$K31,SUMPRODUCT(--(Changes!$I$6:$I$55="Approved"),--(((Changes!$E$6:$E$55=$B31)+(LEFT($B31,LEN(Changes!$E$6:$E$55)+1)=Changes!$E$6:$E$55&amp;"."))&gt;0))=0)),1,0))</f>
        <v/>
      </c>
      <c r="W31" s="24">
        <f>IF(OR($R31=0,$F31&lt;&gt;"",$C31="Need",$C31="Event",NOT(ISNUMBER(Baseline!$C$15))),0,IF(N($M31)&gt;Baseline!$C$15,1,0))</f>
        <v/>
      </c>
      <c r="X31" s="24">
        <f>IF(OR($R31=0,$F31&lt;&gt;"",$C31&lt;&gt;"Need"),0,IF(N($M31)&gt;0,1,0))</f>
        <v/>
      </c>
      <c r="Y31" s="40">
        <f>IF($R31=0,"",IF(ISNUMBER($K31),$K31,IF(ISNUMBER($D31),$D31,"")))</f>
        <v/>
      </c>
    </row>
    <row r="32">
      <c r="A32" s="37">
        <f>IF($R32=0,"",ROW()-5)</f>
        <v/>
      </c>
      <c r="B32" s="23" t="n"/>
      <c r="C32" s="35" t="n"/>
      <c r="D32" s="38" t="n"/>
      <c r="E32" s="38" t="n"/>
      <c r="F32" s="38" t="n"/>
      <c r="G32" s="38" t="n"/>
      <c r="H32" s="23" t="n"/>
      <c r="I32" s="25" t="n"/>
      <c r="J32" s="23" t="n"/>
      <c r="K32" s="38" t="n"/>
      <c r="L32" s="23" t="n"/>
      <c r="M32" s="37">
        <f>IF(OR($R32=0,$F32&lt;&gt;"",NOT(ISNUMBER($D32)),NOT(ISNUMBER($S32))),"",IF($S32&lt;=$D32,0,NETWORKDAYS($D32+1,$S32)))</f>
        <v/>
      </c>
      <c r="N32" s="39">
        <f>IF(OR($R32=0,$F32&lt;&gt;"",$C32="Need",$C32="Event",NOT(ISNUMBER($D32))),"",IF(OR($D32&lt;Baseline!$K$5,N($M32)&gt;N(Baseline!$C$23)),"Red",IF(N($M32)&gt;0,"Amber","Green")))</f>
        <v/>
      </c>
      <c r="O32" s="37">
        <f>IF(OR($R32=0,NOT(ISNUMBER($K32))),"",IF(ISNUMBER($F32),IF($F32&lt;=$K32,0,NETWORKDAYS($K32+1,$F32)),IF(NOT(ISNUMBER($S32)),"",IF($S32&lt;=$K32,0,NETWORKDAYS($K32+1,$S32)))))</f>
        <v/>
      </c>
      <c r="P32" s="28">
        <f>IF($R32=0,"",IF(AND(TRIM($B32)&lt;&gt;"",SUMPRODUCT(--($B$6:$B$44=$B32))&gt;1),"△ Name used twice",IF(ISERROR(MATCH($C32,{"Gate","Milestone","Need","Event"},0)),"△ No kind",IF(NOT(ISNUMBER($D32)),"△ Baselined isn't a date",IF(AND($C32="Gate",ISERROR(MATCH($B32,'Read me'!$B$56:$B$65,0))),"△ Not a gate name on Read me",IF(IF(AND(ISNUMBER($Y32),ISNUMBER($K32)),$Y32&lt;MAX($Y$5:$Y31),FALSE),"△ Original is before the row above's",IF(IF(AND(ISNUMBER($Y32),NOT(ISNUMBER($K32))),$Y32&lt;MAX($Y$5:$Y31),FALSE),"△ Dated before the row above",IF(AND(ISNUMBER($D32),ISNUMBER(Baseline!$C$10),MAX($D32,IF(ISNUMBER($G32),$G32,0))&gt;Baseline!$C$10),"△ After the Planned finish",IF(AND(TRIM($B32)="Close",ISNUMBER($D32),ISNUMBER(Baseline!$C$10),$D32&lt;&gt;Baseline!$C$10),"△ Close isn't dated on the Planned finish",IF(AND(ISNUMBER($G32),ISNUMBER($D32),$G32&lt;$D32),"△ Ends before it starts",IF($X32=1,"△ Arrives after it is needed",IF($U32=1,"△ Nobody answers for it",IF($V32=1,"△ Moved with no change",IF($W32=1,"△ Past the Owner's limit","○ Clear"))))))))))))))</f>
        <v/>
      </c>
      <c r="R32" s="24">
        <f>IF(COUNTA($B32:$L32)&gt;0,1,0)</f>
        <v/>
      </c>
      <c r="S32" s="40">
        <f>IF($R32=0,"",IF(ISNUMBER($E32),$E32,$D32))</f>
        <v/>
      </c>
      <c r="T32" s="24">
        <f>IF($R32=0,0,IF(OR(AND(TRIM($B32)&lt;&gt;"",SUMPRODUCT(--($B$6:$B$44=$B32))&gt;1),ISERROR(MATCH($C32,{"Gate","Milestone","Need","Event"},0)),NOT(ISNUMBER($D32)),AND($C32="Gate",ISERROR(MATCH($B32,'Read me'!$B$56:$B$65,0))),IF(AND(ISNUMBER($Y32),ISNUMBER($K32)),$Y32&lt;MAX($Y$5:$Y31),FALSE),IF(AND(ISNUMBER($Y32),NOT(ISNUMBER($K32))),$Y32&lt;MAX($Y$5:$Y31),FALSE),AND(ISNUMBER($D32),ISNUMBER(Baseline!$C$10),MAX($D32,IF(ISNUMBER($G32),$G32,0))&gt;Baseline!$C$10),AND(TRIM($B32)="Close",ISNUMBER($D32),ISNUMBER(Baseline!$C$10),$D32&lt;&gt;Baseline!$C$10),AND(ISNUMBER($G32),ISNUMBER($D32),$G32&lt;$D32)),1,0))</f>
        <v/>
      </c>
      <c r="U32" s="24">
        <f>IF(OR($R32=0,$F32&lt;&gt;"",AND($C32&lt;&gt;"Gate",$C32&lt;&gt;"Milestone",$C32&lt;&gt;"Need")),0,IF(TRIM($H32)="",1,0))</f>
        <v/>
      </c>
      <c r="V32" s="24">
        <f>IF(OR($R32=0,$F32&lt;&gt;"",$C32="Need",$C32="Event",Baseline!$C$13=""),0,IF(OR(AND(N($M32)&gt;0,SUMPRODUCT(--(Changes!$I$6:$I$55="Raised"),--(((Changes!$E$6:$E$55=$B32)+(LEFT($B32,LEN(Changes!$E$6:$E$55)+1)=Changes!$E$6:$E$55&amp;"."))&gt;0))=0),AND(ISNUMBER($K32),ISNUMBER($D32),$D32&lt;&gt;$K32,SUMPRODUCT(--(Changes!$I$6:$I$55="Approved"),--(((Changes!$E$6:$E$55=$B32)+(LEFT($B32,LEN(Changes!$E$6:$E$55)+1)=Changes!$E$6:$E$55&amp;"."))&gt;0))=0)),1,0))</f>
        <v/>
      </c>
      <c r="W32" s="24">
        <f>IF(OR($R32=0,$F32&lt;&gt;"",$C32="Need",$C32="Event",NOT(ISNUMBER(Baseline!$C$15))),0,IF(N($M32)&gt;Baseline!$C$15,1,0))</f>
        <v/>
      </c>
      <c r="X32" s="24">
        <f>IF(OR($R32=0,$F32&lt;&gt;"",$C32&lt;&gt;"Need"),0,IF(N($M32)&gt;0,1,0))</f>
        <v/>
      </c>
      <c r="Y32" s="40">
        <f>IF($R32=0,"",IF(ISNUMBER($K32),$K32,IF(ISNUMBER($D32),$D32,"")))</f>
        <v/>
      </c>
    </row>
    <row r="33">
      <c r="A33" s="37">
        <f>IF($R33=0,"",ROW()-5)</f>
        <v/>
      </c>
      <c r="B33" s="23" t="n"/>
      <c r="C33" s="35" t="n"/>
      <c r="D33" s="38" t="n"/>
      <c r="E33" s="38" t="n"/>
      <c r="F33" s="38" t="n"/>
      <c r="G33" s="38" t="n"/>
      <c r="H33" s="23" t="n"/>
      <c r="I33" s="25" t="n"/>
      <c r="J33" s="23" t="n"/>
      <c r="K33" s="38" t="n"/>
      <c r="L33" s="23" t="n"/>
      <c r="M33" s="37">
        <f>IF(OR($R33=0,$F33&lt;&gt;"",NOT(ISNUMBER($D33)),NOT(ISNUMBER($S33))),"",IF($S33&lt;=$D33,0,NETWORKDAYS($D33+1,$S33)))</f>
        <v/>
      </c>
      <c r="N33" s="39">
        <f>IF(OR($R33=0,$F33&lt;&gt;"",$C33="Need",$C33="Event",NOT(ISNUMBER($D33))),"",IF(OR($D33&lt;Baseline!$K$5,N($M33)&gt;N(Baseline!$C$23)),"Red",IF(N($M33)&gt;0,"Amber","Green")))</f>
        <v/>
      </c>
      <c r="O33" s="37">
        <f>IF(OR($R33=0,NOT(ISNUMBER($K33))),"",IF(ISNUMBER($F33),IF($F33&lt;=$K33,0,NETWORKDAYS($K33+1,$F33)),IF(NOT(ISNUMBER($S33)),"",IF($S33&lt;=$K33,0,NETWORKDAYS($K33+1,$S33)))))</f>
        <v/>
      </c>
      <c r="P33" s="28">
        <f>IF($R33=0,"",IF(AND(TRIM($B33)&lt;&gt;"",SUMPRODUCT(--($B$6:$B$44=$B33))&gt;1),"△ Name used twice",IF(ISERROR(MATCH($C33,{"Gate","Milestone","Need","Event"},0)),"△ No kind",IF(NOT(ISNUMBER($D33)),"△ Baselined isn't a date",IF(AND($C33="Gate",ISERROR(MATCH($B33,'Read me'!$B$56:$B$65,0))),"△ Not a gate name on Read me",IF(IF(AND(ISNUMBER($Y33),ISNUMBER($K33)),$Y33&lt;MAX($Y$5:$Y32),FALSE),"△ Original is before the row above's",IF(IF(AND(ISNUMBER($Y33),NOT(ISNUMBER($K33))),$Y33&lt;MAX($Y$5:$Y32),FALSE),"△ Dated before the row above",IF(AND(ISNUMBER($D33),ISNUMBER(Baseline!$C$10),MAX($D33,IF(ISNUMBER($G33),$G33,0))&gt;Baseline!$C$10),"△ After the Planned finish",IF(AND(TRIM($B33)="Close",ISNUMBER($D33),ISNUMBER(Baseline!$C$10),$D33&lt;&gt;Baseline!$C$10),"△ Close isn't dated on the Planned finish",IF(AND(ISNUMBER($G33),ISNUMBER($D33),$G33&lt;$D33),"△ Ends before it starts",IF($X33=1,"△ Arrives after it is needed",IF($U33=1,"△ Nobody answers for it",IF($V33=1,"△ Moved with no change",IF($W33=1,"△ Past the Owner's limit","○ Clear"))))))))))))))</f>
        <v/>
      </c>
      <c r="R33" s="24">
        <f>IF(COUNTA($B33:$L33)&gt;0,1,0)</f>
        <v/>
      </c>
      <c r="S33" s="40">
        <f>IF($R33=0,"",IF(ISNUMBER($E33),$E33,$D33))</f>
        <v/>
      </c>
      <c r="T33" s="24">
        <f>IF($R33=0,0,IF(OR(AND(TRIM($B33)&lt;&gt;"",SUMPRODUCT(--($B$6:$B$44=$B33))&gt;1),ISERROR(MATCH($C33,{"Gate","Milestone","Need","Event"},0)),NOT(ISNUMBER($D33)),AND($C33="Gate",ISERROR(MATCH($B33,'Read me'!$B$56:$B$65,0))),IF(AND(ISNUMBER($Y33),ISNUMBER($K33)),$Y33&lt;MAX($Y$5:$Y32),FALSE),IF(AND(ISNUMBER($Y33),NOT(ISNUMBER($K33))),$Y33&lt;MAX($Y$5:$Y32),FALSE),AND(ISNUMBER($D33),ISNUMBER(Baseline!$C$10),MAX($D33,IF(ISNUMBER($G33),$G33,0))&gt;Baseline!$C$10),AND(TRIM($B33)="Close",ISNUMBER($D33),ISNUMBER(Baseline!$C$10),$D33&lt;&gt;Baseline!$C$10),AND(ISNUMBER($G33),ISNUMBER($D33),$G33&lt;$D33)),1,0))</f>
        <v/>
      </c>
      <c r="U33" s="24">
        <f>IF(OR($R33=0,$F33&lt;&gt;"",AND($C33&lt;&gt;"Gate",$C33&lt;&gt;"Milestone",$C33&lt;&gt;"Need")),0,IF(TRIM($H33)="",1,0))</f>
        <v/>
      </c>
      <c r="V33" s="24">
        <f>IF(OR($R33=0,$F33&lt;&gt;"",$C33="Need",$C33="Event",Baseline!$C$13=""),0,IF(OR(AND(N($M33)&gt;0,SUMPRODUCT(--(Changes!$I$6:$I$55="Raised"),--(((Changes!$E$6:$E$55=$B33)+(LEFT($B33,LEN(Changes!$E$6:$E$55)+1)=Changes!$E$6:$E$55&amp;"."))&gt;0))=0),AND(ISNUMBER($K33),ISNUMBER($D33),$D33&lt;&gt;$K33,SUMPRODUCT(--(Changes!$I$6:$I$55="Approved"),--(((Changes!$E$6:$E$55=$B33)+(LEFT($B33,LEN(Changes!$E$6:$E$55)+1)=Changes!$E$6:$E$55&amp;"."))&gt;0))=0)),1,0))</f>
        <v/>
      </c>
      <c r="W33" s="24">
        <f>IF(OR($R33=0,$F33&lt;&gt;"",$C33="Need",$C33="Event",NOT(ISNUMBER(Baseline!$C$15))),0,IF(N($M33)&gt;Baseline!$C$15,1,0))</f>
        <v/>
      </c>
      <c r="X33" s="24">
        <f>IF(OR($R33=0,$F33&lt;&gt;"",$C33&lt;&gt;"Need"),0,IF(N($M33)&gt;0,1,0))</f>
        <v/>
      </c>
      <c r="Y33" s="40">
        <f>IF($R33=0,"",IF(ISNUMBER($K33),$K33,IF(ISNUMBER($D33),$D33,"")))</f>
        <v/>
      </c>
    </row>
    <row r="34">
      <c r="A34" s="37">
        <f>IF($R34=0,"",ROW()-5)</f>
        <v/>
      </c>
      <c r="B34" s="23" t="n"/>
      <c r="C34" s="35" t="n"/>
      <c r="D34" s="38" t="n"/>
      <c r="E34" s="38" t="n"/>
      <c r="F34" s="38" t="n"/>
      <c r="G34" s="38" t="n"/>
      <c r="H34" s="23" t="n"/>
      <c r="I34" s="25" t="n"/>
      <c r="J34" s="23" t="n"/>
      <c r="K34" s="38" t="n"/>
      <c r="L34" s="23" t="n"/>
      <c r="M34" s="37">
        <f>IF(OR($R34=0,$F34&lt;&gt;"",NOT(ISNUMBER($D34)),NOT(ISNUMBER($S34))),"",IF($S34&lt;=$D34,0,NETWORKDAYS($D34+1,$S34)))</f>
        <v/>
      </c>
      <c r="N34" s="39">
        <f>IF(OR($R34=0,$F34&lt;&gt;"",$C34="Need",$C34="Event",NOT(ISNUMBER($D34))),"",IF(OR($D34&lt;Baseline!$K$5,N($M34)&gt;N(Baseline!$C$23)),"Red",IF(N($M34)&gt;0,"Amber","Green")))</f>
        <v/>
      </c>
      <c r="O34" s="37">
        <f>IF(OR($R34=0,NOT(ISNUMBER($K34))),"",IF(ISNUMBER($F34),IF($F34&lt;=$K34,0,NETWORKDAYS($K34+1,$F34)),IF(NOT(ISNUMBER($S34)),"",IF($S34&lt;=$K34,0,NETWORKDAYS($K34+1,$S34)))))</f>
        <v/>
      </c>
      <c r="P34" s="28">
        <f>IF($R34=0,"",IF(AND(TRIM($B34)&lt;&gt;"",SUMPRODUCT(--($B$6:$B$44=$B34))&gt;1),"△ Name used twice",IF(ISERROR(MATCH($C34,{"Gate","Milestone","Need","Event"},0)),"△ No kind",IF(NOT(ISNUMBER($D34)),"△ Baselined isn't a date",IF(AND($C34="Gate",ISERROR(MATCH($B34,'Read me'!$B$56:$B$65,0))),"△ Not a gate name on Read me",IF(IF(AND(ISNUMBER($Y34),ISNUMBER($K34)),$Y34&lt;MAX($Y$5:$Y33),FALSE),"△ Original is before the row above's",IF(IF(AND(ISNUMBER($Y34),NOT(ISNUMBER($K34))),$Y34&lt;MAX($Y$5:$Y33),FALSE),"△ Dated before the row above",IF(AND(ISNUMBER($D34),ISNUMBER(Baseline!$C$10),MAX($D34,IF(ISNUMBER($G34),$G34,0))&gt;Baseline!$C$10),"△ After the Planned finish",IF(AND(TRIM($B34)="Close",ISNUMBER($D34),ISNUMBER(Baseline!$C$10),$D34&lt;&gt;Baseline!$C$10),"△ Close isn't dated on the Planned finish",IF(AND(ISNUMBER($G34),ISNUMBER($D34),$G34&lt;$D34),"△ Ends before it starts",IF($X34=1,"△ Arrives after it is needed",IF($U34=1,"△ Nobody answers for it",IF($V34=1,"△ Moved with no change",IF($W34=1,"△ Past the Owner's limit","○ Clear"))))))))))))))</f>
        <v/>
      </c>
      <c r="R34" s="24">
        <f>IF(COUNTA($B34:$L34)&gt;0,1,0)</f>
        <v/>
      </c>
      <c r="S34" s="40">
        <f>IF($R34=0,"",IF(ISNUMBER($E34),$E34,$D34))</f>
        <v/>
      </c>
      <c r="T34" s="24">
        <f>IF($R34=0,0,IF(OR(AND(TRIM($B34)&lt;&gt;"",SUMPRODUCT(--($B$6:$B$44=$B34))&gt;1),ISERROR(MATCH($C34,{"Gate","Milestone","Need","Event"},0)),NOT(ISNUMBER($D34)),AND($C34="Gate",ISERROR(MATCH($B34,'Read me'!$B$56:$B$65,0))),IF(AND(ISNUMBER($Y34),ISNUMBER($K34)),$Y34&lt;MAX($Y$5:$Y33),FALSE),IF(AND(ISNUMBER($Y34),NOT(ISNUMBER($K34))),$Y34&lt;MAX($Y$5:$Y33),FALSE),AND(ISNUMBER($D34),ISNUMBER(Baseline!$C$10),MAX($D34,IF(ISNUMBER($G34),$G34,0))&gt;Baseline!$C$10),AND(TRIM($B34)="Close",ISNUMBER($D34),ISNUMBER(Baseline!$C$10),$D34&lt;&gt;Baseline!$C$10),AND(ISNUMBER($G34),ISNUMBER($D34),$G34&lt;$D34)),1,0))</f>
        <v/>
      </c>
      <c r="U34" s="24">
        <f>IF(OR($R34=0,$F34&lt;&gt;"",AND($C34&lt;&gt;"Gate",$C34&lt;&gt;"Milestone",$C34&lt;&gt;"Need")),0,IF(TRIM($H34)="",1,0))</f>
        <v/>
      </c>
      <c r="V34" s="24">
        <f>IF(OR($R34=0,$F34&lt;&gt;"",$C34="Need",$C34="Event",Baseline!$C$13=""),0,IF(OR(AND(N($M34)&gt;0,SUMPRODUCT(--(Changes!$I$6:$I$55="Raised"),--(((Changes!$E$6:$E$55=$B34)+(LEFT($B34,LEN(Changes!$E$6:$E$55)+1)=Changes!$E$6:$E$55&amp;"."))&gt;0))=0),AND(ISNUMBER($K34),ISNUMBER($D34),$D34&lt;&gt;$K34,SUMPRODUCT(--(Changes!$I$6:$I$55="Approved"),--(((Changes!$E$6:$E$55=$B34)+(LEFT($B34,LEN(Changes!$E$6:$E$55)+1)=Changes!$E$6:$E$55&amp;"."))&gt;0))=0)),1,0))</f>
        <v/>
      </c>
      <c r="W34" s="24">
        <f>IF(OR($R34=0,$F34&lt;&gt;"",$C34="Need",$C34="Event",NOT(ISNUMBER(Baseline!$C$15))),0,IF(N($M34)&gt;Baseline!$C$15,1,0))</f>
        <v/>
      </c>
      <c r="X34" s="24">
        <f>IF(OR($R34=0,$F34&lt;&gt;"",$C34&lt;&gt;"Need"),0,IF(N($M34)&gt;0,1,0))</f>
        <v/>
      </c>
      <c r="Y34" s="40">
        <f>IF($R34=0,"",IF(ISNUMBER($K34),$K34,IF(ISNUMBER($D34),$D34,"")))</f>
        <v/>
      </c>
    </row>
    <row r="35">
      <c r="A35" s="37">
        <f>IF($R35=0,"",ROW()-5)</f>
        <v/>
      </c>
      <c r="B35" s="23" t="n"/>
      <c r="C35" s="35" t="n"/>
      <c r="D35" s="38" t="n"/>
      <c r="E35" s="38" t="n"/>
      <c r="F35" s="38" t="n"/>
      <c r="G35" s="38" t="n"/>
      <c r="H35" s="23" t="n"/>
      <c r="I35" s="25" t="n"/>
      <c r="J35" s="23" t="n"/>
      <c r="K35" s="38" t="n"/>
      <c r="L35" s="23" t="n"/>
      <c r="M35" s="37">
        <f>IF(OR($R35=0,$F35&lt;&gt;"",NOT(ISNUMBER($D35)),NOT(ISNUMBER($S35))),"",IF($S35&lt;=$D35,0,NETWORKDAYS($D35+1,$S35)))</f>
        <v/>
      </c>
      <c r="N35" s="39">
        <f>IF(OR($R35=0,$F35&lt;&gt;"",$C35="Need",$C35="Event",NOT(ISNUMBER($D35))),"",IF(OR($D35&lt;Baseline!$K$5,N($M35)&gt;N(Baseline!$C$23)),"Red",IF(N($M35)&gt;0,"Amber","Green")))</f>
        <v/>
      </c>
      <c r="O35" s="37">
        <f>IF(OR($R35=0,NOT(ISNUMBER($K35))),"",IF(ISNUMBER($F35),IF($F35&lt;=$K35,0,NETWORKDAYS($K35+1,$F35)),IF(NOT(ISNUMBER($S35)),"",IF($S35&lt;=$K35,0,NETWORKDAYS($K35+1,$S35)))))</f>
        <v/>
      </c>
      <c r="P35" s="28">
        <f>IF($R35=0,"",IF(AND(TRIM($B35)&lt;&gt;"",SUMPRODUCT(--($B$6:$B$44=$B35))&gt;1),"△ Name used twice",IF(ISERROR(MATCH($C35,{"Gate","Milestone","Need","Event"},0)),"△ No kind",IF(NOT(ISNUMBER($D35)),"△ Baselined isn't a date",IF(AND($C35="Gate",ISERROR(MATCH($B35,'Read me'!$B$56:$B$65,0))),"△ Not a gate name on Read me",IF(IF(AND(ISNUMBER($Y35),ISNUMBER($K35)),$Y35&lt;MAX($Y$5:$Y34),FALSE),"△ Original is before the row above's",IF(IF(AND(ISNUMBER($Y35),NOT(ISNUMBER($K35))),$Y35&lt;MAX($Y$5:$Y34),FALSE),"△ Dated before the row above",IF(AND(ISNUMBER($D35),ISNUMBER(Baseline!$C$10),MAX($D35,IF(ISNUMBER($G35),$G35,0))&gt;Baseline!$C$10),"△ After the Planned finish",IF(AND(TRIM($B35)="Close",ISNUMBER($D35),ISNUMBER(Baseline!$C$10),$D35&lt;&gt;Baseline!$C$10),"△ Close isn't dated on the Planned finish",IF(AND(ISNUMBER($G35),ISNUMBER($D35),$G35&lt;$D35),"△ Ends before it starts",IF($X35=1,"△ Arrives after it is needed",IF($U35=1,"△ Nobody answers for it",IF($V35=1,"△ Moved with no change",IF($W35=1,"△ Past the Owner's limit","○ Clear"))))))))))))))</f>
        <v/>
      </c>
      <c r="R35" s="24">
        <f>IF(COUNTA($B35:$L35)&gt;0,1,0)</f>
        <v/>
      </c>
      <c r="S35" s="40">
        <f>IF($R35=0,"",IF(ISNUMBER($E35),$E35,$D35))</f>
        <v/>
      </c>
      <c r="T35" s="24">
        <f>IF($R35=0,0,IF(OR(AND(TRIM($B35)&lt;&gt;"",SUMPRODUCT(--($B$6:$B$44=$B35))&gt;1),ISERROR(MATCH($C35,{"Gate","Milestone","Need","Event"},0)),NOT(ISNUMBER($D35)),AND($C35="Gate",ISERROR(MATCH($B35,'Read me'!$B$56:$B$65,0))),IF(AND(ISNUMBER($Y35),ISNUMBER($K35)),$Y35&lt;MAX($Y$5:$Y34),FALSE),IF(AND(ISNUMBER($Y35),NOT(ISNUMBER($K35))),$Y35&lt;MAX($Y$5:$Y34),FALSE),AND(ISNUMBER($D35),ISNUMBER(Baseline!$C$10),MAX($D35,IF(ISNUMBER($G35),$G35,0))&gt;Baseline!$C$10),AND(TRIM($B35)="Close",ISNUMBER($D35),ISNUMBER(Baseline!$C$10),$D35&lt;&gt;Baseline!$C$10),AND(ISNUMBER($G35),ISNUMBER($D35),$G35&lt;$D35)),1,0))</f>
        <v/>
      </c>
      <c r="U35" s="24">
        <f>IF(OR($R35=0,$F35&lt;&gt;"",AND($C35&lt;&gt;"Gate",$C35&lt;&gt;"Milestone",$C35&lt;&gt;"Need")),0,IF(TRIM($H35)="",1,0))</f>
        <v/>
      </c>
      <c r="V35" s="24">
        <f>IF(OR($R35=0,$F35&lt;&gt;"",$C35="Need",$C35="Event",Baseline!$C$13=""),0,IF(OR(AND(N($M35)&gt;0,SUMPRODUCT(--(Changes!$I$6:$I$55="Raised"),--(((Changes!$E$6:$E$55=$B35)+(LEFT($B35,LEN(Changes!$E$6:$E$55)+1)=Changes!$E$6:$E$55&amp;"."))&gt;0))=0),AND(ISNUMBER($K35),ISNUMBER($D35),$D35&lt;&gt;$K35,SUMPRODUCT(--(Changes!$I$6:$I$55="Approved"),--(((Changes!$E$6:$E$55=$B35)+(LEFT($B35,LEN(Changes!$E$6:$E$55)+1)=Changes!$E$6:$E$55&amp;"."))&gt;0))=0)),1,0))</f>
        <v/>
      </c>
      <c r="W35" s="24">
        <f>IF(OR($R35=0,$F35&lt;&gt;"",$C35="Need",$C35="Event",NOT(ISNUMBER(Baseline!$C$15))),0,IF(N($M35)&gt;Baseline!$C$15,1,0))</f>
        <v/>
      </c>
      <c r="X35" s="24">
        <f>IF(OR($R35=0,$F35&lt;&gt;"",$C35&lt;&gt;"Need"),0,IF(N($M35)&gt;0,1,0))</f>
        <v/>
      </c>
      <c r="Y35" s="40">
        <f>IF($R35=0,"",IF(ISNUMBER($K35),$K35,IF(ISNUMBER($D35),$D35,"")))</f>
        <v/>
      </c>
    </row>
    <row r="36">
      <c r="A36" s="37">
        <f>IF($R36=0,"",ROW()-5)</f>
        <v/>
      </c>
      <c r="B36" s="23" t="n"/>
      <c r="C36" s="35" t="n"/>
      <c r="D36" s="38" t="n"/>
      <c r="E36" s="38" t="n"/>
      <c r="F36" s="38" t="n"/>
      <c r="G36" s="38" t="n"/>
      <c r="H36" s="23" t="n"/>
      <c r="I36" s="25" t="n"/>
      <c r="J36" s="23" t="n"/>
      <c r="K36" s="38" t="n"/>
      <c r="L36" s="23" t="n"/>
      <c r="M36" s="37">
        <f>IF(OR($R36=0,$F36&lt;&gt;"",NOT(ISNUMBER($D36)),NOT(ISNUMBER($S36))),"",IF($S36&lt;=$D36,0,NETWORKDAYS($D36+1,$S36)))</f>
        <v/>
      </c>
      <c r="N36" s="39">
        <f>IF(OR($R36=0,$F36&lt;&gt;"",$C36="Need",$C36="Event",NOT(ISNUMBER($D36))),"",IF(OR($D36&lt;Baseline!$K$5,N($M36)&gt;N(Baseline!$C$23)),"Red",IF(N($M36)&gt;0,"Amber","Green")))</f>
        <v/>
      </c>
      <c r="O36" s="37">
        <f>IF(OR($R36=0,NOT(ISNUMBER($K36))),"",IF(ISNUMBER($F36),IF($F36&lt;=$K36,0,NETWORKDAYS($K36+1,$F36)),IF(NOT(ISNUMBER($S36)),"",IF($S36&lt;=$K36,0,NETWORKDAYS($K36+1,$S36)))))</f>
        <v/>
      </c>
      <c r="P36" s="28">
        <f>IF($R36=0,"",IF(AND(TRIM($B36)&lt;&gt;"",SUMPRODUCT(--($B$6:$B$44=$B36))&gt;1),"△ Name used twice",IF(ISERROR(MATCH($C36,{"Gate","Milestone","Need","Event"},0)),"△ No kind",IF(NOT(ISNUMBER($D36)),"△ Baselined isn't a date",IF(AND($C36="Gate",ISERROR(MATCH($B36,'Read me'!$B$56:$B$65,0))),"△ Not a gate name on Read me",IF(IF(AND(ISNUMBER($Y36),ISNUMBER($K36)),$Y36&lt;MAX($Y$5:$Y35),FALSE),"△ Original is before the row above's",IF(IF(AND(ISNUMBER($Y36),NOT(ISNUMBER($K36))),$Y36&lt;MAX($Y$5:$Y35),FALSE),"△ Dated before the row above",IF(AND(ISNUMBER($D36),ISNUMBER(Baseline!$C$10),MAX($D36,IF(ISNUMBER($G36),$G36,0))&gt;Baseline!$C$10),"△ After the Planned finish",IF(AND(TRIM($B36)="Close",ISNUMBER($D36),ISNUMBER(Baseline!$C$10),$D36&lt;&gt;Baseline!$C$10),"△ Close isn't dated on the Planned finish",IF(AND(ISNUMBER($G36),ISNUMBER($D36),$G36&lt;$D36),"△ Ends before it starts",IF($X36=1,"△ Arrives after it is needed",IF($U36=1,"△ Nobody answers for it",IF($V36=1,"△ Moved with no change",IF($W36=1,"△ Past the Owner's limit","○ Clear"))))))))))))))</f>
        <v/>
      </c>
      <c r="R36" s="24">
        <f>IF(COUNTA($B36:$L36)&gt;0,1,0)</f>
        <v/>
      </c>
      <c r="S36" s="40">
        <f>IF($R36=0,"",IF(ISNUMBER($E36),$E36,$D36))</f>
        <v/>
      </c>
      <c r="T36" s="24">
        <f>IF($R36=0,0,IF(OR(AND(TRIM($B36)&lt;&gt;"",SUMPRODUCT(--($B$6:$B$44=$B36))&gt;1),ISERROR(MATCH($C36,{"Gate","Milestone","Need","Event"},0)),NOT(ISNUMBER($D36)),AND($C36="Gate",ISERROR(MATCH($B36,'Read me'!$B$56:$B$65,0))),IF(AND(ISNUMBER($Y36),ISNUMBER($K36)),$Y36&lt;MAX($Y$5:$Y35),FALSE),IF(AND(ISNUMBER($Y36),NOT(ISNUMBER($K36))),$Y36&lt;MAX($Y$5:$Y35),FALSE),AND(ISNUMBER($D36),ISNUMBER(Baseline!$C$10),MAX($D36,IF(ISNUMBER($G36),$G36,0))&gt;Baseline!$C$10),AND(TRIM($B36)="Close",ISNUMBER($D36),ISNUMBER(Baseline!$C$10),$D36&lt;&gt;Baseline!$C$10),AND(ISNUMBER($G36),ISNUMBER($D36),$G36&lt;$D36)),1,0))</f>
        <v/>
      </c>
      <c r="U36" s="24">
        <f>IF(OR($R36=0,$F36&lt;&gt;"",AND($C36&lt;&gt;"Gate",$C36&lt;&gt;"Milestone",$C36&lt;&gt;"Need")),0,IF(TRIM($H36)="",1,0))</f>
        <v/>
      </c>
      <c r="V36" s="24">
        <f>IF(OR($R36=0,$F36&lt;&gt;"",$C36="Need",$C36="Event",Baseline!$C$13=""),0,IF(OR(AND(N($M36)&gt;0,SUMPRODUCT(--(Changes!$I$6:$I$55="Raised"),--(((Changes!$E$6:$E$55=$B36)+(LEFT($B36,LEN(Changes!$E$6:$E$55)+1)=Changes!$E$6:$E$55&amp;"."))&gt;0))=0),AND(ISNUMBER($K36),ISNUMBER($D36),$D36&lt;&gt;$K36,SUMPRODUCT(--(Changes!$I$6:$I$55="Approved"),--(((Changes!$E$6:$E$55=$B36)+(LEFT($B36,LEN(Changes!$E$6:$E$55)+1)=Changes!$E$6:$E$55&amp;"."))&gt;0))=0)),1,0))</f>
        <v/>
      </c>
      <c r="W36" s="24">
        <f>IF(OR($R36=0,$F36&lt;&gt;"",$C36="Need",$C36="Event",NOT(ISNUMBER(Baseline!$C$15))),0,IF(N($M36)&gt;Baseline!$C$15,1,0))</f>
        <v/>
      </c>
      <c r="X36" s="24">
        <f>IF(OR($R36=0,$F36&lt;&gt;"",$C36&lt;&gt;"Need"),0,IF(N($M36)&gt;0,1,0))</f>
        <v/>
      </c>
      <c r="Y36" s="40">
        <f>IF($R36=0,"",IF(ISNUMBER($K36),$K36,IF(ISNUMBER($D36),$D36,"")))</f>
        <v/>
      </c>
    </row>
    <row r="37">
      <c r="A37" s="37">
        <f>IF($R37=0,"",ROW()-5)</f>
        <v/>
      </c>
      <c r="B37" s="23" t="n"/>
      <c r="C37" s="35" t="n"/>
      <c r="D37" s="38" t="n"/>
      <c r="E37" s="38" t="n"/>
      <c r="F37" s="38" t="n"/>
      <c r="G37" s="38" t="n"/>
      <c r="H37" s="23" t="n"/>
      <c r="I37" s="25" t="n"/>
      <c r="J37" s="23" t="n"/>
      <c r="K37" s="38" t="n"/>
      <c r="L37" s="23" t="n"/>
      <c r="M37" s="37">
        <f>IF(OR($R37=0,$F37&lt;&gt;"",NOT(ISNUMBER($D37)),NOT(ISNUMBER($S37))),"",IF($S37&lt;=$D37,0,NETWORKDAYS($D37+1,$S37)))</f>
        <v/>
      </c>
      <c r="N37" s="39">
        <f>IF(OR($R37=0,$F37&lt;&gt;"",$C37="Need",$C37="Event",NOT(ISNUMBER($D37))),"",IF(OR($D37&lt;Baseline!$K$5,N($M37)&gt;N(Baseline!$C$23)),"Red",IF(N($M37)&gt;0,"Amber","Green")))</f>
        <v/>
      </c>
      <c r="O37" s="37">
        <f>IF(OR($R37=0,NOT(ISNUMBER($K37))),"",IF(ISNUMBER($F37),IF($F37&lt;=$K37,0,NETWORKDAYS($K37+1,$F37)),IF(NOT(ISNUMBER($S37)),"",IF($S37&lt;=$K37,0,NETWORKDAYS($K37+1,$S37)))))</f>
        <v/>
      </c>
      <c r="P37" s="28">
        <f>IF($R37=0,"",IF(AND(TRIM($B37)&lt;&gt;"",SUMPRODUCT(--($B$6:$B$44=$B37))&gt;1),"△ Name used twice",IF(ISERROR(MATCH($C37,{"Gate","Milestone","Need","Event"},0)),"△ No kind",IF(NOT(ISNUMBER($D37)),"△ Baselined isn't a date",IF(AND($C37="Gate",ISERROR(MATCH($B37,'Read me'!$B$56:$B$65,0))),"△ Not a gate name on Read me",IF(IF(AND(ISNUMBER($Y37),ISNUMBER($K37)),$Y37&lt;MAX($Y$5:$Y36),FALSE),"△ Original is before the row above's",IF(IF(AND(ISNUMBER($Y37),NOT(ISNUMBER($K37))),$Y37&lt;MAX($Y$5:$Y36),FALSE),"△ Dated before the row above",IF(AND(ISNUMBER($D37),ISNUMBER(Baseline!$C$10),MAX($D37,IF(ISNUMBER($G37),$G37,0))&gt;Baseline!$C$10),"△ After the Planned finish",IF(AND(TRIM($B37)="Close",ISNUMBER($D37),ISNUMBER(Baseline!$C$10),$D37&lt;&gt;Baseline!$C$10),"△ Close isn't dated on the Planned finish",IF(AND(ISNUMBER($G37),ISNUMBER($D37),$G37&lt;$D37),"△ Ends before it starts",IF($X37=1,"△ Arrives after it is needed",IF($U37=1,"△ Nobody answers for it",IF($V37=1,"△ Moved with no change",IF($W37=1,"△ Past the Owner's limit","○ Clear"))))))))))))))</f>
        <v/>
      </c>
      <c r="R37" s="24">
        <f>IF(COUNTA($B37:$L37)&gt;0,1,0)</f>
        <v/>
      </c>
      <c r="S37" s="40">
        <f>IF($R37=0,"",IF(ISNUMBER($E37),$E37,$D37))</f>
        <v/>
      </c>
      <c r="T37" s="24">
        <f>IF($R37=0,0,IF(OR(AND(TRIM($B37)&lt;&gt;"",SUMPRODUCT(--($B$6:$B$44=$B37))&gt;1),ISERROR(MATCH($C37,{"Gate","Milestone","Need","Event"},0)),NOT(ISNUMBER($D37)),AND($C37="Gate",ISERROR(MATCH($B37,'Read me'!$B$56:$B$65,0))),IF(AND(ISNUMBER($Y37),ISNUMBER($K37)),$Y37&lt;MAX($Y$5:$Y36),FALSE),IF(AND(ISNUMBER($Y37),NOT(ISNUMBER($K37))),$Y37&lt;MAX($Y$5:$Y36),FALSE),AND(ISNUMBER($D37),ISNUMBER(Baseline!$C$10),MAX($D37,IF(ISNUMBER($G37),$G37,0))&gt;Baseline!$C$10),AND(TRIM($B37)="Close",ISNUMBER($D37),ISNUMBER(Baseline!$C$10),$D37&lt;&gt;Baseline!$C$10),AND(ISNUMBER($G37),ISNUMBER($D37),$G37&lt;$D37)),1,0))</f>
        <v/>
      </c>
      <c r="U37" s="24">
        <f>IF(OR($R37=0,$F37&lt;&gt;"",AND($C37&lt;&gt;"Gate",$C37&lt;&gt;"Milestone",$C37&lt;&gt;"Need")),0,IF(TRIM($H37)="",1,0))</f>
        <v/>
      </c>
      <c r="V37" s="24">
        <f>IF(OR($R37=0,$F37&lt;&gt;"",$C37="Need",$C37="Event",Baseline!$C$13=""),0,IF(OR(AND(N($M37)&gt;0,SUMPRODUCT(--(Changes!$I$6:$I$55="Raised"),--(((Changes!$E$6:$E$55=$B37)+(LEFT($B37,LEN(Changes!$E$6:$E$55)+1)=Changes!$E$6:$E$55&amp;"."))&gt;0))=0),AND(ISNUMBER($K37),ISNUMBER($D37),$D37&lt;&gt;$K37,SUMPRODUCT(--(Changes!$I$6:$I$55="Approved"),--(((Changes!$E$6:$E$55=$B37)+(LEFT($B37,LEN(Changes!$E$6:$E$55)+1)=Changes!$E$6:$E$55&amp;"."))&gt;0))=0)),1,0))</f>
        <v/>
      </c>
      <c r="W37" s="24">
        <f>IF(OR($R37=0,$F37&lt;&gt;"",$C37="Need",$C37="Event",NOT(ISNUMBER(Baseline!$C$15))),0,IF(N($M37)&gt;Baseline!$C$15,1,0))</f>
        <v/>
      </c>
      <c r="X37" s="24">
        <f>IF(OR($R37=0,$F37&lt;&gt;"",$C37&lt;&gt;"Need"),0,IF(N($M37)&gt;0,1,0))</f>
        <v/>
      </c>
      <c r="Y37" s="40">
        <f>IF($R37=0,"",IF(ISNUMBER($K37),$K37,IF(ISNUMBER($D37),$D37,"")))</f>
        <v/>
      </c>
    </row>
    <row r="38">
      <c r="A38" s="37">
        <f>IF($R38=0,"",ROW()-5)</f>
        <v/>
      </c>
      <c r="B38" s="23" t="n"/>
      <c r="C38" s="35" t="n"/>
      <c r="D38" s="38" t="n"/>
      <c r="E38" s="38" t="n"/>
      <c r="F38" s="38" t="n"/>
      <c r="G38" s="38" t="n"/>
      <c r="H38" s="23" t="n"/>
      <c r="I38" s="25" t="n"/>
      <c r="J38" s="23" t="n"/>
      <c r="K38" s="38" t="n"/>
      <c r="L38" s="23" t="n"/>
      <c r="M38" s="37">
        <f>IF(OR($R38=0,$F38&lt;&gt;"",NOT(ISNUMBER($D38)),NOT(ISNUMBER($S38))),"",IF($S38&lt;=$D38,0,NETWORKDAYS($D38+1,$S38)))</f>
        <v/>
      </c>
      <c r="N38" s="39">
        <f>IF(OR($R38=0,$F38&lt;&gt;"",$C38="Need",$C38="Event",NOT(ISNUMBER($D38))),"",IF(OR($D38&lt;Baseline!$K$5,N($M38)&gt;N(Baseline!$C$23)),"Red",IF(N($M38)&gt;0,"Amber","Green")))</f>
        <v/>
      </c>
      <c r="O38" s="37">
        <f>IF(OR($R38=0,NOT(ISNUMBER($K38))),"",IF(ISNUMBER($F38),IF($F38&lt;=$K38,0,NETWORKDAYS($K38+1,$F38)),IF(NOT(ISNUMBER($S38)),"",IF($S38&lt;=$K38,0,NETWORKDAYS($K38+1,$S38)))))</f>
        <v/>
      </c>
      <c r="P38" s="28">
        <f>IF($R38=0,"",IF(AND(TRIM($B38)&lt;&gt;"",SUMPRODUCT(--($B$6:$B$44=$B38))&gt;1),"△ Name used twice",IF(ISERROR(MATCH($C38,{"Gate","Milestone","Need","Event"},0)),"△ No kind",IF(NOT(ISNUMBER($D38)),"△ Baselined isn't a date",IF(AND($C38="Gate",ISERROR(MATCH($B38,'Read me'!$B$56:$B$65,0))),"△ Not a gate name on Read me",IF(IF(AND(ISNUMBER($Y38),ISNUMBER($K38)),$Y38&lt;MAX($Y$5:$Y37),FALSE),"△ Original is before the row above's",IF(IF(AND(ISNUMBER($Y38),NOT(ISNUMBER($K38))),$Y38&lt;MAX($Y$5:$Y37),FALSE),"△ Dated before the row above",IF(AND(ISNUMBER($D38),ISNUMBER(Baseline!$C$10),MAX($D38,IF(ISNUMBER($G38),$G38,0))&gt;Baseline!$C$10),"△ After the Planned finish",IF(AND(TRIM($B38)="Close",ISNUMBER($D38),ISNUMBER(Baseline!$C$10),$D38&lt;&gt;Baseline!$C$10),"△ Close isn't dated on the Planned finish",IF(AND(ISNUMBER($G38),ISNUMBER($D38),$G38&lt;$D38),"△ Ends before it starts",IF($X38=1,"△ Arrives after it is needed",IF($U38=1,"△ Nobody answers for it",IF($V38=1,"△ Moved with no change",IF($W38=1,"△ Past the Owner's limit","○ Clear"))))))))))))))</f>
        <v/>
      </c>
      <c r="R38" s="24">
        <f>IF(COUNTA($B38:$L38)&gt;0,1,0)</f>
        <v/>
      </c>
      <c r="S38" s="40">
        <f>IF($R38=0,"",IF(ISNUMBER($E38),$E38,$D38))</f>
        <v/>
      </c>
      <c r="T38" s="24">
        <f>IF($R38=0,0,IF(OR(AND(TRIM($B38)&lt;&gt;"",SUMPRODUCT(--($B$6:$B$44=$B38))&gt;1),ISERROR(MATCH($C38,{"Gate","Milestone","Need","Event"},0)),NOT(ISNUMBER($D38)),AND($C38="Gate",ISERROR(MATCH($B38,'Read me'!$B$56:$B$65,0))),IF(AND(ISNUMBER($Y38),ISNUMBER($K38)),$Y38&lt;MAX($Y$5:$Y37),FALSE),IF(AND(ISNUMBER($Y38),NOT(ISNUMBER($K38))),$Y38&lt;MAX($Y$5:$Y37),FALSE),AND(ISNUMBER($D38),ISNUMBER(Baseline!$C$10),MAX($D38,IF(ISNUMBER($G38),$G38,0))&gt;Baseline!$C$10),AND(TRIM($B38)="Close",ISNUMBER($D38),ISNUMBER(Baseline!$C$10),$D38&lt;&gt;Baseline!$C$10),AND(ISNUMBER($G38),ISNUMBER($D38),$G38&lt;$D38)),1,0))</f>
        <v/>
      </c>
      <c r="U38" s="24">
        <f>IF(OR($R38=0,$F38&lt;&gt;"",AND($C38&lt;&gt;"Gate",$C38&lt;&gt;"Milestone",$C38&lt;&gt;"Need")),0,IF(TRIM($H38)="",1,0))</f>
        <v/>
      </c>
      <c r="V38" s="24">
        <f>IF(OR($R38=0,$F38&lt;&gt;"",$C38="Need",$C38="Event",Baseline!$C$13=""),0,IF(OR(AND(N($M38)&gt;0,SUMPRODUCT(--(Changes!$I$6:$I$55="Raised"),--(((Changes!$E$6:$E$55=$B38)+(LEFT($B38,LEN(Changes!$E$6:$E$55)+1)=Changes!$E$6:$E$55&amp;"."))&gt;0))=0),AND(ISNUMBER($K38),ISNUMBER($D38),$D38&lt;&gt;$K38,SUMPRODUCT(--(Changes!$I$6:$I$55="Approved"),--(((Changes!$E$6:$E$55=$B38)+(LEFT($B38,LEN(Changes!$E$6:$E$55)+1)=Changes!$E$6:$E$55&amp;"."))&gt;0))=0)),1,0))</f>
        <v/>
      </c>
      <c r="W38" s="24">
        <f>IF(OR($R38=0,$F38&lt;&gt;"",$C38="Need",$C38="Event",NOT(ISNUMBER(Baseline!$C$15))),0,IF(N($M38)&gt;Baseline!$C$15,1,0))</f>
        <v/>
      </c>
      <c r="X38" s="24">
        <f>IF(OR($R38=0,$F38&lt;&gt;"",$C38&lt;&gt;"Need"),0,IF(N($M38)&gt;0,1,0))</f>
        <v/>
      </c>
      <c r="Y38" s="40">
        <f>IF($R38=0,"",IF(ISNUMBER($K38),$K38,IF(ISNUMBER($D38),$D38,"")))</f>
        <v/>
      </c>
    </row>
    <row r="39">
      <c r="A39" s="37">
        <f>IF($R39=0,"",ROW()-5)</f>
        <v/>
      </c>
      <c r="B39" s="23" t="n"/>
      <c r="C39" s="35" t="n"/>
      <c r="D39" s="38" t="n"/>
      <c r="E39" s="38" t="n"/>
      <c r="F39" s="38" t="n"/>
      <c r="G39" s="38" t="n"/>
      <c r="H39" s="23" t="n"/>
      <c r="I39" s="25" t="n"/>
      <c r="J39" s="23" t="n"/>
      <c r="K39" s="38" t="n"/>
      <c r="L39" s="23" t="n"/>
      <c r="M39" s="37">
        <f>IF(OR($R39=0,$F39&lt;&gt;"",NOT(ISNUMBER($D39)),NOT(ISNUMBER($S39))),"",IF($S39&lt;=$D39,0,NETWORKDAYS($D39+1,$S39)))</f>
        <v/>
      </c>
      <c r="N39" s="39">
        <f>IF(OR($R39=0,$F39&lt;&gt;"",$C39="Need",$C39="Event",NOT(ISNUMBER($D39))),"",IF(OR($D39&lt;Baseline!$K$5,N($M39)&gt;N(Baseline!$C$23)),"Red",IF(N($M39)&gt;0,"Amber","Green")))</f>
        <v/>
      </c>
      <c r="O39" s="37">
        <f>IF(OR($R39=0,NOT(ISNUMBER($K39))),"",IF(ISNUMBER($F39),IF($F39&lt;=$K39,0,NETWORKDAYS($K39+1,$F39)),IF(NOT(ISNUMBER($S39)),"",IF($S39&lt;=$K39,0,NETWORKDAYS($K39+1,$S39)))))</f>
        <v/>
      </c>
      <c r="P39" s="28">
        <f>IF($R39=0,"",IF(AND(TRIM($B39)&lt;&gt;"",SUMPRODUCT(--($B$6:$B$44=$B39))&gt;1),"△ Name used twice",IF(ISERROR(MATCH($C39,{"Gate","Milestone","Need","Event"},0)),"△ No kind",IF(NOT(ISNUMBER($D39)),"△ Baselined isn't a date",IF(AND($C39="Gate",ISERROR(MATCH($B39,'Read me'!$B$56:$B$65,0))),"△ Not a gate name on Read me",IF(IF(AND(ISNUMBER($Y39),ISNUMBER($K39)),$Y39&lt;MAX($Y$5:$Y38),FALSE),"△ Original is before the row above's",IF(IF(AND(ISNUMBER($Y39),NOT(ISNUMBER($K39))),$Y39&lt;MAX($Y$5:$Y38),FALSE),"△ Dated before the row above",IF(AND(ISNUMBER($D39),ISNUMBER(Baseline!$C$10),MAX($D39,IF(ISNUMBER($G39),$G39,0))&gt;Baseline!$C$10),"△ After the Planned finish",IF(AND(TRIM($B39)="Close",ISNUMBER($D39),ISNUMBER(Baseline!$C$10),$D39&lt;&gt;Baseline!$C$10),"△ Close isn't dated on the Planned finish",IF(AND(ISNUMBER($G39),ISNUMBER($D39),$G39&lt;$D39),"△ Ends before it starts",IF($X39=1,"△ Arrives after it is needed",IF($U39=1,"△ Nobody answers for it",IF($V39=1,"△ Moved with no change",IF($W39=1,"△ Past the Owner's limit","○ Clear"))))))))))))))</f>
        <v/>
      </c>
      <c r="R39" s="24">
        <f>IF(COUNTA($B39:$L39)&gt;0,1,0)</f>
        <v/>
      </c>
      <c r="S39" s="40">
        <f>IF($R39=0,"",IF(ISNUMBER($E39),$E39,$D39))</f>
        <v/>
      </c>
      <c r="T39" s="24">
        <f>IF($R39=0,0,IF(OR(AND(TRIM($B39)&lt;&gt;"",SUMPRODUCT(--($B$6:$B$44=$B39))&gt;1),ISERROR(MATCH($C39,{"Gate","Milestone","Need","Event"},0)),NOT(ISNUMBER($D39)),AND($C39="Gate",ISERROR(MATCH($B39,'Read me'!$B$56:$B$65,0))),IF(AND(ISNUMBER($Y39),ISNUMBER($K39)),$Y39&lt;MAX($Y$5:$Y38),FALSE),IF(AND(ISNUMBER($Y39),NOT(ISNUMBER($K39))),$Y39&lt;MAX($Y$5:$Y38),FALSE),AND(ISNUMBER($D39),ISNUMBER(Baseline!$C$10),MAX($D39,IF(ISNUMBER($G39),$G39,0))&gt;Baseline!$C$10),AND(TRIM($B39)="Close",ISNUMBER($D39),ISNUMBER(Baseline!$C$10),$D39&lt;&gt;Baseline!$C$10),AND(ISNUMBER($G39),ISNUMBER($D39),$G39&lt;$D39)),1,0))</f>
        <v/>
      </c>
      <c r="U39" s="24">
        <f>IF(OR($R39=0,$F39&lt;&gt;"",AND($C39&lt;&gt;"Gate",$C39&lt;&gt;"Milestone",$C39&lt;&gt;"Need")),0,IF(TRIM($H39)="",1,0))</f>
        <v/>
      </c>
      <c r="V39" s="24">
        <f>IF(OR($R39=0,$F39&lt;&gt;"",$C39="Need",$C39="Event",Baseline!$C$13=""),0,IF(OR(AND(N($M39)&gt;0,SUMPRODUCT(--(Changes!$I$6:$I$55="Raised"),--(((Changes!$E$6:$E$55=$B39)+(LEFT($B39,LEN(Changes!$E$6:$E$55)+1)=Changes!$E$6:$E$55&amp;"."))&gt;0))=0),AND(ISNUMBER($K39),ISNUMBER($D39),$D39&lt;&gt;$K39,SUMPRODUCT(--(Changes!$I$6:$I$55="Approved"),--(((Changes!$E$6:$E$55=$B39)+(LEFT($B39,LEN(Changes!$E$6:$E$55)+1)=Changes!$E$6:$E$55&amp;"."))&gt;0))=0)),1,0))</f>
        <v/>
      </c>
      <c r="W39" s="24">
        <f>IF(OR($R39=0,$F39&lt;&gt;"",$C39="Need",$C39="Event",NOT(ISNUMBER(Baseline!$C$15))),0,IF(N($M39)&gt;Baseline!$C$15,1,0))</f>
        <v/>
      </c>
      <c r="X39" s="24">
        <f>IF(OR($R39=0,$F39&lt;&gt;"",$C39&lt;&gt;"Need"),0,IF(N($M39)&gt;0,1,0))</f>
        <v/>
      </c>
      <c r="Y39" s="40">
        <f>IF($R39=0,"",IF(ISNUMBER($K39),$K39,IF(ISNUMBER($D39),$D39,"")))</f>
        <v/>
      </c>
    </row>
    <row r="40">
      <c r="A40" s="37">
        <f>IF($R40=0,"",ROW()-5)</f>
        <v/>
      </c>
      <c r="B40" s="23" t="n"/>
      <c r="C40" s="35" t="n"/>
      <c r="D40" s="38" t="n"/>
      <c r="E40" s="38" t="n"/>
      <c r="F40" s="38" t="n"/>
      <c r="G40" s="38" t="n"/>
      <c r="H40" s="23" t="n"/>
      <c r="I40" s="25" t="n"/>
      <c r="J40" s="23" t="n"/>
      <c r="K40" s="38" t="n"/>
      <c r="L40" s="23" t="n"/>
      <c r="M40" s="37">
        <f>IF(OR($R40=0,$F40&lt;&gt;"",NOT(ISNUMBER($D40)),NOT(ISNUMBER($S40))),"",IF($S40&lt;=$D40,0,NETWORKDAYS($D40+1,$S40)))</f>
        <v/>
      </c>
      <c r="N40" s="39">
        <f>IF(OR($R40=0,$F40&lt;&gt;"",$C40="Need",$C40="Event",NOT(ISNUMBER($D40))),"",IF(OR($D40&lt;Baseline!$K$5,N($M40)&gt;N(Baseline!$C$23)),"Red",IF(N($M40)&gt;0,"Amber","Green")))</f>
        <v/>
      </c>
      <c r="O40" s="37">
        <f>IF(OR($R40=0,NOT(ISNUMBER($K40))),"",IF(ISNUMBER($F40),IF($F40&lt;=$K40,0,NETWORKDAYS($K40+1,$F40)),IF(NOT(ISNUMBER($S40)),"",IF($S40&lt;=$K40,0,NETWORKDAYS($K40+1,$S40)))))</f>
        <v/>
      </c>
      <c r="P40" s="28">
        <f>IF($R40=0,"",IF(AND(TRIM($B40)&lt;&gt;"",SUMPRODUCT(--($B$6:$B$44=$B40))&gt;1),"△ Name used twice",IF(ISERROR(MATCH($C40,{"Gate","Milestone","Need","Event"},0)),"△ No kind",IF(NOT(ISNUMBER($D40)),"△ Baselined isn't a date",IF(AND($C40="Gate",ISERROR(MATCH($B40,'Read me'!$B$56:$B$65,0))),"△ Not a gate name on Read me",IF(IF(AND(ISNUMBER($Y40),ISNUMBER($K40)),$Y40&lt;MAX($Y$5:$Y39),FALSE),"△ Original is before the row above's",IF(IF(AND(ISNUMBER($Y40),NOT(ISNUMBER($K40))),$Y40&lt;MAX($Y$5:$Y39),FALSE),"△ Dated before the row above",IF(AND(ISNUMBER($D40),ISNUMBER(Baseline!$C$10),MAX($D40,IF(ISNUMBER($G40),$G40,0))&gt;Baseline!$C$10),"△ After the Planned finish",IF(AND(TRIM($B40)="Close",ISNUMBER($D40),ISNUMBER(Baseline!$C$10),$D40&lt;&gt;Baseline!$C$10),"△ Close isn't dated on the Planned finish",IF(AND(ISNUMBER($G40),ISNUMBER($D40),$G40&lt;$D40),"△ Ends before it starts",IF($X40=1,"△ Arrives after it is needed",IF($U40=1,"△ Nobody answers for it",IF($V40=1,"△ Moved with no change",IF($W40=1,"△ Past the Owner's limit","○ Clear"))))))))))))))</f>
        <v/>
      </c>
      <c r="R40" s="24">
        <f>IF(COUNTA($B40:$L40)&gt;0,1,0)</f>
        <v/>
      </c>
      <c r="S40" s="40">
        <f>IF($R40=0,"",IF(ISNUMBER($E40),$E40,$D40))</f>
        <v/>
      </c>
      <c r="T40" s="24">
        <f>IF($R40=0,0,IF(OR(AND(TRIM($B40)&lt;&gt;"",SUMPRODUCT(--($B$6:$B$44=$B40))&gt;1),ISERROR(MATCH($C40,{"Gate","Milestone","Need","Event"},0)),NOT(ISNUMBER($D40)),AND($C40="Gate",ISERROR(MATCH($B40,'Read me'!$B$56:$B$65,0))),IF(AND(ISNUMBER($Y40),ISNUMBER($K40)),$Y40&lt;MAX($Y$5:$Y39),FALSE),IF(AND(ISNUMBER($Y40),NOT(ISNUMBER($K40))),$Y40&lt;MAX($Y$5:$Y39),FALSE),AND(ISNUMBER($D40),ISNUMBER(Baseline!$C$10),MAX($D40,IF(ISNUMBER($G40),$G40,0))&gt;Baseline!$C$10),AND(TRIM($B40)="Close",ISNUMBER($D40),ISNUMBER(Baseline!$C$10),$D40&lt;&gt;Baseline!$C$10),AND(ISNUMBER($G40),ISNUMBER($D40),$G40&lt;$D40)),1,0))</f>
        <v/>
      </c>
      <c r="U40" s="24">
        <f>IF(OR($R40=0,$F40&lt;&gt;"",AND($C40&lt;&gt;"Gate",$C40&lt;&gt;"Milestone",$C40&lt;&gt;"Need")),0,IF(TRIM($H40)="",1,0))</f>
        <v/>
      </c>
      <c r="V40" s="24">
        <f>IF(OR($R40=0,$F40&lt;&gt;"",$C40="Need",$C40="Event",Baseline!$C$13=""),0,IF(OR(AND(N($M40)&gt;0,SUMPRODUCT(--(Changes!$I$6:$I$55="Raised"),--(((Changes!$E$6:$E$55=$B40)+(LEFT($B40,LEN(Changes!$E$6:$E$55)+1)=Changes!$E$6:$E$55&amp;"."))&gt;0))=0),AND(ISNUMBER($K40),ISNUMBER($D40),$D40&lt;&gt;$K40,SUMPRODUCT(--(Changes!$I$6:$I$55="Approved"),--(((Changes!$E$6:$E$55=$B40)+(LEFT($B40,LEN(Changes!$E$6:$E$55)+1)=Changes!$E$6:$E$55&amp;"."))&gt;0))=0)),1,0))</f>
        <v/>
      </c>
      <c r="W40" s="24">
        <f>IF(OR($R40=0,$F40&lt;&gt;"",$C40="Need",$C40="Event",NOT(ISNUMBER(Baseline!$C$15))),0,IF(N($M40)&gt;Baseline!$C$15,1,0))</f>
        <v/>
      </c>
      <c r="X40" s="24">
        <f>IF(OR($R40=0,$F40&lt;&gt;"",$C40&lt;&gt;"Need"),0,IF(N($M40)&gt;0,1,0))</f>
        <v/>
      </c>
      <c r="Y40" s="40">
        <f>IF($R40=0,"",IF(ISNUMBER($K40),$K40,IF(ISNUMBER($D40),$D40,"")))</f>
        <v/>
      </c>
    </row>
    <row r="41">
      <c r="A41" s="37">
        <f>IF($R41=0,"",ROW()-5)</f>
        <v/>
      </c>
      <c r="B41" s="23" t="n"/>
      <c r="C41" s="35" t="n"/>
      <c r="D41" s="38" t="n"/>
      <c r="E41" s="38" t="n"/>
      <c r="F41" s="38" t="n"/>
      <c r="G41" s="38" t="n"/>
      <c r="H41" s="23" t="n"/>
      <c r="I41" s="25" t="n"/>
      <c r="J41" s="23" t="n"/>
      <c r="K41" s="38" t="n"/>
      <c r="L41" s="23" t="n"/>
      <c r="M41" s="37">
        <f>IF(OR($R41=0,$F41&lt;&gt;"",NOT(ISNUMBER($D41)),NOT(ISNUMBER($S41))),"",IF($S41&lt;=$D41,0,NETWORKDAYS($D41+1,$S41)))</f>
        <v/>
      </c>
      <c r="N41" s="39">
        <f>IF(OR($R41=0,$F41&lt;&gt;"",$C41="Need",$C41="Event",NOT(ISNUMBER($D41))),"",IF(OR($D41&lt;Baseline!$K$5,N($M41)&gt;N(Baseline!$C$23)),"Red",IF(N($M41)&gt;0,"Amber","Green")))</f>
        <v/>
      </c>
      <c r="O41" s="37">
        <f>IF(OR($R41=0,NOT(ISNUMBER($K41))),"",IF(ISNUMBER($F41),IF($F41&lt;=$K41,0,NETWORKDAYS($K41+1,$F41)),IF(NOT(ISNUMBER($S41)),"",IF($S41&lt;=$K41,0,NETWORKDAYS($K41+1,$S41)))))</f>
        <v/>
      </c>
      <c r="P41" s="28">
        <f>IF($R41=0,"",IF(AND(TRIM($B41)&lt;&gt;"",SUMPRODUCT(--($B$6:$B$44=$B41))&gt;1),"△ Name used twice",IF(ISERROR(MATCH($C41,{"Gate","Milestone","Need","Event"},0)),"△ No kind",IF(NOT(ISNUMBER($D41)),"△ Baselined isn't a date",IF(AND($C41="Gate",ISERROR(MATCH($B41,'Read me'!$B$56:$B$65,0))),"△ Not a gate name on Read me",IF(IF(AND(ISNUMBER($Y41),ISNUMBER($K41)),$Y41&lt;MAX($Y$5:$Y40),FALSE),"△ Original is before the row above's",IF(IF(AND(ISNUMBER($Y41),NOT(ISNUMBER($K41))),$Y41&lt;MAX($Y$5:$Y40),FALSE),"△ Dated before the row above",IF(AND(ISNUMBER($D41),ISNUMBER(Baseline!$C$10),MAX($D41,IF(ISNUMBER($G41),$G41,0))&gt;Baseline!$C$10),"△ After the Planned finish",IF(AND(TRIM($B41)="Close",ISNUMBER($D41),ISNUMBER(Baseline!$C$10),$D41&lt;&gt;Baseline!$C$10),"△ Close isn't dated on the Planned finish",IF(AND(ISNUMBER($G41),ISNUMBER($D41),$G41&lt;$D41),"△ Ends before it starts",IF($X41=1,"△ Arrives after it is needed",IF($U41=1,"△ Nobody answers for it",IF($V41=1,"△ Moved with no change",IF($W41=1,"△ Past the Owner's limit","○ Clear"))))))))))))))</f>
        <v/>
      </c>
      <c r="R41" s="24">
        <f>IF(COUNTA($B41:$L41)&gt;0,1,0)</f>
        <v/>
      </c>
      <c r="S41" s="40">
        <f>IF($R41=0,"",IF(ISNUMBER($E41),$E41,$D41))</f>
        <v/>
      </c>
      <c r="T41" s="24">
        <f>IF($R41=0,0,IF(OR(AND(TRIM($B41)&lt;&gt;"",SUMPRODUCT(--($B$6:$B$44=$B41))&gt;1),ISERROR(MATCH($C41,{"Gate","Milestone","Need","Event"},0)),NOT(ISNUMBER($D41)),AND($C41="Gate",ISERROR(MATCH($B41,'Read me'!$B$56:$B$65,0))),IF(AND(ISNUMBER($Y41),ISNUMBER($K41)),$Y41&lt;MAX($Y$5:$Y40),FALSE),IF(AND(ISNUMBER($Y41),NOT(ISNUMBER($K41))),$Y41&lt;MAX($Y$5:$Y40),FALSE),AND(ISNUMBER($D41),ISNUMBER(Baseline!$C$10),MAX($D41,IF(ISNUMBER($G41),$G41,0))&gt;Baseline!$C$10),AND(TRIM($B41)="Close",ISNUMBER($D41),ISNUMBER(Baseline!$C$10),$D41&lt;&gt;Baseline!$C$10),AND(ISNUMBER($G41),ISNUMBER($D41),$G41&lt;$D41)),1,0))</f>
        <v/>
      </c>
      <c r="U41" s="24">
        <f>IF(OR($R41=0,$F41&lt;&gt;"",AND($C41&lt;&gt;"Gate",$C41&lt;&gt;"Milestone",$C41&lt;&gt;"Need")),0,IF(TRIM($H41)="",1,0))</f>
        <v/>
      </c>
      <c r="V41" s="24">
        <f>IF(OR($R41=0,$F41&lt;&gt;"",$C41="Need",$C41="Event",Baseline!$C$13=""),0,IF(OR(AND(N($M41)&gt;0,SUMPRODUCT(--(Changes!$I$6:$I$55="Raised"),--(((Changes!$E$6:$E$55=$B41)+(LEFT($B41,LEN(Changes!$E$6:$E$55)+1)=Changes!$E$6:$E$55&amp;"."))&gt;0))=0),AND(ISNUMBER($K41),ISNUMBER($D41),$D41&lt;&gt;$K41,SUMPRODUCT(--(Changes!$I$6:$I$55="Approved"),--(((Changes!$E$6:$E$55=$B41)+(LEFT($B41,LEN(Changes!$E$6:$E$55)+1)=Changes!$E$6:$E$55&amp;"."))&gt;0))=0)),1,0))</f>
        <v/>
      </c>
      <c r="W41" s="24">
        <f>IF(OR($R41=0,$F41&lt;&gt;"",$C41="Need",$C41="Event",NOT(ISNUMBER(Baseline!$C$15))),0,IF(N($M41)&gt;Baseline!$C$15,1,0))</f>
        <v/>
      </c>
      <c r="X41" s="24">
        <f>IF(OR($R41=0,$F41&lt;&gt;"",$C41&lt;&gt;"Need"),0,IF(N($M41)&gt;0,1,0))</f>
        <v/>
      </c>
      <c r="Y41" s="40">
        <f>IF($R41=0,"",IF(ISNUMBER($K41),$K41,IF(ISNUMBER($D41),$D41,"")))</f>
        <v/>
      </c>
    </row>
    <row r="42">
      <c r="A42" s="37">
        <f>IF($R42=0,"",ROW()-5)</f>
        <v/>
      </c>
      <c r="B42" s="23" t="n"/>
      <c r="C42" s="35" t="n"/>
      <c r="D42" s="38" t="n"/>
      <c r="E42" s="38" t="n"/>
      <c r="F42" s="38" t="n"/>
      <c r="G42" s="38" t="n"/>
      <c r="H42" s="23" t="n"/>
      <c r="I42" s="25" t="n"/>
      <c r="J42" s="23" t="n"/>
      <c r="K42" s="38" t="n"/>
      <c r="L42" s="23" t="n"/>
      <c r="M42" s="37">
        <f>IF(OR($R42=0,$F42&lt;&gt;"",NOT(ISNUMBER($D42)),NOT(ISNUMBER($S42))),"",IF($S42&lt;=$D42,0,NETWORKDAYS($D42+1,$S42)))</f>
        <v/>
      </c>
      <c r="N42" s="39">
        <f>IF(OR($R42=0,$F42&lt;&gt;"",$C42="Need",$C42="Event",NOT(ISNUMBER($D42))),"",IF(OR($D42&lt;Baseline!$K$5,N($M42)&gt;N(Baseline!$C$23)),"Red",IF(N($M42)&gt;0,"Amber","Green")))</f>
        <v/>
      </c>
      <c r="O42" s="37">
        <f>IF(OR($R42=0,NOT(ISNUMBER($K42))),"",IF(ISNUMBER($F42),IF($F42&lt;=$K42,0,NETWORKDAYS($K42+1,$F42)),IF(NOT(ISNUMBER($S42)),"",IF($S42&lt;=$K42,0,NETWORKDAYS($K42+1,$S42)))))</f>
        <v/>
      </c>
      <c r="P42" s="28">
        <f>IF($R42=0,"",IF(AND(TRIM($B42)&lt;&gt;"",SUMPRODUCT(--($B$6:$B$44=$B42))&gt;1),"△ Name used twice",IF(ISERROR(MATCH($C42,{"Gate","Milestone","Need","Event"},0)),"△ No kind",IF(NOT(ISNUMBER($D42)),"△ Baselined isn't a date",IF(AND($C42="Gate",ISERROR(MATCH($B42,'Read me'!$B$56:$B$65,0))),"△ Not a gate name on Read me",IF(IF(AND(ISNUMBER($Y42),ISNUMBER($K42)),$Y42&lt;MAX($Y$5:$Y41),FALSE),"△ Original is before the row above's",IF(IF(AND(ISNUMBER($Y42),NOT(ISNUMBER($K42))),$Y42&lt;MAX($Y$5:$Y41),FALSE),"△ Dated before the row above",IF(AND(ISNUMBER($D42),ISNUMBER(Baseline!$C$10),MAX($D42,IF(ISNUMBER($G42),$G42,0))&gt;Baseline!$C$10),"△ After the Planned finish",IF(AND(TRIM($B42)="Close",ISNUMBER($D42),ISNUMBER(Baseline!$C$10),$D42&lt;&gt;Baseline!$C$10),"△ Close isn't dated on the Planned finish",IF(AND(ISNUMBER($G42),ISNUMBER($D42),$G42&lt;$D42),"△ Ends before it starts",IF($X42=1,"△ Arrives after it is needed",IF($U42=1,"△ Nobody answers for it",IF($V42=1,"△ Moved with no change",IF($W42=1,"△ Past the Owner's limit","○ Clear"))))))))))))))</f>
        <v/>
      </c>
      <c r="R42" s="24">
        <f>IF(COUNTA($B42:$L42)&gt;0,1,0)</f>
        <v/>
      </c>
      <c r="S42" s="40">
        <f>IF($R42=0,"",IF(ISNUMBER($E42),$E42,$D42))</f>
        <v/>
      </c>
      <c r="T42" s="24">
        <f>IF($R42=0,0,IF(OR(AND(TRIM($B42)&lt;&gt;"",SUMPRODUCT(--($B$6:$B$44=$B42))&gt;1),ISERROR(MATCH($C42,{"Gate","Milestone","Need","Event"},0)),NOT(ISNUMBER($D42)),AND($C42="Gate",ISERROR(MATCH($B42,'Read me'!$B$56:$B$65,0))),IF(AND(ISNUMBER($Y42),ISNUMBER($K42)),$Y42&lt;MAX($Y$5:$Y41),FALSE),IF(AND(ISNUMBER($Y42),NOT(ISNUMBER($K42))),$Y42&lt;MAX($Y$5:$Y41),FALSE),AND(ISNUMBER($D42),ISNUMBER(Baseline!$C$10),MAX($D42,IF(ISNUMBER($G42),$G42,0))&gt;Baseline!$C$10),AND(TRIM($B42)="Close",ISNUMBER($D42),ISNUMBER(Baseline!$C$10),$D42&lt;&gt;Baseline!$C$10),AND(ISNUMBER($G42),ISNUMBER($D42),$G42&lt;$D42)),1,0))</f>
        <v/>
      </c>
      <c r="U42" s="24">
        <f>IF(OR($R42=0,$F42&lt;&gt;"",AND($C42&lt;&gt;"Gate",$C42&lt;&gt;"Milestone",$C42&lt;&gt;"Need")),0,IF(TRIM($H42)="",1,0))</f>
        <v/>
      </c>
      <c r="V42" s="24">
        <f>IF(OR($R42=0,$F42&lt;&gt;"",$C42="Need",$C42="Event",Baseline!$C$13=""),0,IF(OR(AND(N($M42)&gt;0,SUMPRODUCT(--(Changes!$I$6:$I$55="Raised"),--(((Changes!$E$6:$E$55=$B42)+(LEFT($B42,LEN(Changes!$E$6:$E$55)+1)=Changes!$E$6:$E$55&amp;"."))&gt;0))=0),AND(ISNUMBER($K42),ISNUMBER($D42),$D42&lt;&gt;$K42,SUMPRODUCT(--(Changes!$I$6:$I$55="Approved"),--(((Changes!$E$6:$E$55=$B42)+(LEFT($B42,LEN(Changes!$E$6:$E$55)+1)=Changes!$E$6:$E$55&amp;"."))&gt;0))=0)),1,0))</f>
        <v/>
      </c>
      <c r="W42" s="24">
        <f>IF(OR($R42=0,$F42&lt;&gt;"",$C42="Need",$C42="Event",NOT(ISNUMBER(Baseline!$C$15))),0,IF(N($M42)&gt;Baseline!$C$15,1,0))</f>
        <v/>
      </c>
      <c r="X42" s="24">
        <f>IF(OR($R42=0,$F42&lt;&gt;"",$C42&lt;&gt;"Need"),0,IF(N($M42)&gt;0,1,0))</f>
        <v/>
      </c>
      <c r="Y42" s="40">
        <f>IF($R42=0,"",IF(ISNUMBER($K42),$K42,IF(ISNUMBER($D42),$D42,"")))</f>
        <v/>
      </c>
    </row>
    <row r="43">
      <c r="A43" s="37">
        <f>IF($R43=0,"",ROW()-5)</f>
        <v/>
      </c>
      <c r="B43" s="23" t="n"/>
      <c r="C43" s="35" t="n"/>
      <c r="D43" s="38" t="n"/>
      <c r="E43" s="38" t="n"/>
      <c r="F43" s="38" t="n"/>
      <c r="G43" s="38" t="n"/>
      <c r="H43" s="23" t="n"/>
      <c r="I43" s="25" t="n"/>
      <c r="J43" s="23" t="n"/>
      <c r="K43" s="38" t="n"/>
      <c r="L43" s="23" t="n"/>
      <c r="M43" s="37">
        <f>IF(OR($R43=0,$F43&lt;&gt;"",NOT(ISNUMBER($D43)),NOT(ISNUMBER($S43))),"",IF($S43&lt;=$D43,0,NETWORKDAYS($D43+1,$S43)))</f>
        <v/>
      </c>
      <c r="N43" s="39">
        <f>IF(OR($R43=0,$F43&lt;&gt;"",$C43="Need",$C43="Event",NOT(ISNUMBER($D43))),"",IF(OR($D43&lt;Baseline!$K$5,N($M43)&gt;N(Baseline!$C$23)),"Red",IF(N($M43)&gt;0,"Amber","Green")))</f>
        <v/>
      </c>
      <c r="O43" s="37">
        <f>IF(OR($R43=0,NOT(ISNUMBER($K43))),"",IF(ISNUMBER($F43),IF($F43&lt;=$K43,0,NETWORKDAYS($K43+1,$F43)),IF(NOT(ISNUMBER($S43)),"",IF($S43&lt;=$K43,0,NETWORKDAYS($K43+1,$S43)))))</f>
        <v/>
      </c>
      <c r="P43" s="28">
        <f>IF($R43=0,"",IF(AND(TRIM($B43)&lt;&gt;"",SUMPRODUCT(--($B$6:$B$44=$B43))&gt;1),"△ Name used twice",IF(ISERROR(MATCH($C43,{"Gate","Milestone","Need","Event"},0)),"△ No kind",IF(NOT(ISNUMBER($D43)),"△ Baselined isn't a date",IF(AND($C43="Gate",ISERROR(MATCH($B43,'Read me'!$B$56:$B$65,0))),"△ Not a gate name on Read me",IF(IF(AND(ISNUMBER($Y43),ISNUMBER($K43)),$Y43&lt;MAX($Y$5:$Y42),FALSE),"△ Original is before the row above's",IF(IF(AND(ISNUMBER($Y43),NOT(ISNUMBER($K43))),$Y43&lt;MAX($Y$5:$Y42),FALSE),"△ Dated before the row above",IF(AND(ISNUMBER($D43),ISNUMBER(Baseline!$C$10),MAX($D43,IF(ISNUMBER($G43),$G43,0))&gt;Baseline!$C$10),"△ After the Planned finish",IF(AND(TRIM($B43)="Close",ISNUMBER($D43),ISNUMBER(Baseline!$C$10),$D43&lt;&gt;Baseline!$C$10),"△ Close isn't dated on the Planned finish",IF(AND(ISNUMBER($G43),ISNUMBER($D43),$G43&lt;$D43),"△ Ends before it starts",IF($X43=1,"△ Arrives after it is needed",IF($U43=1,"△ Nobody answers for it",IF($V43=1,"△ Moved with no change",IF($W43=1,"△ Past the Owner's limit","○ Clear"))))))))))))))</f>
        <v/>
      </c>
      <c r="R43" s="24">
        <f>IF(COUNTA($B43:$L43)&gt;0,1,0)</f>
        <v/>
      </c>
      <c r="S43" s="40">
        <f>IF($R43=0,"",IF(ISNUMBER($E43),$E43,$D43))</f>
        <v/>
      </c>
      <c r="T43" s="24">
        <f>IF($R43=0,0,IF(OR(AND(TRIM($B43)&lt;&gt;"",SUMPRODUCT(--($B$6:$B$44=$B43))&gt;1),ISERROR(MATCH($C43,{"Gate","Milestone","Need","Event"},0)),NOT(ISNUMBER($D43)),AND($C43="Gate",ISERROR(MATCH($B43,'Read me'!$B$56:$B$65,0))),IF(AND(ISNUMBER($Y43),ISNUMBER($K43)),$Y43&lt;MAX($Y$5:$Y42),FALSE),IF(AND(ISNUMBER($Y43),NOT(ISNUMBER($K43))),$Y43&lt;MAX($Y$5:$Y42),FALSE),AND(ISNUMBER($D43),ISNUMBER(Baseline!$C$10),MAX($D43,IF(ISNUMBER($G43),$G43,0))&gt;Baseline!$C$10),AND(TRIM($B43)="Close",ISNUMBER($D43),ISNUMBER(Baseline!$C$10),$D43&lt;&gt;Baseline!$C$10),AND(ISNUMBER($G43),ISNUMBER($D43),$G43&lt;$D43)),1,0))</f>
        <v/>
      </c>
      <c r="U43" s="24">
        <f>IF(OR($R43=0,$F43&lt;&gt;"",AND($C43&lt;&gt;"Gate",$C43&lt;&gt;"Milestone",$C43&lt;&gt;"Need")),0,IF(TRIM($H43)="",1,0))</f>
        <v/>
      </c>
      <c r="V43" s="24">
        <f>IF(OR($R43=0,$F43&lt;&gt;"",$C43="Need",$C43="Event",Baseline!$C$13=""),0,IF(OR(AND(N($M43)&gt;0,SUMPRODUCT(--(Changes!$I$6:$I$55="Raised"),--(((Changes!$E$6:$E$55=$B43)+(LEFT($B43,LEN(Changes!$E$6:$E$55)+1)=Changes!$E$6:$E$55&amp;"."))&gt;0))=0),AND(ISNUMBER($K43),ISNUMBER($D43),$D43&lt;&gt;$K43,SUMPRODUCT(--(Changes!$I$6:$I$55="Approved"),--(((Changes!$E$6:$E$55=$B43)+(LEFT($B43,LEN(Changes!$E$6:$E$55)+1)=Changes!$E$6:$E$55&amp;"."))&gt;0))=0)),1,0))</f>
        <v/>
      </c>
      <c r="W43" s="24">
        <f>IF(OR($R43=0,$F43&lt;&gt;"",$C43="Need",$C43="Event",NOT(ISNUMBER(Baseline!$C$15))),0,IF(N($M43)&gt;Baseline!$C$15,1,0))</f>
        <v/>
      </c>
      <c r="X43" s="24">
        <f>IF(OR($R43=0,$F43&lt;&gt;"",$C43&lt;&gt;"Need"),0,IF(N($M43)&gt;0,1,0))</f>
        <v/>
      </c>
      <c r="Y43" s="40">
        <f>IF($R43=0,"",IF(ISNUMBER($K43),$K43,IF(ISNUMBER($D43),$D43,"")))</f>
        <v/>
      </c>
    </row>
    <row r="44">
      <c r="A44" s="37">
        <f>IF($R44=0,"",ROW()-5)</f>
        <v/>
      </c>
      <c r="B44" s="23" t="n"/>
      <c r="C44" s="35" t="n"/>
      <c r="D44" s="38" t="n"/>
      <c r="E44" s="38" t="n"/>
      <c r="F44" s="38" t="n"/>
      <c r="G44" s="38" t="n"/>
      <c r="H44" s="23" t="n"/>
      <c r="I44" s="25" t="n"/>
      <c r="J44" s="23" t="n"/>
      <c r="K44" s="38" t="n"/>
      <c r="L44" s="23" t="n"/>
      <c r="M44" s="37">
        <f>IF(OR($R44=0,$F44&lt;&gt;"",NOT(ISNUMBER($D44)),NOT(ISNUMBER($S44))),"",IF($S44&lt;=$D44,0,NETWORKDAYS($D44+1,$S44)))</f>
        <v/>
      </c>
      <c r="N44" s="39">
        <f>IF(OR($R44=0,$F44&lt;&gt;"",$C44="Need",$C44="Event",NOT(ISNUMBER($D44))),"",IF(OR($D44&lt;Baseline!$K$5,N($M44)&gt;N(Baseline!$C$23)),"Red",IF(N($M44)&gt;0,"Amber","Green")))</f>
        <v/>
      </c>
      <c r="O44" s="37">
        <f>IF(OR($R44=0,NOT(ISNUMBER($K44))),"",IF(ISNUMBER($F44),IF($F44&lt;=$K44,0,NETWORKDAYS($K44+1,$F44)),IF(NOT(ISNUMBER($S44)),"",IF($S44&lt;=$K44,0,NETWORKDAYS($K44+1,$S44)))))</f>
        <v/>
      </c>
      <c r="P44" s="28">
        <f>IF($R44=0,"",IF(AND(TRIM($B44)&lt;&gt;"",SUMPRODUCT(--($B$6:$B$44=$B44))&gt;1),"△ Name used twice",IF(ISERROR(MATCH($C44,{"Gate","Milestone","Need","Event"},0)),"△ No kind",IF(NOT(ISNUMBER($D44)),"△ Baselined isn't a date",IF(AND($C44="Gate",ISERROR(MATCH($B44,'Read me'!$B$56:$B$65,0))),"△ Not a gate name on Read me",IF(IF(AND(ISNUMBER($Y44),ISNUMBER($K44)),$Y44&lt;MAX($Y$5:$Y43),FALSE),"△ Original is before the row above's",IF(IF(AND(ISNUMBER($Y44),NOT(ISNUMBER($K44))),$Y44&lt;MAX($Y$5:$Y43),FALSE),"△ Dated before the row above",IF(AND(ISNUMBER($D44),ISNUMBER(Baseline!$C$10),MAX($D44,IF(ISNUMBER($G44),$G44,0))&gt;Baseline!$C$10),"△ After the Planned finish",IF(AND(TRIM($B44)="Close",ISNUMBER($D44),ISNUMBER(Baseline!$C$10),$D44&lt;&gt;Baseline!$C$10),"△ Close isn't dated on the Planned finish",IF(AND(ISNUMBER($G44),ISNUMBER($D44),$G44&lt;$D44),"△ Ends before it starts",IF($X44=1,"△ Arrives after it is needed",IF($U44=1,"△ Nobody answers for it",IF($V44=1,"△ Moved with no change",IF($W44=1,"△ Past the Owner's limit","○ Clear"))))))))))))))</f>
        <v/>
      </c>
      <c r="R44" s="24">
        <f>IF(COUNTA($B44:$L44)&gt;0,1,0)</f>
        <v/>
      </c>
      <c r="S44" s="40">
        <f>IF($R44=0,"",IF(ISNUMBER($E44),$E44,$D44))</f>
        <v/>
      </c>
      <c r="T44" s="24">
        <f>IF($R44=0,0,IF(OR(AND(TRIM($B44)&lt;&gt;"",SUMPRODUCT(--($B$6:$B$44=$B44))&gt;1),ISERROR(MATCH($C44,{"Gate","Milestone","Need","Event"},0)),NOT(ISNUMBER($D44)),AND($C44="Gate",ISERROR(MATCH($B44,'Read me'!$B$56:$B$65,0))),IF(AND(ISNUMBER($Y44),ISNUMBER($K44)),$Y44&lt;MAX($Y$5:$Y43),FALSE),IF(AND(ISNUMBER($Y44),NOT(ISNUMBER($K44))),$Y44&lt;MAX($Y$5:$Y43),FALSE),AND(ISNUMBER($D44),ISNUMBER(Baseline!$C$10),MAX($D44,IF(ISNUMBER($G44),$G44,0))&gt;Baseline!$C$10),AND(TRIM($B44)="Close",ISNUMBER($D44),ISNUMBER(Baseline!$C$10),$D44&lt;&gt;Baseline!$C$10),AND(ISNUMBER($G44),ISNUMBER($D44),$G44&lt;$D44)),1,0))</f>
        <v/>
      </c>
      <c r="U44" s="24">
        <f>IF(OR($R44=0,$F44&lt;&gt;"",AND($C44&lt;&gt;"Gate",$C44&lt;&gt;"Milestone",$C44&lt;&gt;"Need")),0,IF(TRIM($H44)="",1,0))</f>
        <v/>
      </c>
      <c r="V44" s="24">
        <f>IF(OR($R44=0,$F44&lt;&gt;"",$C44="Need",$C44="Event",Baseline!$C$13=""),0,IF(OR(AND(N($M44)&gt;0,SUMPRODUCT(--(Changes!$I$6:$I$55="Raised"),--(((Changes!$E$6:$E$55=$B44)+(LEFT($B44,LEN(Changes!$E$6:$E$55)+1)=Changes!$E$6:$E$55&amp;"."))&gt;0))=0),AND(ISNUMBER($K44),ISNUMBER($D44),$D44&lt;&gt;$K44,SUMPRODUCT(--(Changes!$I$6:$I$55="Approved"),--(((Changes!$E$6:$E$55=$B44)+(LEFT($B44,LEN(Changes!$E$6:$E$55)+1)=Changes!$E$6:$E$55&amp;"."))&gt;0))=0)),1,0))</f>
        <v/>
      </c>
      <c r="W44" s="24">
        <f>IF(OR($R44=0,$F44&lt;&gt;"",$C44="Need",$C44="Event",NOT(ISNUMBER(Baseline!$C$15))),0,IF(N($M44)&gt;Baseline!$C$15,1,0))</f>
        <v/>
      </c>
      <c r="X44" s="24">
        <f>IF(OR($R44=0,$F44&lt;&gt;"",$C44&lt;&gt;"Need"),0,IF(N($M44)&gt;0,1,0))</f>
        <v/>
      </c>
      <c r="Y44" s="40">
        <f>IF($R44=0,"",IF(ISNUMBER($K44),$K44,IF(ISNUMBER($D44),$D44,"")))</f>
        <v/>
      </c>
    </row>
  </sheetData>
  <sheetProtection selectLockedCells="0" selectUnlockedCells="0" sheet="1" objects="0" insertRows="1" insertHyperlinks="1" autoFilter="0" scenarios="0" formatColumns="0" deleteColumns="1" insertColumns="1" pivotTables="1" deleteRows="1" formatCells="0" formatRows="0" sort="0"/>
  <autoFilter ref="A5:P44"/>
  <conditionalFormatting sqref="P6:P44">
    <cfRule type="expression" priority="1" dxfId="0" stopIfTrue="0">
      <formula>LEFT($P6,1)="△"</formula>
    </cfRule>
  </conditionalFormatting>
  <dataValidations count="8">
    <dataValidation sqref="B6:B44" showDropDown="0" showInputMessage="0" showErrorMessage="1" allowBlank="1" errorTitle="Check this entry" error="Another row already has this name, or it's over 80 characters." type="custom" errorStyle="stop">
      <formula1>AND(LEN(B6)&lt;=80,SUMPRODUCT(--($B$6:$B$44=B6))=1)</formula1>
    </dataValidation>
    <dataValidation sqref="C6:C44" showDropDown="0" showInputMessage="0" showErrorMessage="1" allowBlank="1" errorTitle="Check this entry" error="Pick Gate, Milestone, Need or Event." type="list" errorStyle="stop">
      <formula1>"Gate,Milestone,Need,Event"</formula1>
    </dataValidation>
    <dataValidation sqref="D6:D44" showDropDown="0" showInputMessage="0" showErrorMessage="1" allowBlank="1" errorTitle="Check this entry" error="Type a date, such as 30 Jun 2027." type="date" errorStyle="stop" operator="between">
      <formula1>36526</formula1>
      <formula2>73415</formula2>
    </dataValidation>
    <dataValidation sqref="E6:E44" showDropDown="0" showInputMessage="0" showErrorMessage="1" allowBlank="1" errorTitle="Check this entry" error="Type a date, such as 30 Jun 2027." type="date" errorStyle="stop" operator="between">
      <formula1>36526</formula1>
      <formula2>73415</formula2>
    </dataValidation>
    <dataValidation sqref="F6:F44" showDropDown="0" showInputMessage="0" showErrorMessage="1" allowBlank="1" errorTitle="Check this entry" error="Type a date, such as 30 Jun 2027." type="date" errorStyle="stop" operator="between">
      <formula1>36526</formula1>
      <formula2>73415</formula2>
    </dataValidation>
    <dataValidation sqref="G6:G44" showDropDown="0" showInputMessage="0" showErrorMessage="1" allowBlank="1" errorTitle="Check this entry" error="Type a date, such as 30 Jun 2027." type="date" errorStyle="stop" operator="between">
      <formula1>36526</formula1>
      <formula2>73415</formula2>
    </dataValidation>
    <dataValidation sqref="K6:K44" showDropDown="0" showInputMessage="0" showErrorMessage="1" allowBlank="1" errorTitle="Check this entry" error="Type a date, such as 30 Jun 2027." type="date" errorStyle="stop" operator="between">
      <formula1>36526</formula1>
      <formula2>73415</formula2>
    </dataValidation>
    <dataValidation sqref="J6:J44" showDropDown="0" showInputMessage="0" showErrorMessage="1" allowBlank="1" errorTitle="Check this entry" error="Pick a milestone from column B. You can keep what you typed." type="list" errorStyle="warning">
      <formula1>$B$6:$B$44</formula1>
    </dataValidation>
  </dataValidations>
  <pageMargins left="0.3" right="0.3" top="0.5" bottom="0.5" header="0.2" footer="0.2"/>
  <pageSetup orientation="landscape" paperSize="9" scale="100"/>
  <colBreaks count="1" manualBreakCount="1">
    <brk id="8" min="0" max="16383" man="1"/>
  </colBreaks>
  <drawing xmlns:r="http://schemas.openxmlformats.org/officeDocument/2006/relationships" r:id="rId1"/>
  <legacyDrawing xmlns:r="http://schemas.openxmlformats.org/officeDocument/2006/relationships" r:id="anysvml"/>
</worksheet>
</file>

<file path=xl/worksheets/sheet6.xml><?xml version="1.0" encoding="utf-8"?>
<worksheet xmlns="http://schemas.openxmlformats.org/spreadsheetml/2006/main">
  <sheetPr>
    <outlinePr summaryBelow="1" summaryRight="1"/>
    <pageSetUpPr fitToPage="0"/>
  </sheetPr>
  <dimension ref="A1:R55"/>
  <sheetViews>
    <sheetView showGridLines="0" tabSelected="0" workbookViewId="0">
      <pane xSplit="2" ySplit="5" topLeftCell="C6" activePane="bottomRight" state="frozen"/>
      <selection pane="topRight"/>
      <selection pane="bottomLeft"/>
      <selection pane="bottomRight" activeCell="A1" sqref="A1"/>
    </sheetView>
  </sheetViews>
  <sheetFormatPr baseColWidth="8" defaultRowHeight="15"/>
  <cols>
    <col width="17" customWidth="1" min="1" max="1"/>
    <col width="14" customWidth="1" min="2" max="2"/>
    <col width="14" customWidth="1" min="3" max="3"/>
    <col width="40" customWidth="1" min="4" max="4"/>
    <col width="14" customWidth="1" min="5" max="5"/>
    <col width="8" customWidth="1" min="6" max="6"/>
    <col width="9" customWidth="1" min="7" max="7"/>
    <col width="6" customWidth="1" min="8" max="8"/>
    <col width="10" customWidth="1" min="9" max="9"/>
    <col width="18" customWidth="1" min="10" max="10"/>
    <col width="14" customWidth="1" min="11" max="11"/>
    <col width="10" customWidth="1" min="12" max="12"/>
    <col width="25" customWidth="1" min="13" max="13"/>
    <col width="24" customWidth="1" min="14" max="14"/>
    <col width="2" customWidth="1" min="15" max="15"/>
    <col width="2" customWidth="1" min="16" max="16"/>
    <col hidden="1" outlineLevel="1" width="14" customWidth="1" min="17" max="18"/>
    <col width="14" customWidth="1" min="18" max="18"/>
  </cols>
  <sheetData>
    <row r="1" ht="36" customHeight="1">
      <c r="B1" s="1" t="inlineStr">
        <is>
          <t>Changes</t>
        </is>
      </c>
    </row>
    <row r="2" ht="18" customHeight="1">
      <c r="A2" s="2">
        <f>IF(TRIM(Baseline!$C$5)="","","Project: "&amp;Baseline!$C$5&amp;IF(TRIM(Baseline!$C$6)="",".",". Sits under: "&amp;Baseline!$C$6&amp;"."))</f>
        <v/>
      </c>
    </row>
    <row r="3" ht="6" customHeight="1"/>
    <row r="4" ht="18" customHeight="1">
      <c r="A4" s="9" t="inlineStr">
        <is>
          <t>CHANGE LOG</t>
        </is>
      </c>
      <c r="B4" s="9" t="n"/>
      <c r="C4" s="9" t="n"/>
      <c r="D4" s="9" t="n"/>
      <c r="E4" s="9" t="n"/>
      <c r="F4" s="9" t="n"/>
      <c r="G4" s="9" t="n"/>
      <c r="H4" s="9" t="n"/>
      <c r="I4" s="9" t="n"/>
      <c r="J4" s="9" t="n"/>
      <c r="K4" s="9" t="n"/>
      <c r="L4" s="9" t="n"/>
      <c r="M4" s="9" t="n"/>
      <c r="N4" s="9" t="n"/>
    </row>
    <row r="5" ht="44" customHeight="1">
      <c r="A5" s="19" t="inlineStr">
        <is>
          <t>No.</t>
        </is>
      </c>
      <c r="B5" s="19" t="inlineStr">
        <is>
          <t>Raised on</t>
        </is>
      </c>
      <c r="C5" s="19" t="inlineStr">
        <is>
          <t>Decided on</t>
        </is>
      </c>
      <c r="D5" s="19" t="inlineStr">
        <is>
          <t>Change</t>
        </is>
      </c>
      <c r="E5" s="19" t="inlineStr">
        <is>
          <t>Item or milestone</t>
        </is>
      </c>
      <c r="F5" s="19" t="inlineStr">
        <is>
          <t>Scope</t>
        </is>
      </c>
      <c r="G5" s="19" t="inlineStr">
        <is>
          <t>Cost</t>
        </is>
      </c>
      <c r="H5" s="19" t="inlineStr">
        <is>
          <t>Date</t>
        </is>
      </c>
      <c r="I5" s="19" t="inlineStr">
        <is>
          <t>Status</t>
        </is>
      </c>
      <c r="J5" s="19" t="inlineStr">
        <is>
          <t>Decided by</t>
        </is>
      </c>
      <c r="K5" s="19" t="inlineStr">
        <is>
          <t>Sponsor agreed</t>
        </is>
      </c>
      <c r="L5" s="19" t="inlineStr">
        <is>
          <t>Applied</t>
        </is>
      </c>
      <c r="M5" s="19" t="inlineStr">
        <is>
          <t>Why</t>
        </is>
      </c>
      <c r="N5" s="21" t="inlineStr">
        <is>
          <t>Row check</t>
        </is>
      </c>
      <c r="Q5" s="21" t="inlineStr">
        <is>
          <t>Fails: past the Owner's limit with no sponsor (1 or 0)</t>
        </is>
      </c>
      <c r="R5" s="21" t="inlineStr">
        <is>
          <t>Fails: a change that isn't finished (1 or 0)</t>
        </is>
      </c>
    </row>
    <row r="6">
      <c r="A6" s="25" t="n"/>
      <c r="B6" s="38" t="n"/>
      <c r="C6" s="38" t="n"/>
      <c r="D6" s="23" t="n"/>
      <c r="E6" s="41" t="n"/>
      <c r="F6" s="35" t="n"/>
      <c r="G6" s="26" t="n"/>
      <c r="H6" s="42" t="n"/>
      <c r="I6" s="35" t="n"/>
      <c r="J6" s="23" t="n"/>
      <c r="K6" s="23" t="n"/>
      <c r="L6" s="35" t="n"/>
      <c r="M6" s="23" t="n"/>
      <c r="N6" s="28">
        <f>IF(COUNTA($A6:$M6)=0,"",IF(AND(TRIM($A6)&lt;&gt;"",SUMPRODUCT(--($A$6:$A$55=$A6))&gt;1),"△ Number used twice",IF(TRIM($A6)="","△ No number",IF(OR(TRIM($F6)="",NOT(ISNUMBER($G6)),NOT(ISNUMBER($H6))),"△ Say what it does to scope, cost and date (0 is an answer)",IF(ISERROR(MATCH($I6,{"Raised","Approved","Rejected","Returned","Withdrawn"},0)),"△ No status",IF(AND($I6="Approved",LEFT(TRIM($A6),3)&lt;&gt;"CH-"),"△ An approved change is numbered CH",IF(AND($I6&lt;&gt;"Approved",LEFT(TRIM($A6),3)="CH-"),"△ A request is numbered CR until it is approved",IF(AND($I6&lt;&gt;"Raised",OR(NOT(ISNUMBER($C6)),TRIM($J6)="")),"△ Decided with no date or no decider",IF(AND($I6="Raised",$C6&lt;&gt;""),"△ Raised, but it has a decision date",IF(AND($I6="Approved",TRIM($L6)=""),"△ Approved, not applied to the Baselined cells",IF(AND($I6="Raised",Baseline!$K$5-IF(ISNUMBER($B6),$B6,Baseline!$K$5)&gt;14),"△ Raised for more than 14 days",IF($Q6=1,"△ Past the Owner's limit and no sponsor agreed","○ Clear"))))))))))))</f>
        <v/>
      </c>
      <c r="Q6" s="24">
        <f>IF(OR(COUNTA($A6:$M6)=0,$I6&lt;&gt;"Approved"),0,IF(AND(OR(AND(ISNUMBER(Baseline!$C$16),N($G6)&gt;0,SUMPRODUCT(--($I$6:$I6="Approved"),$G$6:$G6)&gt;Baseline!$C$16),AND(ISNUMBER(Baseline!$C$15),N($H6)&gt;0,SUMPRODUCT(--($I$6:$I6="Approved"),--($E$6:$E6=$E6),$H$6:$H6)&gt;Baseline!$C$15)),OR(TRIM(Baseline!$C$8)="",TRIM(Baseline!$C$8)="Not yet named",TRIM($K6)&lt;&gt;TRIM(Baseline!$C$8))),1,0))</f>
        <v/>
      </c>
      <c r="R6" s="24">
        <f>IF(AND(LEFT($N6,1)="△",LEFT($N6,LEN("△ Past"))&lt;&gt;"△ Past"),1,0)</f>
        <v/>
      </c>
    </row>
    <row r="7">
      <c r="A7" s="25" t="n"/>
      <c r="B7" s="38" t="n"/>
      <c r="C7" s="38" t="n"/>
      <c r="D7" s="23" t="n"/>
      <c r="E7" s="41" t="n"/>
      <c r="F7" s="35" t="n"/>
      <c r="G7" s="26" t="n"/>
      <c r="H7" s="42" t="n"/>
      <c r="I7" s="35" t="n"/>
      <c r="J7" s="23" t="n"/>
      <c r="K7" s="23" t="n"/>
      <c r="L7" s="35" t="n"/>
      <c r="M7" s="23" t="n"/>
      <c r="N7" s="28">
        <f>IF(COUNTA($A7:$M7)=0,"",IF(AND(TRIM($A7)&lt;&gt;"",SUMPRODUCT(--($A$6:$A$55=$A7))&gt;1),"△ Number used twice",IF(TRIM($A7)="","△ No number",IF(OR(TRIM($F7)="",NOT(ISNUMBER($G7)),NOT(ISNUMBER($H7))),"△ Say what it does to scope, cost and date (0 is an answer)",IF(ISERROR(MATCH($I7,{"Raised","Approved","Rejected","Returned","Withdrawn"},0)),"△ No status",IF(AND($I7="Approved",LEFT(TRIM($A7),3)&lt;&gt;"CH-"),"△ An approved change is numbered CH",IF(AND($I7&lt;&gt;"Approved",LEFT(TRIM($A7),3)="CH-"),"△ A request is numbered CR until it is approved",IF(AND($I7&lt;&gt;"Raised",OR(NOT(ISNUMBER($C7)),TRIM($J7)="")),"△ Decided with no date or no decider",IF(AND($I7="Raised",$C7&lt;&gt;""),"△ Raised, but it has a decision date",IF(AND($I7="Approved",TRIM($L7)=""),"△ Approved, not applied to the Baselined cells",IF(AND($I7="Raised",Baseline!$K$5-IF(ISNUMBER($B7),$B7,Baseline!$K$5)&gt;14),"△ Raised for more than 14 days",IF($Q7=1,"△ Past the Owner's limit and no sponsor agreed","○ Clear"))))))))))))</f>
        <v/>
      </c>
      <c r="Q7" s="24">
        <f>IF(OR(COUNTA($A7:$M7)=0,$I7&lt;&gt;"Approved"),0,IF(AND(OR(AND(ISNUMBER(Baseline!$C$16),N($G7)&gt;0,SUMPRODUCT(--($I$6:$I7="Approved"),$G$6:$G7)&gt;Baseline!$C$16),AND(ISNUMBER(Baseline!$C$15),N($H7)&gt;0,SUMPRODUCT(--($I$6:$I7="Approved"),--($E$6:$E7=$E7),$H$6:$H7)&gt;Baseline!$C$15)),OR(TRIM(Baseline!$C$8)="",TRIM(Baseline!$C$8)="Not yet named",TRIM($K7)&lt;&gt;TRIM(Baseline!$C$8))),1,0))</f>
        <v/>
      </c>
      <c r="R7" s="24">
        <f>IF(AND(LEFT($N7,1)="△",LEFT($N7,LEN("△ Past"))&lt;&gt;"△ Past"),1,0)</f>
        <v/>
      </c>
    </row>
    <row r="8">
      <c r="A8" s="25" t="n"/>
      <c r="B8" s="38" t="n"/>
      <c r="C8" s="38" t="n"/>
      <c r="D8" s="23" t="n"/>
      <c r="E8" s="41" t="n"/>
      <c r="F8" s="35" t="n"/>
      <c r="G8" s="26" t="n"/>
      <c r="H8" s="42" t="n"/>
      <c r="I8" s="35" t="n"/>
      <c r="J8" s="23" t="n"/>
      <c r="K8" s="23" t="n"/>
      <c r="L8" s="35" t="n"/>
      <c r="M8" s="23" t="n"/>
      <c r="N8" s="28">
        <f>IF(COUNTA($A8:$M8)=0,"",IF(AND(TRIM($A8)&lt;&gt;"",SUMPRODUCT(--($A$6:$A$55=$A8))&gt;1),"△ Number used twice",IF(TRIM($A8)="","△ No number",IF(OR(TRIM($F8)="",NOT(ISNUMBER($G8)),NOT(ISNUMBER($H8))),"△ Say what it does to scope, cost and date (0 is an answer)",IF(ISERROR(MATCH($I8,{"Raised","Approved","Rejected","Returned","Withdrawn"},0)),"△ No status",IF(AND($I8="Approved",LEFT(TRIM($A8),3)&lt;&gt;"CH-"),"△ An approved change is numbered CH",IF(AND($I8&lt;&gt;"Approved",LEFT(TRIM($A8),3)="CH-"),"△ A request is numbered CR until it is approved",IF(AND($I8&lt;&gt;"Raised",OR(NOT(ISNUMBER($C8)),TRIM($J8)="")),"△ Decided with no date or no decider",IF(AND($I8="Raised",$C8&lt;&gt;""),"△ Raised, but it has a decision date",IF(AND($I8="Approved",TRIM($L8)=""),"△ Approved, not applied to the Baselined cells",IF(AND($I8="Raised",Baseline!$K$5-IF(ISNUMBER($B8),$B8,Baseline!$K$5)&gt;14),"△ Raised for more than 14 days",IF($Q8=1,"△ Past the Owner's limit and no sponsor agreed","○ Clear"))))))))))))</f>
        <v/>
      </c>
      <c r="Q8" s="24">
        <f>IF(OR(COUNTA($A8:$M8)=0,$I8&lt;&gt;"Approved"),0,IF(AND(OR(AND(ISNUMBER(Baseline!$C$16),N($G8)&gt;0,SUMPRODUCT(--($I$6:$I8="Approved"),$G$6:$G8)&gt;Baseline!$C$16),AND(ISNUMBER(Baseline!$C$15),N($H8)&gt;0,SUMPRODUCT(--($I$6:$I8="Approved"),--($E$6:$E8=$E8),$H$6:$H8)&gt;Baseline!$C$15)),OR(TRIM(Baseline!$C$8)="",TRIM(Baseline!$C$8)="Not yet named",TRIM($K8)&lt;&gt;TRIM(Baseline!$C$8))),1,0))</f>
        <v/>
      </c>
      <c r="R8" s="24">
        <f>IF(AND(LEFT($N8,1)="△",LEFT($N8,LEN("△ Past"))&lt;&gt;"△ Past"),1,0)</f>
        <v/>
      </c>
    </row>
    <row r="9">
      <c r="A9" s="25" t="n"/>
      <c r="B9" s="38" t="n"/>
      <c r="C9" s="38" t="n"/>
      <c r="D9" s="23" t="n"/>
      <c r="E9" s="41" t="n"/>
      <c r="F9" s="35" t="n"/>
      <c r="G9" s="26" t="n"/>
      <c r="H9" s="42" t="n"/>
      <c r="I9" s="35" t="n"/>
      <c r="J9" s="23" t="n"/>
      <c r="K9" s="23" t="n"/>
      <c r="L9" s="35" t="n"/>
      <c r="M9" s="23" t="n"/>
      <c r="N9" s="28">
        <f>IF(COUNTA($A9:$M9)=0,"",IF(AND(TRIM($A9)&lt;&gt;"",SUMPRODUCT(--($A$6:$A$55=$A9))&gt;1),"△ Number used twice",IF(TRIM($A9)="","△ No number",IF(OR(TRIM($F9)="",NOT(ISNUMBER($G9)),NOT(ISNUMBER($H9))),"△ Say what it does to scope, cost and date (0 is an answer)",IF(ISERROR(MATCH($I9,{"Raised","Approved","Rejected","Returned","Withdrawn"},0)),"△ No status",IF(AND($I9="Approved",LEFT(TRIM($A9),3)&lt;&gt;"CH-"),"△ An approved change is numbered CH",IF(AND($I9&lt;&gt;"Approved",LEFT(TRIM($A9),3)="CH-"),"△ A request is numbered CR until it is approved",IF(AND($I9&lt;&gt;"Raised",OR(NOT(ISNUMBER($C9)),TRIM($J9)="")),"△ Decided with no date or no decider",IF(AND($I9="Raised",$C9&lt;&gt;""),"△ Raised, but it has a decision date",IF(AND($I9="Approved",TRIM($L9)=""),"△ Approved, not applied to the Baselined cells",IF(AND($I9="Raised",Baseline!$K$5-IF(ISNUMBER($B9),$B9,Baseline!$K$5)&gt;14),"△ Raised for more than 14 days",IF($Q9=1,"△ Past the Owner's limit and no sponsor agreed","○ Clear"))))))))))))</f>
        <v/>
      </c>
      <c r="Q9" s="24">
        <f>IF(OR(COUNTA($A9:$M9)=0,$I9&lt;&gt;"Approved"),0,IF(AND(OR(AND(ISNUMBER(Baseline!$C$16),N($G9)&gt;0,SUMPRODUCT(--($I$6:$I9="Approved"),$G$6:$G9)&gt;Baseline!$C$16),AND(ISNUMBER(Baseline!$C$15),N($H9)&gt;0,SUMPRODUCT(--($I$6:$I9="Approved"),--($E$6:$E9=$E9),$H$6:$H9)&gt;Baseline!$C$15)),OR(TRIM(Baseline!$C$8)="",TRIM(Baseline!$C$8)="Not yet named",TRIM($K9)&lt;&gt;TRIM(Baseline!$C$8))),1,0))</f>
        <v/>
      </c>
      <c r="R9" s="24">
        <f>IF(AND(LEFT($N9,1)="△",LEFT($N9,LEN("△ Past"))&lt;&gt;"△ Past"),1,0)</f>
        <v/>
      </c>
    </row>
    <row r="10">
      <c r="A10" s="25" t="n"/>
      <c r="B10" s="38" t="n"/>
      <c r="C10" s="38" t="n"/>
      <c r="D10" s="23" t="n"/>
      <c r="E10" s="41" t="n"/>
      <c r="F10" s="35" t="n"/>
      <c r="G10" s="26" t="n"/>
      <c r="H10" s="42" t="n"/>
      <c r="I10" s="35" t="n"/>
      <c r="J10" s="23" t="n"/>
      <c r="K10" s="23" t="n"/>
      <c r="L10" s="35" t="n"/>
      <c r="M10" s="23" t="n"/>
      <c r="N10" s="28">
        <f>IF(COUNTA($A10:$M10)=0,"",IF(AND(TRIM($A10)&lt;&gt;"",SUMPRODUCT(--($A$6:$A$55=$A10))&gt;1),"△ Number used twice",IF(TRIM($A10)="","△ No number",IF(OR(TRIM($F10)="",NOT(ISNUMBER($G10)),NOT(ISNUMBER($H10))),"△ Say what it does to scope, cost and date (0 is an answer)",IF(ISERROR(MATCH($I10,{"Raised","Approved","Rejected","Returned","Withdrawn"},0)),"△ No status",IF(AND($I10="Approved",LEFT(TRIM($A10),3)&lt;&gt;"CH-"),"△ An approved change is numbered CH",IF(AND($I10&lt;&gt;"Approved",LEFT(TRIM($A10),3)="CH-"),"△ A request is numbered CR until it is approved",IF(AND($I10&lt;&gt;"Raised",OR(NOT(ISNUMBER($C10)),TRIM($J10)="")),"△ Decided with no date or no decider",IF(AND($I10="Raised",$C10&lt;&gt;""),"△ Raised, but it has a decision date",IF(AND($I10="Approved",TRIM($L10)=""),"△ Approved, not applied to the Baselined cells",IF(AND($I10="Raised",Baseline!$K$5-IF(ISNUMBER($B10),$B10,Baseline!$K$5)&gt;14),"△ Raised for more than 14 days",IF($Q10=1,"△ Past the Owner's limit and no sponsor agreed","○ Clear"))))))))))))</f>
        <v/>
      </c>
      <c r="Q10" s="24">
        <f>IF(OR(COUNTA($A10:$M10)=0,$I10&lt;&gt;"Approved"),0,IF(AND(OR(AND(ISNUMBER(Baseline!$C$16),N($G10)&gt;0,SUMPRODUCT(--($I$6:$I10="Approved"),$G$6:$G10)&gt;Baseline!$C$16),AND(ISNUMBER(Baseline!$C$15),N($H10)&gt;0,SUMPRODUCT(--($I$6:$I10="Approved"),--($E$6:$E10=$E10),$H$6:$H10)&gt;Baseline!$C$15)),OR(TRIM(Baseline!$C$8)="",TRIM(Baseline!$C$8)="Not yet named",TRIM($K10)&lt;&gt;TRIM(Baseline!$C$8))),1,0))</f>
        <v/>
      </c>
      <c r="R10" s="24">
        <f>IF(AND(LEFT($N10,1)="△",LEFT($N10,LEN("△ Past"))&lt;&gt;"△ Past"),1,0)</f>
        <v/>
      </c>
    </row>
    <row r="11">
      <c r="A11" s="25" t="n"/>
      <c r="B11" s="38" t="n"/>
      <c r="C11" s="38" t="n"/>
      <c r="D11" s="23" t="n"/>
      <c r="E11" s="41" t="n"/>
      <c r="F11" s="35" t="n"/>
      <c r="G11" s="26" t="n"/>
      <c r="H11" s="42" t="n"/>
      <c r="I11" s="35" t="n"/>
      <c r="J11" s="23" t="n"/>
      <c r="K11" s="23" t="n"/>
      <c r="L11" s="35" t="n"/>
      <c r="M11" s="23" t="n"/>
      <c r="N11" s="28">
        <f>IF(COUNTA($A11:$M11)=0,"",IF(AND(TRIM($A11)&lt;&gt;"",SUMPRODUCT(--($A$6:$A$55=$A11))&gt;1),"△ Number used twice",IF(TRIM($A11)="","△ No number",IF(OR(TRIM($F11)="",NOT(ISNUMBER($G11)),NOT(ISNUMBER($H11))),"△ Say what it does to scope, cost and date (0 is an answer)",IF(ISERROR(MATCH($I11,{"Raised","Approved","Rejected","Returned","Withdrawn"},0)),"△ No status",IF(AND($I11="Approved",LEFT(TRIM($A11),3)&lt;&gt;"CH-"),"△ An approved change is numbered CH",IF(AND($I11&lt;&gt;"Approved",LEFT(TRIM($A11),3)="CH-"),"△ A request is numbered CR until it is approved",IF(AND($I11&lt;&gt;"Raised",OR(NOT(ISNUMBER($C11)),TRIM($J11)="")),"△ Decided with no date or no decider",IF(AND($I11="Raised",$C11&lt;&gt;""),"△ Raised, but it has a decision date",IF(AND($I11="Approved",TRIM($L11)=""),"△ Approved, not applied to the Baselined cells",IF(AND($I11="Raised",Baseline!$K$5-IF(ISNUMBER($B11),$B11,Baseline!$K$5)&gt;14),"△ Raised for more than 14 days",IF($Q11=1,"△ Past the Owner's limit and no sponsor agreed","○ Clear"))))))))))))</f>
        <v/>
      </c>
      <c r="Q11" s="24">
        <f>IF(OR(COUNTA($A11:$M11)=0,$I11&lt;&gt;"Approved"),0,IF(AND(OR(AND(ISNUMBER(Baseline!$C$16),N($G11)&gt;0,SUMPRODUCT(--($I$6:$I11="Approved"),$G$6:$G11)&gt;Baseline!$C$16),AND(ISNUMBER(Baseline!$C$15),N($H11)&gt;0,SUMPRODUCT(--($I$6:$I11="Approved"),--($E$6:$E11=$E11),$H$6:$H11)&gt;Baseline!$C$15)),OR(TRIM(Baseline!$C$8)="",TRIM(Baseline!$C$8)="Not yet named",TRIM($K11)&lt;&gt;TRIM(Baseline!$C$8))),1,0))</f>
        <v/>
      </c>
      <c r="R11" s="24">
        <f>IF(AND(LEFT($N11,1)="△",LEFT($N11,LEN("△ Past"))&lt;&gt;"△ Past"),1,0)</f>
        <v/>
      </c>
    </row>
    <row r="12">
      <c r="A12" s="25" t="n"/>
      <c r="B12" s="38" t="n"/>
      <c r="C12" s="38" t="n"/>
      <c r="D12" s="23" t="n"/>
      <c r="E12" s="41" t="n"/>
      <c r="F12" s="35" t="n"/>
      <c r="G12" s="26" t="n"/>
      <c r="H12" s="42" t="n"/>
      <c r="I12" s="35" t="n"/>
      <c r="J12" s="23" t="n"/>
      <c r="K12" s="23" t="n"/>
      <c r="L12" s="35" t="n"/>
      <c r="M12" s="23" t="n"/>
      <c r="N12" s="28">
        <f>IF(COUNTA($A12:$M12)=0,"",IF(AND(TRIM($A12)&lt;&gt;"",SUMPRODUCT(--($A$6:$A$55=$A12))&gt;1),"△ Number used twice",IF(TRIM($A12)="","△ No number",IF(OR(TRIM($F12)="",NOT(ISNUMBER($G12)),NOT(ISNUMBER($H12))),"△ Say what it does to scope, cost and date (0 is an answer)",IF(ISERROR(MATCH($I12,{"Raised","Approved","Rejected","Returned","Withdrawn"},0)),"△ No status",IF(AND($I12="Approved",LEFT(TRIM($A12),3)&lt;&gt;"CH-"),"△ An approved change is numbered CH",IF(AND($I12&lt;&gt;"Approved",LEFT(TRIM($A12),3)="CH-"),"△ A request is numbered CR until it is approved",IF(AND($I12&lt;&gt;"Raised",OR(NOT(ISNUMBER($C12)),TRIM($J12)="")),"△ Decided with no date or no decider",IF(AND($I12="Raised",$C12&lt;&gt;""),"△ Raised, but it has a decision date",IF(AND($I12="Approved",TRIM($L12)=""),"△ Approved, not applied to the Baselined cells",IF(AND($I12="Raised",Baseline!$K$5-IF(ISNUMBER($B12),$B12,Baseline!$K$5)&gt;14),"△ Raised for more than 14 days",IF($Q12=1,"△ Past the Owner's limit and no sponsor agreed","○ Clear"))))))))))))</f>
        <v/>
      </c>
      <c r="Q12" s="24">
        <f>IF(OR(COUNTA($A12:$M12)=0,$I12&lt;&gt;"Approved"),0,IF(AND(OR(AND(ISNUMBER(Baseline!$C$16),N($G12)&gt;0,SUMPRODUCT(--($I$6:$I12="Approved"),$G$6:$G12)&gt;Baseline!$C$16),AND(ISNUMBER(Baseline!$C$15),N($H12)&gt;0,SUMPRODUCT(--($I$6:$I12="Approved"),--($E$6:$E12=$E12),$H$6:$H12)&gt;Baseline!$C$15)),OR(TRIM(Baseline!$C$8)="",TRIM(Baseline!$C$8)="Not yet named",TRIM($K12)&lt;&gt;TRIM(Baseline!$C$8))),1,0))</f>
        <v/>
      </c>
      <c r="R12" s="24">
        <f>IF(AND(LEFT($N12,1)="△",LEFT($N12,LEN("△ Past"))&lt;&gt;"△ Past"),1,0)</f>
        <v/>
      </c>
    </row>
    <row r="13">
      <c r="A13" s="25" t="n"/>
      <c r="B13" s="38" t="n"/>
      <c r="C13" s="38" t="n"/>
      <c r="D13" s="23" t="n"/>
      <c r="E13" s="41" t="n"/>
      <c r="F13" s="35" t="n"/>
      <c r="G13" s="26" t="n"/>
      <c r="H13" s="42" t="n"/>
      <c r="I13" s="35" t="n"/>
      <c r="J13" s="23" t="n"/>
      <c r="K13" s="23" t="n"/>
      <c r="L13" s="35" t="n"/>
      <c r="M13" s="23" t="n"/>
      <c r="N13" s="28">
        <f>IF(COUNTA($A13:$M13)=0,"",IF(AND(TRIM($A13)&lt;&gt;"",SUMPRODUCT(--($A$6:$A$55=$A13))&gt;1),"△ Number used twice",IF(TRIM($A13)="","△ No number",IF(OR(TRIM($F13)="",NOT(ISNUMBER($G13)),NOT(ISNUMBER($H13))),"△ Say what it does to scope, cost and date (0 is an answer)",IF(ISERROR(MATCH($I13,{"Raised","Approved","Rejected","Returned","Withdrawn"},0)),"△ No status",IF(AND($I13="Approved",LEFT(TRIM($A13),3)&lt;&gt;"CH-"),"△ An approved change is numbered CH",IF(AND($I13&lt;&gt;"Approved",LEFT(TRIM($A13),3)="CH-"),"△ A request is numbered CR until it is approved",IF(AND($I13&lt;&gt;"Raised",OR(NOT(ISNUMBER($C13)),TRIM($J13)="")),"△ Decided with no date or no decider",IF(AND($I13="Raised",$C13&lt;&gt;""),"△ Raised, but it has a decision date",IF(AND($I13="Approved",TRIM($L13)=""),"△ Approved, not applied to the Baselined cells",IF(AND($I13="Raised",Baseline!$K$5-IF(ISNUMBER($B13),$B13,Baseline!$K$5)&gt;14),"△ Raised for more than 14 days",IF($Q13=1,"△ Past the Owner's limit and no sponsor agreed","○ Clear"))))))))))))</f>
        <v/>
      </c>
      <c r="Q13" s="24">
        <f>IF(OR(COUNTA($A13:$M13)=0,$I13&lt;&gt;"Approved"),0,IF(AND(OR(AND(ISNUMBER(Baseline!$C$16),N($G13)&gt;0,SUMPRODUCT(--($I$6:$I13="Approved"),$G$6:$G13)&gt;Baseline!$C$16),AND(ISNUMBER(Baseline!$C$15),N($H13)&gt;0,SUMPRODUCT(--($I$6:$I13="Approved"),--($E$6:$E13=$E13),$H$6:$H13)&gt;Baseline!$C$15)),OR(TRIM(Baseline!$C$8)="",TRIM(Baseline!$C$8)="Not yet named",TRIM($K13)&lt;&gt;TRIM(Baseline!$C$8))),1,0))</f>
        <v/>
      </c>
      <c r="R13" s="24">
        <f>IF(AND(LEFT($N13,1)="△",LEFT($N13,LEN("△ Past"))&lt;&gt;"△ Past"),1,0)</f>
        <v/>
      </c>
    </row>
    <row r="14">
      <c r="A14" s="25" t="n"/>
      <c r="B14" s="38" t="n"/>
      <c r="C14" s="38" t="n"/>
      <c r="D14" s="23" t="n"/>
      <c r="E14" s="41" t="n"/>
      <c r="F14" s="35" t="n"/>
      <c r="G14" s="26" t="n"/>
      <c r="H14" s="42" t="n"/>
      <c r="I14" s="35" t="n"/>
      <c r="J14" s="23" t="n"/>
      <c r="K14" s="23" t="n"/>
      <c r="L14" s="35" t="n"/>
      <c r="M14" s="23" t="n"/>
      <c r="N14" s="28">
        <f>IF(COUNTA($A14:$M14)=0,"",IF(AND(TRIM($A14)&lt;&gt;"",SUMPRODUCT(--($A$6:$A$55=$A14))&gt;1),"△ Number used twice",IF(TRIM($A14)="","△ No number",IF(OR(TRIM($F14)="",NOT(ISNUMBER($G14)),NOT(ISNUMBER($H14))),"△ Say what it does to scope, cost and date (0 is an answer)",IF(ISERROR(MATCH($I14,{"Raised","Approved","Rejected","Returned","Withdrawn"},0)),"△ No status",IF(AND($I14="Approved",LEFT(TRIM($A14),3)&lt;&gt;"CH-"),"△ An approved change is numbered CH",IF(AND($I14&lt;&gt;"Approved",LEFT(TRIM($A14),3)="CH-"),"△ A request is numbered CR until it is approved",IF(AND($I14&lt;&gt;"Raised",OR(NOT(ISNUMBER($C14)),TRIM($J14)="")),"△ Decided with no date or no decider",IF(AND($I14="Raised",$C14&lt;&gt;""),"△ Raised, but it has a decision date",IF(AND($I14="Approved",TRIM($L14)=""),"△ Approved, not applied to the Baselined cells",IF(AND($I14="Raised",Baseline!$K$5-IF(ISNUMBER($B14),$B14,Baseline!$K$5)&gt;14),"△ Raised for more than 14 days",IF($Q14=1,"△ Past the Owner's limit and no sponsor agreed","○ Clear"))))))))))))</f>
        <v/>
      </c>
      <c r="Q14" s="24">
        <f>IF(OR(COUNTA($A14:$M14)=0,$I14&lt;&gt;"Approved"),0,IF(AND(OR(AND(ISNUMBER(Baseline!$C$16),N($G14)&gt;0,SUMPRODUCT(--($I$6:$I14="Approved"),$G$6:$G14)&gt;Baseline!$C$16),AND(ISNUMBER(Baseline!$C$15),N($H14)&gt;0,SUMPRODUCT(--($I$6:$I14="Approved"),--($E$6:$E14=$E14),$H$6:$H14)&gt;Baseline!$C$15)),OR(TRIM(Baseline!$C$8)="",TRIM(Baseline!$C$8)="Not yet named",TRIM($K14)&lt;&gt;TRIM(Baseline!$C$8))),1,0))</f>
        <v/>
      </c>
      <c r="R14" s="24">
        <f>IF(AND(LEFT($N14,1)="△",LEFT($N14,LEN("△ Past"))&lt;&gt;"△ Past"),1,0)</f>
        <v/>
      </c>
    </row>
    <row r="15">
      <c r="A15" s="25" t="n"/>
      <c r="B15" s="38" t="n"/>
      <c r="C15" s="38" t="n"/>
      <c r="D15" s="23" t="n"/>
      <c r="E15" s="41" t="n"/>
      <c r="F15" s="35" t="n"/>
      <c r="G15" s="26" t="n"/>
      <c r="H15" s="42" t="n"/>
      <c r="I15" s="35" t="n"/>
      <c r="J15" s="23" t="n"/>
      <c r="K15" s="23" t="n"/>
      <c r="L15" s="35" t="n"/>
      <c r="M15" s="23" t="n"/>
      <c r="N15" s="28">
        <f>IF(COUNTA($A15:$M15)=0,"",IF(AND(TRIM($A15)&lt;&gt;"",SUMPRODUCT(--($A$6:$A$55=$A15))&gt;1),"△ Number used twice",IF(TRIM($A15)="","△ No number",IF(OR(TRIM($F15)="",NOT(ISNUMBER($G15)),NOT(ISNUMBER($H15))),"△ Say what it does to scope, cost and date (0 is an answer)",IF(ISERROR(MATCH($I15,{"Raised","Approved","Rejected","Returned","Withdrawn"},0)),"△ No status",IF(AND($I15="Approved",LEFT(TRIM($A15),3)&lt;&gt;"CH-"),"△ An approved change is numbered CH",IF(AND($I15&lt;&gt;"Approved",LEFT(TRIM($A15),3)="CH-"),"△ A request is numbered CR until it is approved",IF(AND($I15&lt;&gt;"Raised",OR(NOT(ISNUMBER($C15)),TRIM($J15)="")),"△ Decided with no date or no decider",IF(AND($I15="Raised",$C15&lt;&gt;""),"△ Raised, but it has a decision date",IF(AND($I15="Approved",TRIM($L15)=""),"△ Approved, not applied to the Baselined cells",IF(AND($I15="Raised",Baseline!$K$5-IF(ISNUMBER($B15),$B15,Baseline!$K$5)&gt;14),"△ Raised for more than 14 days",IF($Q15=1,"△ Past the Owner's limit and no sponsor agreed","○ Clear"))))))))))))</f>
        <v/>
      </c>
      <c r="Q15" s="24">
        <f>IF(OR(COUNTA($A15:$M15)=0,$I15&lt;&gt;"Approved"),0,IF(AND(OR(AND(ISNUMBER(Baseline!$C$16),N($G15)&gt;0,SUMPRODUCT(--($I$6:$I15="Approved"),$G$6:$G15)&gt;Baseline!$C$16),AND(ISNUMBER(Baseline!$C$15),N($H15)&gt;0,SUMPRODUCT(--($I$6:$I15="Approved"),--($E$6:$E15=$E15),$H$6:$H15)&gt;Baseline!$C$15)),OR(TRIM(Baseline!$C$8)="",TRIM(Baseline!$C$8)="Not yet named",TRIM($K15)&lt;&gt;TRIM(Baseline!$C$8))),1,0))</f>
        <v/>
      </c>
      <c r="R15" s="24">
        <f>IF(AND(LEFT($N15,1)="△",LEFT($N15,LEN("△ Past"))&lt;&gt;"△ Past"),1,0)</f>
        <v/>
      </c>
    </row>
    <row r="16">
      <c r="A16" s="25" t="n"/>
      <c r="B16" s="38" t="n"/>
      <c r="C16" s="38" t="n"/>
      <c r="D16" s="23" t="n"/>
      <c r="E16" s="41" t="n"/>
      <c r="F16" s="35" t="n"/>
      <c r="G16" s="26" t="n"/>
      <c r="H16" s="42" t="n"/>
      <c r="I16" s="35" t="n"/>
      <c r="J16" s="23" t="n"/>
      <c r="K16" s="23" t="n"/>
      <c r="L16" s="35" t="n"/>
      <c r="M16" s="23" t="n"/>
      <c r="N16" s="28">
        <f>IF(COUNTA($A16:$M16)=0,"",IF(AND(TRIM($A16)&lt;&gt;"",SUMPRODUCT(--($A$6:$A$55=$A16))&gt;1),"△ Number used twice",IF(TRIM($A16)="","△ No number",IF(OR(TRIM($F16)="",NOT(ISNUMBER($G16)),NOT(ISNUMBER($H16))),"△ Say what it does to scope, cost and date (0 is an answer)",IF(ISERROR(MATCH($I16,{"Raised","Approved","Rejected","Returned","Withdrawn"},0)),"△ No status",IF(AND($I16="Approved",LEFT(TRIM($A16),3)&lt;&gt;"CH-"),"△ An approved change is numbered CH",IF(AND($I16&lt;&gt;"Approved",LEFT(TRIM($A16),3)="CH-"),"△ A request is numbered CR until it is approved",IF(AND($I16&lt;&gt;"Raised",OR(NOT(ISNUMBER($C16)),TRIM($J16)="")),"△ Decided with no date or no decider",IF(AND($I16="Raised",$C16&lt;&gt;""),"△ Raised, but it has a decision date",IF(AND($I16="Approved",TRIM($L16)=""),"△ Approved, not applied to the Baselined cells",IF(AND($I16="Raised",Baseline!$K$5-IF(ISNUMBER($B16),$B16,Baseline!$K$5)&gt;14),"△ Raised for more than 14 days",IF($Q16=1,"△ Past the Owner's limit and no sponsor agreed","○ Clear"))))))))))))</f>
        <v/>
      </c>
      <c r="Q16" s="24">
        <f>IF(OR(COUNTA($A16:$M16)=0,$I16&lt;&gt;"Approved"),0,IF(AND(OR(AND(ISNUMBER(Baseline!$C$16),N($G16)&gt;0,SUMPRODUCT(--($I$6:$I16="Approved"),$G$6:$G16)&gt;Baseline!$C$16),AND(ISNUMBER(Baseline!$C$15),N($H16)&gt;0,SUMPRODUCT(--($I$6:$I16="Approved"),--($E$6:$E16=$E16),$H$6:$H16)&gt;Baseline!$C$15)),OR(TRIM(Baseline!$C$8)="",TRIM(Baseline!$C$8)="Not yet named",TRIM($K16)&lt;&gt;TRIM(Baseline!$C$8))),1,0))</f>
        <v/>
      </c>
      <c r="R16" s="24">
        <f>IF(AND(LEFT($N16,1)="△",LEFT($N16,LEN("△ Past"))&lt;&gt;"△ Past"),1,0)</f>
        <v/>
      </c>
    </row>
    <row r="17">
      <c r="A17" s="25" t="n"/>
      <c r="B17" s="38" t="n"/>
      <c r="C17" s="38" t="n"/>
      <c r="D17" s="23" t="n"/>
      <c r="E17" s="41" t="n"/>
      <c r="F17" s="35" t="n"/>
      <c r="G17" s="26" t="n"/>
      <c r="H17" s="42" t="n"/>
      <c r="I17" s="35" t="n"/>
      <c r="J17" s="23" t="n"/>
      <c r="K17" s="23" t="n"/>
      <c r="L17" s="35" t="n"/>
      <c r="M17" s="23" t="n"/>
      <c r="N17" s="28">
        <f>IF(COUNTA($A17:$M17)=0,"",IF(AND(TRIM($A17)&lt;&gt;"",SUMPRODUCT(--($A$6:$A$55=$A17))&gt;1),"△ Number used twice",IF(TRIM($A17)="","△ No number",IF(OR(TRIM($F17)="",NOT(ISNUMBER($G17)),NOT(ISNUMBER($H17))),"△ Say what it does to scope, cost and date (0 is an answer)",IF(ISERROR(MATCH($I17,{"Raised","Approved","Rejected","Returned","Withdrawn"},0)),"△ No status",IF(AND($I17="Approved",LEFT(TRIM($A17),3)&lt;&gt;"CH-"),"△ An approved change is numbered CH",IF(AND($I17&lt;&gt;"Approved",LEFT(TRIM($A17),3)="CH-"),"△ A request is numbered CR until it is approved",IF(AND($I17&lt;&gt;"Raised",OR(NOT(ISNUMBER($C17)),TRIM($J17)="")),"△ Decided with no date or no decider",IF(AND($I17="Raised",$C17&lt;&gt;""),"△ Raised, but it has a decision date",IF(AND($I17="Approved",TRIM($L17)=""),"△ Approved, not applied to the Baselined cells",IF(AND($I17="Raised",Baseline!$K$5-IF(ISNUMBER($B17),$B17,Baseline!$K$5)&gt;14),"△ Raised for more than 14 days",IF($Q17=1,"△ Past the Owner's limit and no sponsor agreed","○ Clear"))))))))))))</f>
        <v/>
      </c>
      <c r="Q17" s="24">
        <f>IF(OR(COUNTA($A17:$M17)=0,$I17&lt;&gt;"Approved"),0,IF(AND(OR(AND(ISNUMBER(Baseline!$C$16),N($G17)&gt;0,SUMPRODUCT(--($I$6:$I17="Approved"),$G$6:$G17)&gt;Baseline!$C$16),AND(ISNUMBER(Baseline!$C$15),N($H17)&gt;0,SUMPRODUCT(--($I$6:$I17="Approved"),--($E$6:$E17=$E17),$H$6:$H17)&gt;Baseline!$C$15)),OR(TRIM(Baseline!$C$8)="",TRIM(Baseline!$C$8)="Not yet named",TRIM($K17)&lt;&gt;TRIM(Baseline!$C$8))),1,0))</f>
        <v/>
      </c>
      <c r="R17" s="24">
        <f>IF(AND(LEFT($N17,1)="△",LEFT($N17,LEN("△ Past"))&lt;&gt;"△ Past"),1,0)</f>
        <v/>
      </c>
    </row>
    <row r="18">
      <c r="A18" s="25" t="n"/>
      <c r="B18" s="38" t="n"/>
      <c r="C18" s="38" t="n"/>
      <c r="D18" s="23" t="n"/>
      <c r="E18" s="41" t="n"/>
      <c r="F18" s="35" t="n"/>
      <c r="G18" s="26" t="n"/>
      <c r="H18" s="42" t="n"/>
      <c r="I18" s="35" t="n"/>
      <c r="J18" s="23" t="n"/>
      <c r="K18" s="23" t="n"/>
      <c r="L18" s="35" t="n"/>
      <c r="M18" s="23" t="n"/>
      <c r="N18" s="28">
        <f>IF(COUNTA($A18:$M18)=0,"",IF(AND(TRIM($A18)&lt;&gt;"",SUMPRODUCT(--($A$6:$A$55=$A18))&gt;1),"△ Number used twice",IF(TRIM($A18)="","△ No number",IF(OR(TRIM($F18)="",NOT(ISNUMBER($G18)),NOT(ISNUMBER($H18))),"△ Say what it does to scope, cost and date (0 is an answer)",IF(ISERROR(MATCH($I18,{"Raised","Approved","Rejected","Returned","Withdrawn"},0)),"△ No status",IF(AND($I18="Approved",LEFT(TRIM($A18),3)&lt;&gt;"CH-"),"△ An approved change is numbered CH",IF(AND($I18&lt;&gt;"Approved",LEFT(TRIM($A18),3)="CH-"),"△ A request is numbered CR until it is approved",IF(AND($I18&lt;&gt;"Raised",OR(NOT(ISNUMBER($C18)),TRIM($J18)="")),"△ Decided with no date or no decider",IF(AND($I18="Raised",$C18&lt;&gt;""),"△ Raised, but it has a decision date",IF(AND($I18="Approved",TRIM($L18)=""),"△ Approved, not applied to the Baselined cells",IF(AND($I18="Raised",Baseline!$K$5-IF(ISNUMBER($B18),$B18,Baseline!$K$5)&gt;14),"△ Raised for more than 14 days",IF($Q18=1,"△ Past the Owner's limit and no sponsor agreed","○ Clear"))))))))))))</f>
        <v/>
      </c>
      <c r="Q18" s="24">
        <f>IF(OR(COUNTA($A18:$M18)=0,$I18&lt;&gt;"Approved"),0,IF(AND(OR(AND(ISNUMBER(Baseline!$C$16),N($G18)&gt;0,SUMPRODUCT(--($I$6:$I18="Approved"),$G$6:$G18)&gt;Baseline!$C$16),AND(ISNUMBER(Baseline!$C$15),N($H18)&gt;0,SUMPRODUCT(--($I$6:$I18="Approved"),--($E$6:$E18=$E18),$H$6:$H18)&gt;Baseline!$C$15)),OR(TRIM(Baseline!$C$8)="",TRIM(Baseline!$C$8)="Not yet named",TRIM($K18)&lt;&gt;TRIM(Baseline!$C$8))),1,0))</f>
        <v/>
      </c>
      <c r="R18" s="24">
        <f>IF(AND(LEFT($N18,1)="△",LEFT($N18,LEN("△ Past"))&lt;&gt;"△ Past"),1,0)</f>
        <v/>
      </c>
    </row>
    <row r="19">
      <c r="A19" s="25" t="n"/>
      <c r="B19" s="38" t="n"/>
      <c r="C19" s="38" t="n"/>
      <c r="D19" s="23" t="n"/>
      <c r="E19" s="41" t="n"/>
      <c r="F19" s="35" t="n"/>
      <c r="G19" s="26" t="n"/>
      <c r="H19" s="42" t="n"/>
      <c r="I19" s="35" t="n"/>
      <c r="J19" s="23" t="n"/>
      <c r="K19" s="23" t="n"/>
      <c r="L19" s="35" t="n"/>
      <c r="M19" s="23" t="n"/>
      <c r="N19" s="28">
        <f>IF(COUNTA($A19:$M19)=0,"",IF(AND(TRIM($A19)&lt;&gt;"",SUMPRODUCT(--($A$6:$A$55=$A19))&gt;1),"△ Number used twice",IF(TRIM($A19)="","△ No number",IF(OR(TRIM($F19)="",NOT(ISNUMBER($G19)),NOT(ISNUMBER($H19))),"△ Say what it does to scope, cost and date (0 is an answer)",IF(ISERROR(MATCH($I19,{"Raised","Approved","Rejected","Returned","Withdrawn"},0)),"△ No status",IF(AND($I19="Approved",LEFT(TRIM($A19),3)&lt;&gt;"CH-"),"△ An approved change is numbered CH",IF(AND($I19&lt;&gt;"Approved",LEFT(TRIM($A19),3)="CH-"),"△ A request is numbered CR until it is approved",IF(AND($I19&lt;&gt;"Raised",OR(NOT(ISNUMBER($C19)),TRIM($J19)="")),"△ Decided with no date or no decider",IF(AND($I19="Raised",$C19&lt;&gt;""),"△ Raised, but it has a decision date",IF(AND($I19="Approved",TRIM($L19)=""),"△ Approved, not applied to the Baselined cells",IF(AND($I19="Raised",Baseline!$K$5-IF(ISNUMBER($B19),$B19,Baseline!$K$5)&gt;14),"△ Raised for more than 14 days",IF($Q19=1,"△ Past the Owner's limit and no sponsor agreed","○ Clear"))))))))))))</f>
        <v/>
      </c>
      <c r="Q19" s="24">
        <f>IF(OR(COUNTA($A19:$M19)=0,$I19&lt;&gt;"Approved"),0,IF(AND(OR(AND(ISNUMBER(Baseline!$C$16),N($G19)&gt;0,SUMPRODUCT(--($I$6:$I19="Approved"),$G$6:$G19)&gt;Baseline!$C$16),AND(ISNUMBER(Baseline!$C$15),N($H19)&gt;0,SUMPRODUCT(--($I$6:$I19="Approved"),--($E$6:$E19=$E19),$H$6:$H19)&gt;Baseline!$C$15)),OR(TRIM(Baseline!$C$8)="",TRIM(Baseline!$C$8)="Not yet named",TRIM($K19)&lt;&gt;TRIM(Baseline!$C$8))),1,0))</f>
        <v/>
      </c>
      <c r="R19" s="24">
        <f>IF(AND(LEFT($N19,1)="△",LEFT($N19,LEN("△ Past"))&lt;&gt;"△ Past"),1,0)</f>
        <v/>
      </c>
    </row>
    <row r="20">
      <c r="A20" s="25" t="n"/>
      <c r="B20" s="38" t="n"/>
      <c r="C20" s="38" t="n"/>
      <c r="D20" s="23" t="n"/>
      <c r="E20" s="41" t="n"/>
      <c r="F20" s="35" t="n"/>
      <c r="G20" s="26" t="n"/>
      <c r="H20" s="42" t="n"/>
      <c r="I20" s="35" t="n"/>
      <c r="J20" s="23" t="n"/>
      <c r="K20" s="23" t="n"/>
      <c r="L20" s="35" t="n"/>
      <c r="M20" s="23" t="n"/>
      <c r="N20" s="28">
        <f>IF(COUNTA($A20:$M20)=0,"",IF(AND(TRIM($A20)&lt;&gt;"",SUMPRODUCT(--($A$6:$A$55=$A20))&gt;1),"△ Number used twice",IF(TRIM($A20)="","△ No number",IF(OR(TRIM($F20)="",NOT(ISNUMBER($G20)),NOT(ISNUMBER($H20))),"△ Say what it does to scope, cost and date (0 is an answer)",IF(ISERROR(MATCH($I20,{"Raised","Approved","Rejected","Returned","Withdrawn"},0)),"△ No status",IF(AND($I20="Approved",LEFT(TRIM($A20),3)&lt;&gt;"CH-"),"△ An approved change is numbered CH",IF(AND($I20&lt;&gt;"Approved",LEFT(TRIM($A20),3)="CH-"),"△ A request is numbered CR until it is approved",IF(AND($I20&lt;&gt;"Raised",OR(NOT(ISNUMBER($C20)),TRIM($J20)="")),"△ Decided with no date or no decider",IF(AND($I20="Raised",$C20&lt;&gt;""),"△ Raised, but it has a decision date",IF(AND($I20="Approved",TRIM($L20)=""),"△ Approved, not applied to the Baselined cells",IF(AND($I20="Raised",Baseline!$K$5-IF(ISNUMBER($B20),$B20,Baseline!$K$5)&gt;14),"△ Raised for more than 14 days",IF($Q20=1,"△ Past the Owner's limit and no sponsor agreed","○ Clear"))))))))))))</f>
        <v/>
      </c>
      <c r="Q20" s="24">
        <f>IF(OR(COUNTA($A20:$M20)=0,$I20&lt;&gt;"Approved"),0,IF(AND(OR(AND(ISNUMBER(Baseline!$C$16),N($G20)&gt;0,SUMPRODUCT(--($I$6:$I20="Approved"),$G$6:$G20)&gt;Baseline!$C$16),AND(ISNUMBER(Baseline!$C$15),N($H20)&gt;0,SUMPRODUCT(--($I$6:$I20="Approved"),--($E$6:$E20=$E20),$H$6:$H20)&gt;Baseline!$C$15)),OR(TRIM(Baseline!$C$8)="",TRIM(Baseline!$C$8)="Not yet named",TRIM($K20)&lt;&gt;TRIM(Baseline!$C$8))),1,0))</f>
        <v/>
      </c>
      <c r="R20" s="24">
        <f>IF(AND(LEFT($N20,1)="△",LEFT($N20,LEN("△ Past"))&lt;&gt;"△ Past"),1,0)</f>
        <v/>
      </c>
    </row>
    <row r="21">
      <c r="A21" s="25" t="n"/>
      <c r="B21" s="38" t="n"/>
      <c r="C21" s="38" t="n"/>
      <c r="D21" s="23" t="n"/>
      <c r="E21" s="41" t="n"/>
      <c r="F21" s="35" t="n"/>
      <c r="G21" s="26" t="n"/>
      <c r="H21" s="42" t="n"/>
      <c r="I21" s="35" t="n"/>
      <c r="J21" s="23" t="n"/>
      <c r="K21" s="23" t="n"/>
      <c r="L21" s="35" t="n"/>
      <c r="M21" s="23" t="n"/>
      <c r="N21" s="28">
        <f>IF(COUNTA($A21:$M21)=0,"",IF(AND(TRIM($A21)&lt;&gt;"",SUMPRODUCT(--($A$6:$A$55=$A21))&gt;1),"△ Number used twice",IF(TRIM($A21)="","△ No number",IF(OR(TRIM($F21)="",NOT(ISNUMBER($G21)),NOT(ISNUMBER($H21))),"△ Say what it does to scope, cost and date (0 is an answer)",IF(ISERROR(MATCH($I21,{"Raised","Approved","Rejected","Returned","Withdrawn"},0)),"△ No status",IF(AND($I21="Approved",LEFT(TRIM($A21),3)&lt;&gt;"CH-"),"△ An approved change is numbered CH",IF(AND($I21&lt;&gt;"Approved",LEFT(TRIM($A21),3)="CH-"),"△ A request is numbered CR until it is approved",IF(AND($I21&lt;&gt;"Raised",OR(NOT(ISNUMBER($C21)),TRIM($J21)="")),"△ Decided with no date or no decider",IF(AND($I21="Raised",$C21&lt;&gt;""),"△ Raised, but it has a decision date",IF(AND($I21="Approved",TRIM($L21)=""),"△ Approved, not applied to the Baselined cells",IF(AND($I21="Raised",Baseline!$K$5-IF(ISNUMBER($B21),$B21,Baseline!$K$5)&gt;14),"△ Raised for more than 14 days",IF($Q21=1,"△ Past the Owner's limit and no sponsor agreed","○ Clear"))))))))))))</f>
        <v/>
      </c>
      <c r="Q21" s="24">
        <f>IF(OR(COUNTA($A21:$M21)=0,$I21&lt;&gt;"Approved"),0,IF(AND(OR(AND(ISNUMBER(Baseline!$C$16),N($G21)&gt;0,SUMPRODUCT(--($I$6:$I21="Approved"),$G$6:$G21)&gt;Baseline!$C$16),AND(ISNUMBER(Baseline!$C$15),N($H21)&gt;0,SUMPRODUCT(--($I$6:$I21="Approved"),--($E$6:$E21=$E21),$H$6:$H21)&gt;Baseline!$C$15)),OR(TRIM(Baseline!$C$8)="",TRIM(Baseline!$C$8)="Not yet named",TRIM($K21)&lt;&gt;TRIM(Baseline!$C$8))),1,0))</f>
        <v/>
      </c>
      <c r="R21" s="24">
        <f>IF(AND(LEFT($N21,1)="△",LEFT($N21,LEN("△ Past"))&lt;&gt;"△ Past"),1,0)</f>
        <v/>
      </c>
    </row>
    <row r="22">
      <c r="A22" s="25" t="n"/>
      <c r="B22" s="38" t="n"/>
      <c r="C22" s="38" t="n"/>
      <c r="D22" s="23" t="n"/>
      <c r="E22" s="41" t="n"/>
      <c r="F22" s="35" t="n"/>
      <c r="G22" s="26" t="n"/>
      <c r="H22" s="42" t="n"/>
      <c r="I22" s="35" t="n"/>
      <c r="J22" s="23" t="n"/>
      <c r="K22" s="23" t="n"/>
      <c r="L22" s="35" t="n"/>
      <c r="M22" s="23" t="n"/>
      <c r="N22" s="28">
        <f>IF(COUNTA($A22:$M22)=0,"",IF(AND(TRIM($A22)&lt;&gt;"",SUMPRODUCT(--($A$6:$A$55=$A22))&gt;1),"△ Number used twice",IF(TRIM($A22)="","△ No number",IF(OR(TRIM($F22)="",NOT(ISNUMBER($G22)),NOT(ISNUMBER($H22))),"△ Say what it does to scope, cost and date (0 is an answer)",IF(ISERROR(MATCH($I22,{"Raised","Approved","Rejected","Returned","Withdrawn"},0)),"△ No status",IF(AND($I22="Approved",LEFT(TRIM($A22),3)&lt;&gt;"CH-"),"△ An approved change is numbered CH",IF(AND($I22&lt;&gt;"Approved",LEFT(TRIM($A22),3)="CH-"),"△ A request is numbered CR until it is approved",IF(AND($I22&lt;&gt;"Raised",OR(NOT(ISNUMBER($C22)),TRIM($J22)="")),"△ Decided with no date or no decider",IF(AND($I22="Raised",$C22&lt;&gt;""),"△ Raised, but it has a decision date",IF(AND($I22="Approved",TRIM($L22)=""),"△ Approved, not applied to the Baselined cells",IF(AND($I22="Raised",Baseline!$K$5-IF(ISNUMBER($B22),$B22,Baseline!$K$5)&gt;14),"△ Raised for more than 14 days",IF($Q22=1,"△ Past the Owner's limit and no sponsor agreed","○ Clear"))))))))))))</f>
        <v/>
      </c>
      <c r="Q22" s="24">
        <f>IF(OR(COUNTA($A22:$M22)=0,$I22&lt;&gt;"Approved"),0,IF(AND(OR(AND(ISNUMBER(Baseline!$C$16),N($G22)&gt;0,SUMPRODUCT(--($I$6:$I22="Approved"),$G$6:$G22)&gt;Baseline!$C$16),AND(ISNUMBER(Baseline!$C$15),N($H22)&gt;0,SUMPRODUCT(--($I$6:$I22="Approved"),--($E$6:$E22=$E22),$H$6:$H22)&gt;Baseline!$C$15)),OR(TRIM(Baseline!$C$8)="",TRIM(Baseline!$C$8)="Not yet named",TRIM($K22)&lt;&gt;TRIM(Baseline!$C$8))),1,0))</f>
        <v/>
      </c>
      <c r="R22" s="24">
        <f>IF(AND(LEFT($N22,1)="△",LEFT($N22,LEN("△ Past"))&lt;&gt;"△ Past"),1,0)</f>
        <v/>
      </c>
    </row>
    <row r="23">
      <c r="A23" s="25" t="n"/>
      <c r="B23" s="38" t="n"/>
      <c r="C23" s="38" t="n"/>
      <c r="D23" s="23" t="n"/>
      <c r="E23" s="41" t="n"/>
      <c r="F23" s="35" t="n"/>
      <c r="G23" s="26" t="n"/>
      <c r="H23" s="42" t="n"/>
      <c r="I23" s="35" t="n"/>
      <c r="J23" s="23" t="n"/>
      <c r="K23" s="23" t="n"/>
      <c r="L23" s="35" t="n"/>
      <c r="M23" s="23" t="n"/>
      <c r="N23" s="28">
        <f>IF(COUNTA($A23:$M23)=0,"",IF(AND(TRIM($A23)&lt;&gt;"",SUMPRODUCT(--($A$6:$A$55=$A23))&gt;1),"△ Number used twice",IF(TRIM($A23)="","△ No number",IF(OR(TRIM($F23)="",NOT(ISNUMBER($G23)),NOT(ISNUMBER($H23))),"△ Say what it does to scope, cost and date (0 is an answer)",IF(ISERROR(MATCH($I23,{"Raised","Approved","Rejected","Returned","Withdrawn"},0)),"△ No status",IF(AND($I23="Approved",LEFT(TRIM($A23),3)&lt;&gt;"CH-"),"△ An approved change is numbered CH",IF(AND($I23&lt;&gt;"Approved",LEFT(TRIM($A23),3)="CH-"),"△ A request is numbered CR until it is approved",IF(AND($I23&lt;&gt;"Raised",OR(NOT(ISNUMBER($C23)),TRIM($J23)="")),"△ Decided with no date or no decider",IF(AND($I23="Raised",$C23&lt;&gt;""),"△ Raised, but it has a decision date",IF(AND($I23="Approved",TRIM($L23)=""),"△ Approved, not applied to the Baselined cells",IF(AND($I23="Raised",Baseline!$K$5-IF(ISNUMBER($B23),$B23,Baseline!$K$5)&gt;14),"△ Raised for more than 14 days",IF($Q23=1,"△ Past the Owner's limit and no sponsor agreed","○ Clear"))))))))))))</f>
        <v/>
      </c>
      <c r="Q23" s="24">
        <f>IF(OR(COUNTA($A23:$M23)=0,$I23&lt;&gt;"Approved"),0,IF(AND(OR(AND(ISNUMBER(Baseline!$C$16),N($G23)&gt;0,SUMPRODUCT(--($I$6:$I23="Approved"),$G$6:$G23)&gt;Baseline!$C$16),AND(ISNUMBER(Baseline!$C$15),N($H23)&gt;0,SUMPRODUCT(--($I$6:$I23="Approved"),--($E$6:$E23=$E23),$H$6:$H23)&gt;Baseline!$C$15)),OR(TRIM(Baseline!$C$8)="",TRIM(Baseline!$C$8)="Not yet named",TRIM($K23)&lt;&gt;TRIM(Baseline!$C$8))),1,0))</f>
        <v/>
      </c>
      <c r="R23" s="24">
        <f>IF(AND(LEFT($N23,1)="△",LEFT($N23,LEN("△ Past"))&lt;&gt;"△ Past"),1,0)</f>
        <v/>
      </c>
    </row>
    <row r="24">
      <c r="A24" s="25" t="n"/>
      <c r="B24" s="38" t="n"/>
      <c r="C24" s="38" t="n"/>
      <c r="D24" s="23" t="n"/>
      <c r="E24" s="41" t="n"/>
      <c r="F24" s="35" t="n"/>
      <c r="G24" s="26" t="n"/>
      <c r="H24" s="42" t="n"/>
      <c r="I24" s="35" t="n"/>
      <c r="J24" s="23" t="n"/>
      <c r="K24" s="23" t="n"/>
      <c r="L24" s="35" t="n"/>
      <c r="M24" s="23" t="n"/>
      <c r="N24" s="28">
        <f>IF(COUNTA($A24:$M24)=0,"",IF(AND(TRIM($A24)&lt;&gt;"",SUMPRODUCT(--($A$6:$A$55=$A24))&gt;1),"△ Number used twice",IF(TRIM($A24)="","△ No number",IF(OR(TRIM($F24)="",NOT(ISNUMBER($G24)),NOT(ISNUMBER($H24))),"△ Say what it does to scope, cost and date (0 is an answer)",IF(ISERROR(MATCH($I24,{"Raised","Approved","Rejected","Returned","Withdrawn"},0)),"△ No status",IF(AND($I24="Approved",LEFT(TRIM($A24),3)&lt;&gt;"CH-"),"△ An approved change is numbered CH",IF(AND($I24&lt;&gt;"Approved",LEFT(TRIM($A24),3)="CH-"),"△ A request is numbered CR until it is approved",IF(AND($I24&lt;&gt;"Raised",OR(NOT(ISNUMBER($C24)),TRIM($J24)="")),"△ Decided with no date or no decider",IF(AND($I24="Raised",$C24&lt;&gt;""),"△ Raised, but it has a decision date",IF(AND($I24="Approved",TRIM($L24)=""),"△ Approved, not applied to the Baselined cells",IF(AND($I24="Raised",Baseline!$K$5-IF(ISNUMBER($B24),$B24,Baseline!$K$5)&gt;14),"△ Raised for more than 14 days",IF($Q24=1,"△ Past the Owner's limit and no sponsor agreed","○ Clear"))))))))))))</f>
        <v/>
      </c>
      <c r="Q24" s="24">
        <f>IF(OR(COUNTA($A24:$M24)=0,$I24&lt;&gt;"Approved"),0,IF(AND(OR(AND(ISNUMBER(Baseline!$C$16),N($G24)&gt;0,SUMPRODUCT(--($I$6:$I24="Approved"),$G$6:$G24)&gt;Baseline!$C$16),AND(ISNUMBER(Baseline!$C$15),N($H24)&gt;0,SUMPRODUCT(--($I$6:$I24="Approved"),--($E$6:$E24=$E24),$H$6:$H24)&gt;Baseline!$C$15)),OR(TRIM(Baseline!$C$8)="",TRIM(Baseline!$C$8)="Not yet named",TRIM($K24)&lt;&gt;TRIM(Baseline!$C$8))),1,0))</f>
        <v/>
      </c>
      <c r="R24" s="24">
        <f>IF(AND(LEFT($N24,1)="△",LEFT($N24,LEN("△ Past"))&lt;&gt;"△ Past"),1,0)</f>
        <v/>
      </c>
    </row>
    <row r="25">
      <c r="A25" s="25" t="n"/>
      <c r="B25" s="38" t="n"/>
      <c r="C25" s="38" t="n"/>
      <c r="D25" s="23" t="n"/>
      <c r="E25" s="41" t="n"/>
      <c r="F25" s="35" t="n"/>
      <c r="G25" s="26" t="n"/>
      <c r="H25" s="42" t="n"/>
      <c r="I25" s="35" t="n"/>
      <c r="J25" s="23" t="n"/>
      <c r="K25" s="23" t="n"/>
      <c r="L25" s="35" t="n"/>
      <c r="M25" s="23" t="n"/>
      <c r="N25" s="28">
        <f>IF(COUNTA($A25:$M25)=0,"",IF(AND(TRIM($A25)&lt;&gt;"",SUMPRODUCT(--($A$6:$A$55=$A25))&gt;1),"△ Number used twice",IF(TRIM($A25)="","△ No number",IF(OR(TRIM($F25)="",NOT(ISNUMBER($G25)),NOT(ISNUMBER($H25))),"△ Say what it does to scope, cost and date (0 is an answer)",IF(ISERROR(MATCH($I25,{"Raised","Approved","Rejected","Returned","Withdrawn"},0)),"△ No status",IF(AND($I25="Approved",LEFT(TRIM($A25),3)&lt;&gt;"CH-"),"△ An approved change is numbered CH",IF(AND($I25&lt;&gt;"Approved",LEFT(TRIM($A25),3)="CH-"),"△ A request is numbered CR until it is approved",IF(AND($I25&lt;&gt;"Raised",OR(NOT(ISNUMBER($C25)),TRIM($J25)="")),"△ Decided with no date or no decider",IF(AND($I25="Raised",$C25&lt;&gt;""),"△ Raised, but it has a decision date",IF(AND($I25="Approved",TRIM($L25)=""),"△ Approved, not applied to the Baselined cells",IF(AND($I25="Raised",Baseline!$K$5-IF(ISNUMBER($B25),$B25,Baseline!$K$5)&gt;14),"△ Raised for more than 14 days",IF($Q25=1,"△ Past the Owner's limit and no sponsor agreed","○ Clear"))))))))))))</f>
        <v/>
      </c>
      <c r="Q25" s="24">
        <f>IF(OR(COUNTA($A25:$M25)=0,$I25&lt;&gt;"Approved"),0,IF(AND(OR(AND(ISNUMBER(Baseline!$C$16),N($G25)&gt;0,SUMPRODUCT(--($I$6:$I25="Approved"),$G$6:$G25)&gt;Baseline!$C$16),AND(ISNUMBER(Baseline!$C$15),N($H25)&gt;0,SUMPRODUCT(--($I$6:$I25="Approved"),--($E$6:$E25=$E25),$H$6:$H25)&gt;Baseline!$C$15)),OR(TRIM(Baseline!$C$8)="",TRIM(Baseline!$C$8)="Not yet named",TRIM($K25)&lt;&gt;TRIM(Baseline!$C$8))),1,0))</f>
        <v/>
      </c>
      <c r="R25" s="24">
        <f>IF(AND(LEFT($N25,1)="△",LEFT($N25,LEN("△ Past"))&lt;&gt;"△ Past"),1,0)</f>
        <v/>
      </c>
    </row>
    <row r="26">
      <c r="A26" s="25" t="n"/>
      <c r="B26" s="38" t="n"/>
      <c r="C26" s="38" t="n"/>
      <c r="D26" s="23" t="n"/>
      <c r="E26" s="41" t="n"/>
      <c r="F26" s="35" t="n"/>
      <c r="G26" s="26" t="n"/>
      <c r="H26" s="42" t="n"/>
      <c r="I26" s="35" t="n"/>
      <c r="J26" s="23" t="n"/>
      <c r="K26" s="23" t="n"/>
      <c r="L26" s="35" t="n"/>
      <c r="M26" s="23" t="n"/>
      <c r="N26" s="28">
        <f>IF(COUNTA($A26:$M26)=0,"",IF(AND(TRIM($A26)&lt;&gt;"",SUMPRODUCT(--($A$6:$A$55=$A26))&gt;1),"△ Number used twice",IF(TRIM($A26)="","△ No number",IF(OR(TRIM($F26)="",NOT(ISNUMBER($G26)),NOT(ISNUMBER($H26))),"△ Say what it does to scope, cost and date (0 is an answer)",IF(ISERROR(MATCH($I26,{"Raised","Approved","Rejected","Returned","Withdrawn"},0)),"△ No status",IF(AND($I26="Approved",LEFT(TRIM($A26),3)&lt;&gt;"CH-"),"△ An approved change is numbered CH",IF(AND($I26&lt;&gt;"Approved",LEFT(TRIM($A26),3)="CH-"),"△ A request is numbered CR until it is approved",IF(AND($I26&lt;&gt;"Raised",OR(NOT(ISNUMBER($C26)),TRIM($J26)="")),"△ Decided with no date or no decider",IF(AND($I26="Raised",$C26&lt;&gt;""),"△ Raised, but it has a decision date",IF(AND($I26="Approved",TRIM($L26)=""),"△ Approved, not applied to the Baselined cells",IF(AND($I26="Raised",Baseline!$K$5-IF(ISNUMBER($B26),$B26,Baseline!$K$5)&gt;14),"△ Raised for more than 14 days",IF($Q26=1,"△ Past the Owner's limit and no sponsor agreed","○ Clear"))))))))))))</f>
        <v/>
      </c>
      <c r="Q26" s="24">
        <f>IF(OR(COUNTA($A26:$M26)=0,$I26&lt;&gt;"Approved"),0,IF(AND(OR(AND(ISNUMBER(Baseline!$C$16),N($G26)&gt;0,SUMPRODUCT(--($I$6:$I26="Approved"),$G$6:$G26)&gt;Baseline!$C$16),AND(ISNUMBER(Baseline!$C$15),N($H26)&gt;0,SUMPRODUCT(--($I$6:$I26="Approved"),--($E$6:$E26=$E26),$H$6:$H26)&gt;Baseline!$C$15)),OR(TRIM(Baseline!$C$8)="",TRIM(Baseline!$C$8)="Not yet named",TRIM($K26)&lt;&gt;TRIM(Baseline!$C$8))),1,0))</f>
        <v/>
      </c>
      <c r="R26" s="24">
        <f>IF(AND(LEFT($N26,1)="△",LEFT($N26,LEN("△ Past"))&lt;&gt;"△ Past"),1,0)</f>
        <v/>
      </c>
    </row>
    <row r="27">
      <c r="A27" s="25" t="n"/>
      <c r="B27" s="38" t="n"/>
      <c r="C27" s="38" t="n"/>
      <c r="D27" s="23" t="n"/>
      <c r="E27" s="41" t="n"/>
      <c r="F27" s="35" t="n"/>
      <c r="G27" s="26" t="n"/>
      <c r="H27" s="42" t="n"/>
      <c r="I27" s="35" t="n"/>
      <c r="J27" s="23" t="n"/>
      <c r="K27" s="23" t="n"/>
      <c r="L27" s="35" t="n"/>
      <c r="M27" s="23" t="n"/>
      <c r="N27" s="28">
        <f>IF(COUNTA($A27:$M27)=0,"",IF(AND(TRIM($A27)&lt;&gt;"",SUMPRODUCT(--($A$6:$A$55=$A27))&gt;1),"△ Number used twice",IF(TRIM($A27)="","△ No number",IF(OR(TRIM($F27)="",NOT(ISNUMBER($G27)),NOT(ISNUMBER($H27))),"△ Say what it does to scope, cost and date (0 is an answer)",IF(ISERROR(MATCH($I27,{"Raised","Approved","Rejected","Returned","Withdrawn"},0)),"△ No status",IF(AND($I27="Approved",LEFT(TRIM($A27),3)&lt;&gt;"CH-"),"△ An approved change is numbered CH",IF(AND($I27&lt;&gt;"Approved",LEFT(TRIM($A27),3)="CH-"),"△ A request is numbered CR until it is approved",IF(AND($I27&lt;&gt;"Raised",OR(NOT(ISNUMBER($C27)),TRIM($J27)="")),"△ Decided with no date or no decider",IF(AND($I27="Raised",$C27&lt;&gt;""),"△ Raised, but it has a decision date",IF(AND($I27="Approved",TRIM($L27)=""),"△ Approved, not applied to the Baselined cells",IF(AND($I27="Raised",Baseline!$K$5-IF(ISNUMBER($B27),$B27,Baseline!$K$5)&gt;14),"△ Raised for more than 14 days",IF($Q27=1,"△ Past the Owner's limit and no sponsor agreed","○ Clear"))))))))))))</f>
        <v/>
      </c>
      <c r="Q27" s="24">
        <f>IF(OR(COUNTA($A27:$M27)=0,$I27&lt;&gt;"Approved"),0,IF(AND(OR(AND(ISNUMBER(Baseline!$C$16),N($G27)&gt;0,SUMPRODUCT(--($I$6:$I27="Approved"),$G$6:$G27)&gt;Baseline!$C$16),AND(ISNUMBER(Baseline!$C$15),N($H27)&gt;0,SUMPRODUCT(--($I$6:$I27="Approved"),--($E$6:$E27=$E27),$H$6:$H27)&gt;Baseline!$C$15)),OR(TRIM(Baseline!$C$8)="",TRIM(Baseline!$C$8)="Not yet named",TRIM($K27)&lt;&gt;TRIM(Baseline!$C$8))),1,0))</f>
        <v/>
      </c>
      <c r="R27" s="24">
        <f>IF(AND(LEFT($N27,1)="△",LEFT($N27,LEN("△ Past"))&lt;&gt;"△ Past"),1,0)</f>
        <v/>
      </c>
    </row>
    <row r="28">
      <c r="A28" s="25" t="n"/>
      <c r="B28" s="38" t="n"/>
      <c r="C28" s="38" t="n"/>
      <c r="D28" s="23" t="n"/>
      <c r="E28" s="41" t="n"/>
      <c r="F28" s="35" t="n"/>
      <c r="G28" s="26" t="n"/>
      <c r="H28" s="42" t="n"/>
      <c r="I28" s="35" t="n"/>
      <c r="J28" s="23" t="n"/>
      <c r="K28" s="23" t="n"/>
      <c r="L28" s="35" t="n"/>
      <c r="M28" s="23" t="n"/>
      <c r="N28" s="28">
        <f>IF(COUNTA($A28:$M28)=0,"",IF(AND(TRIM($A28)&lt;&gt;"",SUMPRODUCT(--($A$6:$A$55=$A28))&gt;1),"△ Number used twice",IF(TRIM($A28)="","△ No number",IF(OR(TRIM($F28)="",NOT(ISNUMBER($G28)),NOT(ISNUMBER($H28))),"△ Say what it does to scope, cost and date (0 is an answer)",IF(ISERROR(MATCH($I28,{"Raised","Approved","Rejected","Returned","Withdrawn"},0)),"△ No status",IF(AND($I28="Approved",LEFT(TRIM($A28),3)&lt;&gt;"CH-"),"△ An approved change is numbered CH",IF(AND($I28&lt;&gt;"Approved",LEFT(TRIM($A28),3)="CH-"),"△ A request is numbered CR until it is approved",IF(AND($I28&lt;&gt;"Raised",OR(NOT(ISNUMBER($C28)),TRIM($J28)="")),"△ Decided with no date or no decider",IF(AND($I28="Raised",$C28&lt;&gt;""),"△ Raised, but it has a decision date",IF(AND($I28="Approved",TRIM($L28)=""),"△ Approved, not applied to the Baselined cells",IF(AND($I28="Raised",Baseline!$K$5-IF(ISNUMBER($B28),$B28,Baseline!$K$5)&gt;14),"△ Raised for more than 14 days",IF($Q28=1,"△ Past the Owner's limit and no sponsor agreed","○ Clear"))))))))))))</f>
        <v/>
      </c>
      <c r="Q28" s="24">
        <f>IF(OR(COUNTA($A28:$M28)=0,$I28&lt;&gt;"Approved"),0,IF(AND(OR(AND(ISNUMBER(Baseline!$C$16),N($G28)&gt;0,SUMPRODUCT(--($I$6:$I28="Approved"),$G$6:$G28)&gt;Baseline!$C$16),AND(ISNUMBER(Baseline!$C$15),N($H28)&gt;0,SUMPRODUCT(--($I$6:$I28="Approved"),--($E$6:$E28=$E28),$H$6:$H28)&gt;Baseline!$C$15)),OR(TRIM(Baseline!$C$8)="",TRIM(Baseline!$C$8)="Not yet named",TRIM($K28)&lt;&gt;TRIM(Baseline!$C$8))),1,0))</f>
        <v/>
      </c>
      <c r="R28" s="24">
        <f>IF(AND(LEFT($N28,1)="△",LEFT($N28,LEN("△ Past"))&lt;&gt;"△ Past"),1,0)</f>
        <v/>
      </c>
    </row>
    <row r="29">
      <c r="A29" s="25" t="n"/>
      <c r="B29" s="38" t="n"/>
      <c r="C29" s="38" t="n"/>
      <c r="D29" s="23" t="n"/>
      <c r="E29" s="41" t="n"/>
      <c r="F29" s="35" t="n"/>
      <c r="G29" s="26" t="n"/>
      <c r="H29" s="42" t="n"/>
      <c r="I29" s="35" t="n"/>
      <c r="J29" s="23" t="n"/>
      <c r="K29" s="23" t="n"/>
      <c r="L29" s="35" t="n"/>
      <c r="M29" s="23" t="n"/>
      <c r="N29" s="28">
        <f>IF(COUNTA($A29:$M29)=0,"",IF(AND(TRIM($A29)&lt;&gt;"",SUMPRODUCT(--($A$6:$A$55=$A29))&gt;1),"△ Number used twice",IF(TRIM($A29)="","△ No number",IF(OR(TRIM($F29)="",NOT(ISNUMBER($G29)),NOT(ISNUMBER($H29))),"△ Say what it does to scope, cost and date (0 is an answer)",IF(ISERROR(MATCH($I29,{"Raised","Approved","Rejected","Returned","Withdrawn"},0)),"△ No status",IF(AND($I29="Approved",LEFT(TRIM($A29),3)&lt;&gt;"CH-"),"△ An approved change is numbered CH",IF(AND($I29&lt;&gt;"Approved",LEFT(TRIM($A29),3)="CH-"),"△ A request is numbered CR until it is approved",IF(AND($I29&lt;&gt;"Raised",OR(NOT(ISNUMBER($C29)),TRIM($J29)="")),"△ Decided with no date or no decider",IF(AND($I29="Raised",$C29&lt;&gt;""),"△ Raised, but it has a decision date",IF(AND($I29="Approved",TRIM($L29)=""),"△ Approved, not applied to the Baselined cells",IF(AND($I29="Raised",Baseline!$K$5-IF(ISNUMBER($B29),$B29,Baseline!$K$5)&gt;14),"△ Raised for more than 14 days",IF($Q29=1,"△ Past the Owner's limit and no sponsor agreed","○ Clear"))))))))))))</f>
        <v/>
      </c>
      <c r="Q29" s="24">
        <f>IF(OR(COUNTA($A29:$M29)=0,$I29&lt;&gt;"Approved"),0,IF(AND(OR(AND(ISNUMBER(Baseline!$C$16),N($G29)&gt;0,SUMPRODUCT(--($I$6:$I29="Approved"),$G$6:$G29)&gt;Baseline!$C$16),AND(ISNUMBER(Baseline!$C$15),N($H29)&gt;0,SUMPRODUCT(--($I$6:$I29="Approved"),--($E$6:$E29=$E29),$H$6:$H29)&gt;Baseline!$C$15)),OR(TRIM(Baseline!$C$8)="",TRIM(Baseline!$C$8)="Not yet named",TRIM($K29)&lt;&gt;TRIM(Baseline!$C$8))),1,0))</f>
        <v/>
      </c>
      <c r="R29" s="24">
        <f>IF(AND(LEFT($N29,1)="△",LEFT($N29,LEN("△ Past"))&lt;&gt;"△ Past"),1,0)</f>
        <v/>
      </c>
    </row>
    <row r="30">
      <c r="A30" s="25" t="n"/>
      <c r="B30" s="38" t="n"/>
      <c r="C30" s="38" t="n"/>
      <c r="D30" s="23" t="n"/>
      <c r="E30" s="41" t="n"/>
      <c r="F30" s="35" t="n"/>
      <c r="G30" s="26" t="n"/>
      <c r="H30" s="42" t="n"/>
      <c r="I30" s="35" t="n"/>
      <c r="J30" s="23" t="n"/>
      <c r="K30" s="23" t="n"/>
      <c r="L30" s="35" t="n"/>
      <c r="M30" s="23" t="n"/>
      <c r="N30" s="28">
        <f>IF(COUNTA($A30:$M30)=0,"",IF(AND(TRIM($A30)&lt;&gt;"",SUMPRODUCT(--($A$6:$A$55=$A30))&gt;1),"△ Number used twice",IF(TRIM($A30)="","△ No number",IF(OR(TRIM($F30)="",NOT(ISNUMBER($G30)),NOT(ISNUMBER($H30))),"△ Say what it does to scope, cost and date (0 is an answer)",IF(ISERROR(MATCH($I30,{"Raised","Approved","Rejected","Returned","Withdrawn"},0)),"△ No status",IF(AND($I30="Approved",LEFT(TRIM($A30),3)&lt;&gt;"CH-"),"△ An approved change is numbered CH",IF(AND($I30&lt;&gt;"Approved",LEFT(TRIM($A30),3)="CH-"),"△ A request is numbered CR until it is approved",IF(AND($I30&lt;&gt;"Raised",OR(NOT(ISNUMBER($C30)),TRIM($J30)="")),"△ Decided with no date or no decider",IF(AND($I30="Raised",$C30&lt;&gt;""),"△ Raised, but it has a decision date",IF(AND($I30="Approved",TRIM($L30)=""),"△ Approved, not applied to the Baselined cells",IF(AND($I30="Raised",Baseline!$K$5-IF(ISNUMBER($B30),$B30,Baseline!$K$5)&gt;14),"△ Raised for more than 14 days",IF($Q30=1,"△ Past the Owner's limit and no sponsor agreed","○ Clear"))))))))))))</f>
        <v/>
      </c>
      <c r="Q30" s="24">
        <f>IF(OR(COUNTA($A30:$M30)=0,$I30&lt;&gt;"Approved"),0,IF(AND(OR(AND(ISNUMBER(Baseline!$C$16),N($G30)&gt;0,SUMPRODUCT(--($I$6:$I30="Approved"),$G$6:$G30)&gt;Baseline!$C$16),AND(ISNUMBER(Baseline!$C$15),N($H30)&gt;0,SUMPRODUCT(--($I$6:$I30="Approved"),--($E$6:$E30=$E30),$H$6:$H30)&gt;Baseline!$C$15)),OR(TRIM(Baseline!$C$8)="",TRIM(Baseline!$C$8)="Not yet named",TRIM($K30)&lt;&gt;TRIM(Baseline!$C$8))),1,0))</f>
        <v/>
      </c>
      <c r="R30" s="24">
        <f>IF(AND(LEFT($N30,1)="△",LEFT($N30,LEN("△ Past"))&lt;&gt;"△ Past"),1,0)</f>
        <v/>
      </c>
    </row>
    <row r="31">
      <c r="A31" s="25" t="n"/>
      <c r="B31" s="38" t="n"/>
      <c r="C31" s="38" t="n"/>
      <c r="D31" s="23" t="n"/>
      <c r="E31" s="41" t="n"/>
      <c r="F31" s="35" t="n"/>
      <c r="G31" s="26" t="n"/>
      <c r="H31" s="42" t="n"/>
      <c r="I31" s="35" t="n"/>
      <c r="J31" s="23" t="n"/>
      <c r="K31" s="23" t="n"/>
      <c r="L31" s="35" t="n"/>
      <c r="M31" s="23" t="n"/>
      <c r="N31" s="28">
        <f>IF(COUNTA($A31:$M31)=0,"",IF(AND(TRIM($A31)&lt;&gt;"",SUMPRODUCT(--($A$6:$A$55=$A31))&gt;1),"△ Number used twice",IF(TRIM($A31)="","△ No number",IF(OR(TRIM($F31)="",NOT(ISNUMBER($G31)),NOT(ISNUMBER($H31))),"△ Say what it does to scope, cost and date (0 is an answer)",IF(ISERROR(MATCH($I31,{"Raised","Approved","Rejected","Returned","Withdrawn"},0)),"△ No status",IF(AND($I31="Approved",LEFT(TRIM($A31),3)&lt;&gt;"CH-"),"△ An approved change is numbered CH",IF(AND($I31&lt;&gt;"Approved",LEFT(TRIM($A31),3)="CH-"),"△ A request is numbered CR until it is approved",IF(AND($I31&lt;&gt;"Raised",OR(NOT(ISNUMBER($C31)),TRIM($J31)="")),"△ Decided with no date or no decider",IF(AND($I31="Raised",$C31&lt;&gt;""),"△ Raised, but it has a decision date",IF(AND($I31="Approved",TRIM($L31)=""),"△ Approved, not applied to the Baselined cells",IF(AND($I31="Raised",Baseline!$K$5-IF(ISNUMBER($B31),$B31,Baseline!$K$5)&gt;14),"△ Raised for more than 14 days",IF($Q31=1,"△ Past the Owner's limit and no sponsor agreed","○ Clear"))))))))))))</f>
        <v/>
      </c>
      <c r="Q31" s="24">
        <f>IF(OR(COUNTA($A31:$M31)=0,$I31&lt;&gt;"Approved"),0,IF(AND(OR(AND(ISNUMBER(Baseline!$C$16),N($G31)&gt;0,SUMPRODUCT(--($I$6:$I31="Approved"),$G$6:$G31)&gt;Baseline!$C$16),AND(ISNUMBER(Baseline!$C$15),N($H31)&gt;0,SUMPRODUCT(--($I$6:$I31="Approved"),--($E$6:$E31=$E31),$H$6:$H31)&gt;Baseline!$C$15)),OR(TRIM(Baseline!$C$8)="",TRIM(Baseline!$C$8)="Not yet named",TRIM($K31)&lt;&gt;TRIM(Baseline!$C$8))),1,0))</f>
        <v/>
      </c>
      <c r="R31" s="24">
        <f>IF(AND(LEFT($N31,1)="△",LEFT($N31,LEN("△ Past"))&lt;&gt;"△ Past"),1,0)</f>
        <v/>
      </c>
    </row>
    <row r="32">
      <c r="A32" s="25" t="n"/>
      <c r="B32" s="38" t="n"/>
      <c r="C32" s="38" t="n"/>
      <c r="D32" s="23" t="n"/>
      <c r="E32" s="41" t="n"/>
      <c r="F32" s="35" t="n"/>
      <c r="G32" s="26" t="n"/>
      <c r="H32" s="42" t="n"/>
      <c r="I32" s="35" t="n"/>
      <c r="J32" s="23" t="n"/>
      <c r="K32" s="23" t="n"/>
      <c r="L32" s="35" t="n"/>
      <c r="M32" s="23" t="n"/>
      <c r="N32" s="28">
        <f>IF(COUNTA($A32:$M32)=0,"",IF(AND(TRIM($A32)&lt;&gt;"",SUMPRODUCT(--($A$6:$A$55=$A32))&gt;1),"△ Number used twice",IF(TRIM($A32)="","△ No number",IF(OR(TRIM($F32)="",NOT(ISNUMBER($G32)),NOT(ISNUMBER($H32))),"△ Say what it does to scope, cost and date (0 is an answer)",IF(ISERROR(MATCH($I32,{"Raised","Approved","Rejected","Returned","Withdrawn"},0)),"△ No status",IF(AND($I32="Approved",LEFT(TRIM($A32),3)&lt;&gt;"CH-"),"△ An approved change is numbered CH",IF(AND($I32&lt;&gt;"Approved",LEFT(TRIM($A32),3)="CH-"),"△ A request is numbered CR until it is approved",IF(AND($I32&lt;&gt;"Raised",OR(NOT(ISNUMBER($C32)),TRIM($J32)="")),"△ Decided with no date or no decider",IF(AND($I32="Raised",$C32&lt;&gt;""),"△ Raised, but it has a decision date",IF(AND($I32="Approved",TRIM($L32)=""),"△ Approved, not applied to the Baselined cells",IF(AND($I32="Raised",Baseline!$K$5-IF(ISNUMBER($B32),$B32,Baseline!$K$5)&gt;14),"△ Raised for more than 14 days",IF($Q32=1,"△ Past the Owner's limit and no sponsor agreed","○ Clear"))))))))))))</f>
        <v/>
      </c>
      <c r="Q32" s="24">
        <f>IF(OR(COUNTA($A32:$M32)=0,$I32&lt;&gt;"Approved"),0,IF(AND(OR(AND(ISNUMBER(Baseline!$C$16),N($G32)&gt;0,SUMPRODUCT(--($I$6:$I32="Approved"),$G$6:$G32)&gt;Baseline!$C$16),AND(ISNUMBER(Baseline!$C$15),N($H32)&gt;0,SUMPRODUCT(--($I$6:$I32="Approved"),--($E$6:$E32=$E32),$H$6:$H32)&gt;Baseline!$C$15)),OR(TRIM(Baseline!$C$8)="",TRIM(Baseline!$C$8)="Not yet named",TRIM($K32)&lt;&gt;TRIM(Baseline!$C$8))),1,0))</f>
        <v/>
      </c>
      <c r="R32" s="24">
        <f>IF(AND(LEFT($N32,1)="△",LEFT($N32,LEN("△ Past"))&lt;&gt;"△ Past"),1,0)</f>
        <v/>
      </c>
    </row>
    <row r="33">
      <c r="A33" s="25" t="n"/>
      <c r="B33" s="38" t="n"/>
      <c r="C33" s="38" t="n"/>
      <c r="D33" s="23" t="n"/>
      <c r="E33" s="41" t="n"/>
      <c r="F33" s="35" t="n"/>
      <c r="G33" s="26" t="n"/>
      <c r="H33" s="42" t="n"/>
      <c r="I33" s="35" t="n"/>
      <c r="J33" s="23" t="n"/>
      <c r="K33" s="23" t="n"/>
      <c r="L33" s="35" t="n"/>
      <c r="M33" s="23" t="n"/>
      <c r="N33" s="28">
        <f>IF(COUNTA($A33:$M33)=0,"",IF(AND(TRIM($A33)&lt;&gt;"",SUMPRODUCT(--($A$6:$A$55=$A33))&gt;1),"△ Number used twice",IF(TRIM($A33)="","△ No number",IF(OR(TRIM($F33)="",NOT(ISNUMBER($G33)),NOT(ISNUMBER($H33))),"△ Say what it does to scope, cost and date (0 is an answer)",IF(ISERROR(MATCH($I33,{"Raised","Approved","Rejected","Returned","Withdrawn"},0)),"△ No status",IF(AND($I33="Approved",LEFT(TRIM($A33),3)&lt;&gt;"CH-"),"△ An approved change is numbered CH",IF(AND($I33&lt;&gt;"Approved",LEFT(TRIM($A33),3)="CH-"),"△ A request is numbered CR until it is approved",IF(AND($I33&lt;&gt;"Raised",OR(NOT(ISNUMBER($C33)),TRIM($J33)="")),"△ Decided with no date or no decider",IF(AND($I33="Raised",$C33&lt;&gt;""),"△ Raised, but it has a decision date",IF(AND($I33="Approved",TRIM($L33)=""),"△ Approved, not applied to the Baselined cells",IF(AND($I33="Raised",Baseline!$K$5-IF(ISNUMBER($B33),$B33,Baseline!$K$5)&gt;14),"△ Raised for more than 14 days",IF($Q33=1,"△ Past the Owner's limit and no sponsor agreed","○ Clear"))))))))))))</f>
        <v/>
      </c>
      <c r="Q33" s="24">
        <f>IF(OR(COUNTA($A33:$M33)=0,$I33&lt;&gt;"Approved"),0,IF(AND(OR(AND(ISNUMBER(Baseline!$C$16),N($G33)&gt;0,SUMPRODUCT(--($I$6:$I33="Approved"),$G$6:$G33)&gt;Baseline!$C$16),AND(ISNUMBER(Baseline!$C$15),N($H33)&gt;0,SUMPRODUCT(--($I$6:$I33="Approved"),--($E$6:$E33=$E33),$H$6:$H33)&gt;Baseline!$C$15)),OR(TRIM(Baseline!$C$8)="",TRIM(Baseline!$C$8)="Not yet named",TRIM($K33)&lt;&gt;TRIM(Baseline!$C$8))),1,0))</f>
        <v/>
      </c>
      <c r="R33" s="24">
        <f>IF(AND(LEFT($N33,1)="△",LEFT($N33,LEN("△ Past"))&lt;&gt;"△ Past"),1,0)</f>
        <v/>
      </c>
    </row>
    <row r="34">
      <c r="A34" s="25" t="n"/>
      <c r="B34" s="38" t="n"/>
      <c r="C34" s="38" t="n"/>
      <c r="D34" s="23" t="n"/>
      <c r="E34" s="41" t="n"/>
      <c r="F34" s="35" t="n"/>
      <c r="G34" s="26" t="n"/>
      <c r="H34" s="42" t="n"/>
      <c r="I34" s="35" t="n"/>
      <c r="J34" s="23" t="n"/>
      <c r="K34" s="23" t="n"/>
      <c r="L34" s="35" t="n"/>
      <c r="M34" s="23" t="n"/>
      <c r="N34" s="28">
        <f>IF(COUNTA($A34:$M34)=0,"",IF(AND(TRIM($A34)&lt;&gt;"",SUMPRODUCT(--($A$6:$A$55=$A34))&gt;1),"△ Number used twice",IF(TRIM($A34)="","△ No number",IF(OR(TRIM($F34)="",NOT(ISNUMBER($G34)),NOT(ISNUMBER($H34))),"△ Say what it does to scope, cost and date (0 is an answer)",IF(ISERROR(MATCH($I34,{"Raised","Approved","Rejected","Returned","Withdrawn"},0)),"△ No status",IF(AND($I34="Approved",LEFT(TRIM($A34),3)&lt;&gt;"CH-"),"△ An approved change is numbered CH",IF(AND($I34&lt;&gt;"Approved",LEFT(TRIM($A34),3)="CH-"),"△ A request is numbered CR until it is approved",IF(AND($I34&lt;&gt;"Raised",OR(NOT(ISNUMBER($C34)),TRIM($J34)="")),"△ Decided with no date or no decider",IF(AND($I34="Raised",$C34&lt;&gt;""),"△ Raised, but it has a decision date",IF(AND($I34="Approved",TRIM($L34)=""),"△ Approved, not applied to the Baselined cells",IF(AND($I34="Raised",Baseline!$K$5-IF(ISNUMBER($B34),$B34,Baseline!$K$5)&gt;14),"△ Raised for more than 14 days",IF($Q34=1,"△ Past the Owner's limit and no sponsor agreed","○ Clear"))))))))))))</f>
        <v/>
      </c>
      <c r="Q34" s="24">
        <f>IF(OR(COUNTA($A34:$M34)=0,$I34&lt;&gt;"Approved"),0,IF(AND(OR(AND(ISNUMBER(Baseline!$C$16),N($G34)&gt;0,SUMPRODUCT(--($I$6:$I34="Approved"),$G$6:$G34)&gt;Baseline!$C$16),AND(ISNUMBER(Baseline!$C$15),N($H34)&gt;0,SUMPRODUCT(--($I$6:$I34="Approved"),--($E$6:$E34=$E34),$H$6:$H34)&gt;Baseline!$C$15)),OR(TRIM(Baseline!$C$8)="",TRIM(Baseline!$C$8)="Not yet named",TRIM($K34)&lt;&gt;TRIM(Baseline!$C$8))),1,0))</f>
        <v/>
      </c>
      <c r="R34" s="24">
        <f>IF(AND(LEFT($N34,1)="△",LEFT($N34,LEN("△ Past"))&lt;&gt;"△ Past"),1,0)</f>
        <v/>
      </c>
    </row>
    <row r="35">
      <c r="A35" s="25" t="n"/>
      <c r="B35" s="38" t="n"/>
      <c r="C35" s="38" t="n"/>
      <c r="D35" s="23" t="n"/>
      <c r="E35" s="41" t="n"/>
      <c r="F35" s="35" t="n"/>
      <c r="G35" s="26" t="n"/>
      <c r="H35" s="42" t="n"/>
      <c r="I35" s="35" t="n"/>
      <c r="J35" s="23" t="n"/>
      <c r="K35" s="23" t="n"/>
      <c r="L35" s="35" t="n"/>
      <c r="M35" s="23" t="n"/>
      <c r="N35" s="28">
        <f>IF(COUNTA($A35:$M35)=0,"",IF(AND(TRIM($A35)&lt;&gt;"",SUMPRODUCT(--($A$6:$A$55=$A35))&gt;1),"△ Number used twice",IF(TRIM($A35)="","△ No number",IF(OR(TRIM($F35)="",NOT(ISNUMBER($G35)),NOT(ISNUMBER($H35))),"△ Say what it does to scope, cost and date (0 is an answer)",IF(ISERROR(MATCH($I35,{"Raised","Approved","Rejected","Returned","Withdrawn"},0)),"△ No status",IF(AND($I35="Approved",LEFT(TRIM($A35),3)&lt;&gt;"CH-"),"△ An approved change is numbered CH",IF(AND($I35&lt;&gt;"Approved",LEFT(TRIM($A35),3)="CH-"),"△ A request is numbered CR until it is approved",IF(AND($I35&lt;&gt;"Raised",OR(NOT(ISNUMBER($C35)),TRIM($J35)="")),"△ Decided with no date or no decider",IF(AND($I35="Raised",$C35&lt;&gt;""),"△ Raised, but it has a decision date",IF(AND($I35="Approved",TRIM($L35)=""),"△ Approved, not applied to the Baselined cells",IF(AND($I35="Raised",Baseline!$K$5-IF(ISNUMBER($B35),$B35,Baseline!$K$5)&gt;14),"△ Raised for more than 14 days",IF($Q35=1,"△ Past the Owner's limit and no sponsor agreed","○ Clear"))))))))))))</f>
        <v/>
      </c>
      <c r="Q35" s="24">
        <f>IF(OR(COUNTA($A35:$M35)=0,$I35&lt;&gt;"Approved"),0,IF(AND(OR(AND(ISNUMBER(Baseline!$C$16),N($G35)&gt;0,SUMPRODUCT(--($I$6:$I35="Approved"),$G$6:$G35)&gt;Baseline!$C$16),AND(ISNUMBER(Baseline!$C$15),N($H35)&gt;0,SUMPRODUCT(--($I$6:$I35="Approved"),--($E$6:$E35=$E35),$H$6:$H35)&gt;Baseline!$C$15)),OR(TRIM(Baseline!$C$8)="",TRIM(Baseline!$C$8)="Not yet named",TRIM($K35)&lt;&gt;TRIM(Baseline!$C$8))),1,0))</f>
        <v/>
      </c>
      <c r="R35" s="24">
        <f>IF(AND(LEFT($N35,1)="△",LEFT($N35,LEN("△ Past"))&lt;&gt;"△ Past"),1,0)</f>
        <v/>
      </c>
    </row>
    <row r="36">
      <c r="A36" s="25" t="n"/>
      <c r="B36" s="38" t="n"/>
      <c r="C36" s="38" t="n"/>
      <c r="D36" s="23" t="n"/>
      <c r="E36" s="41" t="n"/>
      <c r="F36" s="35" t="n"/>
      <c r="G36" s="26" t="n"/>
      <c r="H36" s="42" t="n"/>
      <c r="I36" s="35" t="n"/>
      <c r="J36" s="23" t="n"/>
      <c r="K36" s="23" t="n"/>
      <c r="L36" s="35" t="n"/>
      <c r="M36" s="23" t="n"/>
      <c r="N36" s="28">
        <f>IF(COUNTA($A36:$M36)=0,"",IF(AND(TRIM($A36)&lt;&gt;"",SUMPRODUCT(--($A$6:$A$55=$A36))&gt;1),"△ Number used twice",IF(TRIM($A36)="","△ No number",IF(OR(TRIM($F36)="",NOT(ISNUMBER($G36)),NOT(ISNUMBER($H36))),"△ Say what it does to scope, cost and date (0 is an answer)",IF(ISERROR(MATCH($I36,{"Raised","Approved","Rejected","Returned","Withdrawn"},0)),"△ No status",IF(AND($I36="Approved",LEFT(TRIM($A36),3)&lt;&gt;"CH-"),"△ An approved change is numbered CH",IF(AND($I36&lt;&gt;"Approved",LEFT(TRIM($A36),3)="CH-"),"△ A request is numbered CR until it is approved",IF(AND($I36&lt;&gt;"Raised",OR(NOT(ISNUMBER($C36)),TRIM($J36)="")),"△ Decided with no date or no decider",IF(AND($I36="Raised",$C36&lt;&gt;""),"△ Raised, but it has a decision date",IF(AND($I36="Approved",TRIM($L36)=""),"△ Approved, not applied to the Baselined cells",IF(AND($I36="Raised",Baseline!$K$5-IF(ISNUMBER($B36),$B36,Baseline!$K$5)&gt;14),"△ Raised for more than 14 days",IF($Q36=1,"△ Past the Owner's limit and no sponsor agreed","○ Clear"))))))))))))</f>
        <v/>
      </c>
      <c r="Q36" s="24">
        <f>IF(OR(COUNTA($A36:$M36)=0,$I36&lt;&gt;"Approved"),0,IF(AND(OR(AND(ISNUMBER(Baseline!$C$16),N($G36)&gt;0,SUMPRODUCT(--($I$6:$I36="Approved"),$G$6:$G36)&gt;Baseline!$C$16),AND(ISNUMBER(Baseline!$C$15),N($H36)&gt;0,SUMPRODUCT(--($I$6:$I36="Approved"),--($E$6:$E36=$E36),$H$6:$H36)&gt;Baseline!$C$15)),OR(TRIM(Baseline!$C$8)="",TRIM(Baseline!$C$8)="Not yet named",TRIM($K36)&lt;&gt;TRIM(Baseline!$C$8))),1,0))</f>
        <v/>
      </c>
      <c r="R36" s="24">
        <f>IF(AND(LEFT($N36,1)="△",LEFT($N36,LEN("△ Past"))&lt;&gt;"△ Past"),1,0)</f>
        <v/>
      </c>
    </row>
    <row r="37">
      <c r="A37" s="25" t="n"/>
      <c r="B37" s="38" t="n"/>
      <c r="C37" s="38" t="n"/>
      <c r="D37" s="23" t="n"/>
      <c r="E37" s="41" t="n"/>
      <c r="F37" s="35" t="n"/>
      <c r="G37" s="26" t="n"/>
      <c r="H37" s="42" t="n"/>
      <c r="I37" s="35" t="n"/>
      <c r="J37" s="23" t="n"/>
      <c r="K37" s="23" t="n"/>
      <c r="L37" s="35" t="n"/>
      <c r="M37" s="23" t="n"/>
      <c r="N37" s="28">
        <f>IF(COUNTA($A37:$M37)=0,"",IF(AND(TRIM($A37)&lt;&gt;"",SUMPRODUCT(--($A$6:$A$55=$A37))&gt;1),"△ Number used twice",IF(TRIM($A37)="","△ No number",IF(OR(TRIM($F37)="",NOT(ISNUMBER($G37)),NOT(ISNUMBER($H37))),"△ Say what it does to scope, cost and date (0 is an answer)",IF(ISERROR(MATCH($I37,{"Raised","Approved","Rejected","Returned","Withdrawn"},0)),"△ No status",IF(AND($I37="Approved",LEFT(TRIM($A37),3)&lt;&gt;"CH-"),"△ An approved change is numbered CH",IF(AND($I37&lt;&gt;"Approved",LEFT(TRIM($A37),3)="CH-"),"△ A request is numbered CR until it is approved",IF(AND($I37&lt;&gt;"Raised",OR(NOT(ISNUMBER($C37)),TRIM($J37)="")),"△ Decided with no date or no decider",IF(AND($I37="Raised",$C37&lt;&gt;""),"△ Raised, but it has a decision date",IF(AND($I37="Approved",TRIM($L37)=""),"△ Approved, not applied to the Baselined cells",IF(AND($I37="Raised",Baseline!$K$5-IF(ISNUMBER($B37),$B37,Baseline!$K$5)&gt;14),"△ Raised for more than 14 days",IF($Q37=1,"△ Past the Owner's limit and no sponsor agreed","○ Clear"))))))))))))</f>
        <v/>
      </c>
      <c r="Q37" s="24">
        <f>IF(OR(COUNTA($A37:$M37)=0,$I37&lt;&gt;"Approved"),0,IF(AND(OR(AND(ISNUMBER(Baseline!$C$16),N($G37)&gt;0,SUMPRODUCT(--($I$6:$I37="Approved"),$G$6:$G37)&gt;Baseline!$C$16),AND(ISNUMBER(Baseline!$C$15),N($H37)&gt;0,SUMPRODUCT(--($I$6:$I37="Approved"),--($E$6:$E37=$E37),$H$6:$H37)&gt;Baseline!$C$15)),OR(TRIM(Baseline!$C$8)="",TRIM(Baseline!$C$8)="Not yet named",TRIM($K37)&lt;&gt;TRIM(Baseline!$C$8))),1,0))</f>
        <v/>
      </c>
      <c r="R37" s="24">
        <f>IF(AND(LEFT($N37,1)="△",LEFT($N37,LEN("△ Past"))&lt;&gt;"△ Past"),1,0)</f>
        <v/>
      </c>
    </row>
    <row r="38">
      <c r="A38" s="25" t="n"/>
      <c r="B38" s="38" t="n"/>
      <c r="C38" s="38" t="n"/>
      <c r="D38" s="23" t="n"/>
      <c r="E38" s="41" t="n"/>
      <c r="F38" s="35" t="n"/>
      <c r="G38" s="26" t="n"/>
      <c r="H38" s="42" t="n"/>
      <c r="I38" s="35" t="n"/>
      <c r="J38" s="23" t="n"/>
      <c r="K38" s="23" t="n"/>
      <c r="L38" s="35" t="n"/>
      <c r="M38" s="23" t="n"/>
      <c r="N38" s="28">
        <f>IF(COUNTA($A38:$M38)=0,"",IF(AND(TRIM($A38)&lt;&gt;"",SUMPRODUCT(--($A$6:$A$55=$A38))&gt;1),"△ Number used twice",IF(TRIM($A38)="","△ No number",IF(OR(TRIM($F38)="",NOT(ISNUMBER($G38)),NOT(ISNUMBER($H38))),"△ Say what it does to scope, cost and date (0 is an answer)",IF(ISERROR(MATCH($I38,{"Raised","Approved","Rejected","Returned","Withdrawn"},0)),"△ No status",IF(AND($I38="Approved",LEFT(TRIM($A38),3)&lt;&gt;"CH-"),"△ An approved change is numbered CH",IF(AND($I38&lt;&gt;"Approved",LEFT(TRIM($A38),3)="CH-"),"△ A request is numbered CR until it is approved",IF(AND($I38&lt;&gt;"Raised",OR(NOT(ISNUMBER($C38)),TRIM($J38)="")),"△ Decided with no date or no decider",IF(AND($I38="Raised",$C38&lt;&gt;""),"△ Raised, but it has a decision date",IF(AND($I38="Approved",TRIM($L38)=""),"△ Approved, not applied to the Baselined cells",IF(AND($I38="Raised",Baseline!$K$5-IF(ISNUMBER($B38),$B38,Baseline!$K$5)&gt;14),"△ Raised for more than 14 days",IF($Q38=1,"△ Past the Owner's limit and no sponsor agreed","○ Clear"))))))))))))</f>
        <v/>
      </c>
      <c r="Q38" s="24">
        <f>IF(OR(COUNTA($A38:$M38)=0,$I38&lt;&gt;"Approved"),0,IF(AND(OR(AND(ISNUMBER(Baseline!$C$16),N($G38)&gt;0,SUMPRODUCT(--($I$6:$I38="Approved"),$G$6:$G38)&gt;Baseline!$C$16),AND(ISNUMBER(Baseline!$C$15),N($H38)&gt;0,SUMPRODUCT(--($I$6:$I38="Approved"),--($E$6:$E38=$E38),$H$6:$H38)&gt;Baseline!$C$15)),OR(TRIM(Baseline!$C$8)="",TRIM(Baseline!$C$8)="Not yet named",TRIM($K38)&lt;&gt;TRIM(Baseline!$C$8))),1,0))</f>
        <v/>
      </c>
      <c r="R38" s="24">
        <f>IF(AND(LEFT($N38,1)="△",LEFT($N38,LEN("△ Past"))&lt;&gt;"△ Past"),1,0)</f>
        <v/>
      </c>
    </row>
    <row r="39">
      <c r="A39" s="25" t="n"/>
      <c r="B39" s="38" t="n"/>
      <c r="C39" s="38" t="n"/>
      <c r="D39" s="23" t="n"/>
      <c r="E39" s="41" t="n"/>
      <c r="F39" s="35" t="n"/>
      <c r="G39" s="26" t="n"/>
      <c r="H39" s="42" t="n"/>
      <c r="I39" s="35" t="n"/>
      <c r="J39" s="23" t="n"/>
      <c r="K39" s="23" t="n"/>
      <c r="L39" s="35" t="n"/>
      <c r="M39" s="23" t="n"/>
      <c r="N39" s="28">
        <f>IF(COUNTA($A39:$M39)=0,"",IF(AND(TRIM($A39)&lt;&gt;"",SUMPRODUCT(--($A$6:$A$55=$A39))&gt;1),"△ Number used twice",IF(TRIM($A39)="","△ No number",IF(OR(TRIM($F39)="",NOT(ISNUMBER($G39)),NOT(ISNUMBER($H39))),"△ Say what it does to scope, cost and date (0 is an answer)",IF(ISERROR(MATCH($I39,{"Raised","Approved","Rejected","Returned","Withdrawn"},0)),"△ No status",IF(AND($I39="Approved",LEFT(TRIM($A39),3)&lt;&gt;"CH-"),"△ An approved change is numbered CH",IF(AND($I39&lt;&gt;"Approved",LEFT(TRIM($A39),3)="CH-"),"△ A request is numbered CR until it is approved",IF(AND($I39&lt;&gt;"Raised",OR(NOT(ISNUMBER($C39)),TRIM($J39)="")),"△ Decided with no date or no decider",IF(AND($I39="Raised",$C39&lt;&gt;""),"△ Raised, but it has a decision date",IF(AND($I39="Approved",TRIM($L39)=""),"△ Approved, not applied to the Baselined cells",IF(AND($I39="Raised",Baseline!$K$5-IF(ISNUMBER($B39),$B39,Baseline!$K$5)&gt;14),"△ Raised for more than 14 days",IF($Q39=1,"△ Past the Owner's limit and no sponsor agreed","○ Clear"))))))))))))</f>
        <v/>
      </c>
      <c r="Q39" s="24">
        <f>IF(OR(COUNTA($A39:$M39)=0,$I39&lt;&gt;"Approved"),0,IF(AND(OR(AND(ISNUMBER(Baseline!$C$16),N($G39)&gt;0,SUMPRODUCT(--($I$6:$I39="Approved"),$G$6:$G39)&gt;Baseline!$C$16),AND(ISNUMBER(Baseline!$C$15),N($H39)&gt;0,SUMPRODUCT(--($I$6:$I39="Approved"),--($E$6:$E39=$E39),$H$6:$H39)&gt;Baseline!$C$15)),OR(TRIM(Baseline!$C$8)="",TRIM(Baseline!$C$8)="Not yet named",TRIM($K39)&lt;&gt;TRIM(Baseline!$C$8))),1,0))</f>
        <v/>
      </c>
      <c r="R39" s="24">
        <f>IF(AND(LEFT($N39,1)="△",LEFT($N39,LEN("△ Past"))&lt;&gt;"△ Past"),1,0)</f>
        <v/>
      </c>
    </row>
    <row r="40">
      <c r="A40" s="25" t="n"/>
      <c r="B40" s="38" t="n"/>
      <c r="C40" s="38" t="n"/>
      <c r="D40" s="23" t="n"/>
      <c r="E40" s="41" t="n"/>
      <c r="F40" s="35" t="n"/>
      <c r="G40" s="26" t="n"/>
      <c r="H40" s="42" t="n"/>
      <c r="I40" s="35" t="n"/>
      <c r="J40" s="23" t="n"/>
      <c r="K40" s="23" t="n"/>
      <c r="L40" s="35" t="n"/>
      <c r="M40" s="23" t="n"/>
      <c r="N40" s="28">
        <f>IF(COUNTA($A40:$M40)=0,"",IF(AND(TRIM($A40)&lt;&gt;"",SUMPRODUCT(--($A$6:$A$55=$A40))&gt;1),"△ Number used twice",IF(TRIM($A40)="","△ No number",IF(OR(TRIM($F40)="",NOT(ISNUMBER($G40)),NOT(ISNUMBER($H40))),"△ Say what it does to scope, cost and date (0 is an answer)",IF(ISERROR(MATCH($I40,{"Raised","Approved","Rejected","Returned","Withdrawn"},0)),"△ No status",IF(AND($I40="Approved",LEFT(TRIM($A40),3)&lt;&gt;"CH-"),"△ An approved change is numbered CH",IF(AND($I40&lt;&gt;"Approved",LEFT(TRIM($A40),3)="CH-"),"△ A request is numbered CR until it is approved",IF(AND($I40&lt;&gt;"Raised",OR(NOT(ISNUMBER($C40)),TRIM($J40)="")),"△ Decided with no date or no decider",IF(AND($I40="Raised",$C40&lt;&gt;""),"△ Raised, but it has a decision date",IF(AND($I40="Approved",TRIM($L40)=""),"△ Approved, not applied to the Baselined cells",IF(AND($I40="Raised",Baseline!$K$5-IF(ISNUMBER($B40),$B40,Baseline!$K$5)&gt;14),"△ Raised for more than 14 days",IF($Q40=1,"△ Past the Owner's limit and no sponsor agreed","○ Clear"))))))))))))</f>
        <v/>
      </c>
      <c r="Q40" s="24">
        <f>IF(OR(COUNTA($A40:$M40)=0,$I40&lt;&gt;"Approved"),0,IF(AND(OR(AND(ISNUMBER(Baseline!$C$16),N($G40)&gt;0,SUMPRODUCT(--($I$6:$I40="Approved"),$G$6:$G40)&gt;Baseline!$C$16),AND(ISNUMBER(Baseline!$C$15),N($H40)&gt;0,SUMPRODUCT(--($I$6:$I40="Approved"),--($E$6:$E40=$E40),$H$6:$H40)&gt;Baseline!$C$15)),OR(TRIM(Baseline!$C$8)="",TRIM(Baseline!$C$8)="Not yet named",TRIM($K40)&lt;&gt;TRIM(Baseline!$C$8))),1,0))</f>
        <v/>
      </c>
      <c r="R40" s="24">
        <f>IF(AND(LEFT($N40,1)="△",LEFT($N40,LEN("△ Past"))&lt;&gt;"△ Past"),1,0)</f>
        <v/>
      </c>
    </row>
    <row r="41">
      <c r="A41" s="25" t="n"/>
      <c r="B41" s="38" t="n"/>
      <c r="C41" s="38" t="n"/>
      <c r="D41" s="23" t="n"/>
      <c r="E41" s="41" t="n"/>
      <c r="F41" s="35" t="n"/>
      <c r="G41" s="26" t="n"/>
      <c r="H41" s="42" t="n"/>
      <c r="I41" s="35" t="n"/>
      <c r="J41" s="23" t="n"/>
      <c r="K41" s="23" t="n"/>
      <c r="L41" s="35" t="n"/>
      <c r="M41" s="23" t="n"/>
      <c r="N41" s="28">
        <f>IF(COUNTA($A41:$M41)=0,"",IF(AND(TRIM($A41)&lt;&gt;"",SUMPRODUCT(--($A$6:$A$55=$A41))&gt;1),"△ Number used twice",IF(TRIM($A41)="","△ No number",IF(OR(TRIM($F41)="",NOT(ISNUMBER($G41)),NOT(ISNUMBER($H41))),"△ Say what it does to scope, cost and date (0 is an answer)",IF(ISERROR(MATCH($I41,{"Raised","Approved","Rejected","Returned","Withdrawn"},0)),"△ No status",IF(AND($I41="Approved",LEFT(TRIM($A41),3)&lt;&gt;"CH-"),"△ An approved change is numbered CH",IF(AND($I41&lt;&gt;"Approved",LEFT(TRIM($A41),3)="CH-"),"△ A request is numbered CR until it is approved",IF(AND($I41&lt;&gt;"Raised",OR(NOT(ISNUMBER($C41)),TRIM($J41)="")),"△ Decided with no date or no decider",IF(AND($I41="Raised",$C41&lt;&gt;""),"△ Raised, but it has a decision date",IF(AND($I41="Approved",TRIM($L41)=""),"△ Approved, not applied to the Baselined cells",IF(AND($I41="Raised",Baseline!$K$5-IF(ISNUMBER($B41),$B41,Baseline!$K$5)&gt;14),"△ Raised for more than 14 days",IF($Q41=1,"△ Past the Owner's limit and no sponsor agreed","○ Clear"))))))))))))</f>
        <v/>
      </c>
      <c r="Q41" s="24">
        <f>IF(OR(COUNTA($A41:$M41)=0,$I41&lt;&gt;"Approved"),0,IF(AND(OR(AND(ISNUMBER(Baseline!$C$16),N($G41)&gt;0,SUMPRODUCT(--($I$6:$I41="Approved"),$G$6:$G41)&gt;Baseline!$C$16),AND(ISNUMBER(Baseline!$C$15),N($H41)&gt;0,SUMPRODUCT(--($I$6:$I41="Approved"),--($E$6:$E41=$E41),$H$6:$H41)&gt;Baseline!$C$15)),OR(TRIM(Baseline!$C$8)="",TRIM(Baseline!$C$8)="Not yet named",TRIM($K41)&lt;&gt;TRIM(Baseline!$C$8))),1,0))</f>
        <v/>
      </c>
      <c r="R41" s="24">
        <f>IF(AND(LEFT($N41,1)="△",LEFT($N41,LEN("△ Past"))&lt;&gt;"△ Past"),1,0)</f>
        <v/>
      </c>
    </row>
    <row r="42">
      <c r="A42" s="25" t="n"/>
      <c r="B42" s="38" t="n"/>
      <c r="C42" s="38" t="n"/>
      <c r="D42" s="23" t="n"/>
      <c r="E42" s="41" t="n"/>
      <c r="F42" s="35" t="n"/>
      <c r="G42" s="26" t="n"/>
      <c r="H42" s="42" t="n"/>
      <c r="I42" s="35" t="n"/>
      <c r="J42" s="23" t="n"/>
      <c r="K42" s="23" t="n"/>
      <c r="L42" s="35" t="n"/>
      <c r="M42" s="23" t="n"/>
      <c r="N42" s="28">
        <f>IF(COUNTA($A42:$M42)=0,"",IF(AND(TRIM($A42)&lt;&gt;"",SUMPRODUCT(--($A$6:$A$55=$A42))&gt;1),"△ Number used twice",IF(TRIM($A42)="","△ No number",IF(OR(TRIM($F42)="",NOT(ISNUMBER($G42)),NOT(ISNUMBER($H42))),"△ Say what it does to scope, cost and date (0 is an answer)",IF(ISERROR(MATCH($I42,{"Raised","Approved","Rejected","Returned","Withdrawn"},0)),"△ No status",IF(AND($I42="Approved",LEFT(TRIM($A42),3)&lt;&gt;"CH-"),"△ An approved change is numbered CH",IF(AND($I42&lt;&gt;"Approved",LEFT(TRIM($A42),3)="CH-"),"△ A request is numbered CR until it is approved",IF(AND($I42&lt;&gt;"Raised",OR(NOT(ISNUMBER($C42)),TRIM($J42)="")),"△ Decided with no date or no decider",IF(AND($I42="Raised",$C42&lt;&gt;""),"△ Raised, but it has a decision date",IF(AND($I42="Approved",TRIM($L42)=""),"△ Approved, not applied to the Baselined cells",IF(AND($I42="Raised",Baseline!$K$5-IF(ISNUMBER($B42),$B42,Baseline!$K$5)&gt;14),"△ Raised for more than 14 days",IF($Q42=1,"△ Past the Owner's limit and no sponsor agreed","○ Clear"))))))))))))</f>
        <v/>
      </c>
      <c r="Q42" s="24">
        <f>IF(OR(COUNTA($A42:$M42)=0,$I42&lt;&gt;"Approved"),0,IF(AND(OR(AND(ISNUMBER(Baseline!$C$16),N($G42)&gt;0,SUMPRODUCT(--($I$6:$I42="Approved"),$G$6:$G42)&gt;Baseline!$C$16),AND(ISNUMBER(Baseline!$C$15),N($H42)&gt;0,SUMPRODUCT(--($I$6:$I42="Approved"),--($E$6:$E42=$E42),$H$6:$H42)&gt;Baseline!$C$15)),OR(TRIM(Baseline!$C$8)="",TRIM(Baseline!$C$8)="Not yet named",TRIM($K42)&lt;&gt;TRIM(Baseline!$C$8))),1,0))</f>
        <v/>
      </c>
      <c r="R42" s="24">
        <f>IF(AND(LEFT($N42,1)="△",LEFT($N42,LEN("△ Past"))&lt;&gt;"△ Past"),1,0)</f>
        <v/>
      </c>
    </row>
    <row r="43">
      <c r="A43" s="25" t="n"/>
      <c r="B43" s="38" t="n"/>
      <c r="C43" s="38" t="n"/>
      <c r="D43" s="23" t="n"/>
      <c r="E43" s="41" t="n"/>
      <c r="F43" s="35" t="n"/>
      <c r="G43" s="26" t="n"/>
      <c r="H43" s="42" t="n"/>
      <c r="I43" s="35" t="n"/>
      <c r="J43" s="23" t="n"/>
      <c r="K43" s="23" t="n"/>
      <c r="L43" s="35" t="n"/>
      <c r="M43" s="23" t="n"/>
      <c r="N43" s="28">
        <f>IF(COUNTA($A43:$M43)=0,"",IF(AND(TRIM($A43)&lt;&gt;"",SUMPRODUCT(--($A$6:$A$55=$A43))&gt;1),"△ Number used twice",IF(TRIM($A43)="","△ No number",IF(OR(TRIM($F43)="",NOT(ISNUMBER($G43)),NOT(ISNUMBER($H43))),"△ Say what it does to scope, cost and date (0 is an answer)",IF(ISERROR(MATCH($I43,{"Raised","Approved","Rejected","Returned","Withdrawn"},0)),"△ No status",IF(AND($I43="Approved",LEFT(TRIM($A43),3)&lt;&gt;"CH-"),"△ An approved change is numbered CH",IF(AND($I43&lt;&gt;"Approved",LEFT(TRIM($A43),3)="CH-"),"△ A request is numbered CR until it is approved",IF(AND($I43&lt;&gt;"Raised",OR(NOT(ISNUMBER($C43)),TRIM($J43)="")),"△ Decided with no date or no decider",IF(AND($I43="Raised",$C43&lt;&gt;""),"△ Raised, but it has a decision date",IF(AND($I43="Approved",TRIM($L43)=""),"△ Approved, not applied to the Baselined cells",IF(AND($I43="Raised",Baseline!$K$5-IF(ISNUMBER($B43),$B43,Baseline!$K$5)&gt;14),"△ Raised for more than 14 days",IF($Q43=1,"△ Past the Owner's limit and no sponsor agreed","○ Clear"))))))))))))</f>
        <v/>
      </c>
      <c r="Q43" s="24">
        <f>IF(OR(COUNTA($A43:$M43)=0,$I43&lt;&gt;"Approved"),0,IF(AND(OR(AND(ISNUMBER(Baseline!$C$16),N($G43)&gt;0,SUMPRODUCT(--($I$6:$I43="Approved"),$G$6:$G43)&gt;Baseline!$C$16),AND(ISNUMBER(Baseline!$C$15),N($H43)&gt;0,SUMPRODUCT(--($I$6:$I43="Approved"),--($E$6:$E43=$E43),$H$6:$H43)&gt;Baseline!$C$15)),OR(TRIM(Baseline!$C$8)="",TRIM(Baseline!$C$8)="Not yet named",TRIM($K43)&lt;&gt;TRIM(Baseline!$C$8))),1,0))</f>
        <v/>
      </c>
      <c r="R43" s="24">
        <f>IF(AND(LEFT($N43,1)="△",LEFT($N43,LEN("△ Past"))&lt;&gt;"△ Past"),1,0)</f>
        <v/>
      </c>
    </row>
    <row r="44">
      <c r="A44" s="25" t="n"/>
      <c r="B44" s="38" t="n"/>
      <c r="C44" s="38" t="n"/>
      <c r="D44" s="23" t="n"/>
      <c r="E44" s="41" t="n"/>
      <c r="F44" s="35" t="n"/>
      <c r="G44" s="26" t="n"/>
      <c r="H44" s="42" t="n"/>
      <c r="I44" s="35" t="n"/>
      <c r="J44" s="23" t="n"/>
      <c r="K44" s="23" t="n"/>
      <c r="L44" s="35" t="n"/>
      <c r="M44" s="23" t="n"/>
      <c r="N44" s="28">
        <f>IF(COUNTA($A44:$M44)=0,"",IF(AND(TRIM($A44)&lt;&gt;"",SUMPRODUCT(--($A$6:$A$55=$A44))&gt;1),"△ Number used twice",IF(TRIM($A44)="","△ No number",IF(OR(TRIM($F44)="",NOT(ISNUMBER($G44)),NOT(ISNUMBER($H44))),"△ Say what it does to scope, cost and date (0 is an answer)",IF(ISERROR(MATCH($I44,{"Raised","Approved","Rejected","Returned","Withdrawn"},0)),"△ No status",IF(AND($I44="Approved",LEFT(TRIM($A44),3)&lt;&gt;"CH-"),"△ An approved change is numbered CH",IF(AND($I44&lt;&gt;"Approved",LEFT(TRIM($A44),3)="CH-"),"△ A request is numbered CR until it is approved",IF(AND($I44&lt;&gt;"Raised",OR(NOT(ISNUMBER($C44)),TRIM($J44)="")),"△ Decided with no date or no decider",IF(AND($I44="Raised",$C44&lt;&gt;""),"△ Raised, but it has a decision date",IF(AND($I44="Approved",TRIM($L44)=""),"△ Approved, not applied to the Baselined cells",IF(AND($I44="Raised",Baseline!$K$5-IF(ISNUMBER($B44),$B44,Baseline!$K$5)&gt;14),"△ Raised for more than 14 days",IF($Q44=1,"△ Past the Owner's limit and no sponsor agreed","○ Clear"))))))))))))</f>
        <v/>
      </c>
      <c r="Q44" s="24">
        <f>IF(OR(COUNTA($A44:$M44)=0,$I44&lt;&gt;"Approved"),0,IF(AND(OR(AND(ISNUMBER(Baseline!$C$16),N($G44)&gt;0,SUMPRODUCT(--($I$6:$I44="Approved"),$G$6:$G44)&gt;Baseline!$C$16),AND(ISNUMBER(Baseline!$C$15),N($H44)&gt;0,SUMPRODUCT(--($I$6:$I44="Approved"),--($E$6:$E44=$E44),$H$6:$H44)&gt;Baseline!$C$15)),OR(TRIM(Baseline!$C$8)="",TRIM(Baseline!$C$8)="Not yet named",TRIM($K44)&lt;&gt;TRIM(Baseline!$C$8))),1,0))</f>
        <v/>
      </c>
      <c r="R44" s="24">
        <f>IF(AND(LEFT($N44,1)="△",LEFT($N44,LEN("△ Past"))&lt;&gt;"△ Past"),1,0)</f>
        <v/>
      </c>
    </row>
    <row r="45">
      <c r="A45" s="25" t="n"/>
      <c r="B45" s="38" t="n"/>
      <c r="C45" s="38" t="n"/>
      <c r="D45" s="23" t="n"/>
      <c r="E45" s="41" t="n"/>
      <c r="F45" s="35" t="n"/>
      <c r="G45" s="26" t="n"/>
      <c r="H45" s="42" t="n"/>
      <c r="I45" s="35" t="n"/>
      <c r="J45" s="23" t="n"/>
      <c r="K45" s="23" t="n"/>
      <c r="L45" s="35" t="n"/>
      <c r="M45" s="23" t="n"/>
      <c r="N45" s="28">
        <f>IF(COUNTA($A45:$M45)=0,"",IF(AND(TRIM($A45)&lt;&gt;"",SUMPRODUCT(--($A$6:$A$55=$A45))&gt;1),"△ Number used twice",IF(TRIM($A45)="","△ No number",IF(OR(TRIM($F45)="",NOT(ISNUMBER($G45)),NOT(ISNUMBER($H45))),"△ Say what it does to scope, cost and date (0 is an answer)",IF(ISERROR(MATCH($I45,{"Raised","Approved","Rejected","Returned","Withdrawn"},0)),"△ No status",IF(AND($I45="Approved",LEFT(TRIM($A45),3)&lt;&gt;"CH-"),"△ An approved change is numbered CH",IF(AND($I45&lt;&gt;"Approved",LEFT(TRIM($A45),3)="CH-"),"△ A request is numbered CR until it is approved",IF(AND($I45&lt;&gt;"Raised",OR(NOT(ISNUMBER($C45)),TRIM($J45)="")),"△ Decided with no date or no decider",IF(AND($I45="Raised",$C45&lt;&gt;""),"△ Raised, but it has a decision date",IF(AND($I45="Approved",TRIM($L45)=""),"△ Approved, not applied to the Baselined cells",IF(AND($I45="Raised",Baseline!$K$5-IF(ISNUMBER($B45),$B45,Baseline!$K$5)&gt;14),"△ Raised for more than 14 days",IF($Q45=1,"△ Past the Owner's limit and no sponsor agreed","○ Clear"))))))))))))</f>
        <v/>
      </c>
      <c r="Q45" s="24">
        <f>IF(OR(COUNTA($A45:$M45)=0,$I45&lt;&gt;"Approved"),0,IF(AND(OR(AND(ISNUMBER(Baseline!$C$16),N($G45)&gt;0,SUMPRODUCT(--($I$6:$I45="Approved"),$G$6:$G45)&gt;Baseline!$C$16),AND(ISNUMBER(Baseline!$C$15),N($H45)&gt;0,SUMPRODUCT(--($I$6:$I45="Approved"),--($E$6:$E45=$E45),$H$6:$H45)&gt;Baseline!$C$15)),OR(TRIM(Baseline!$C$8)="",TRIM(Baseline!$C$8)="Not yet named",TRIM($K45)&lt;&gt;TRIM(Baseline!$C$8))),1,0))</f>
        <v/>
      </c>
      <c r="R45" s="24">
        <f>IF(AND(LEFT($N45,1)="△",LEFT($N45,LEN("△ Past"))&lt;&gt;"△ Past"),1,0)</f>
        <v/>
      </c>
    </row>
    <row r="46">
      <c r="A46" s="25" t="n"/>
      <c r="B46" s="38" t="n"/>
      <c r="C46" s="38" t="n"/>
      <c r="D46" s="23" t="n"/>
      <c r="E46" s="41" t="n"/>
      <c r="F46" s="35" t="n"/>
      <c r="G46" s="26" t="n"/>
      <c r="H46" s="42" t="n"/>
      <c r="I46" s="35" t="n"/>
      <c r="J46" s="23" t="n"/>
      <c r="K46" s="23" t="n"/>
      <c r="L46" s="35" t="n"/>
      <c r="M46" s="23" t="n"/>
      <c r="N46" s="28">
        <f>IF(COUNTA($A46:$M46)=0,"",IF(AND(TRIM($A46)&lt;&gt;"",SUMPRODUCT(--($A$6:$A$55=$A46))&gt;1),"△ Number used twice",IF(TRIM($A46)="","△ No number",IF(OR(TRIM($F46)="",NOT(ISNUMBER($G46)),NOT(ISNUMBER($H46))),"△ Say what it does to scope, cost and date (0 is an answer)",IF(ISERROR(MATCH($I46,{"Raised","Approved","Rejected","Returned","Withdrawn"},0)),"△ No status",IF(AND($I46="Approved",LEFT(TRIM($A46),3)&lt;&gt;"CH-"),"△ An approved change is numbered CH",IF(AND($I46&lt;&gt;"Approved",LEFT(TRIM($A46),3)="CH-"),"△ A request is numbered CR until it is approved",IF(AND($I46&lt;&gt;"Raised",OR(NOT(ISNUMBER($C46)),TRIM($J46)="")),"△ Decided with no date or no decider",IF(AND($I46="Raised",$C46&lt;&gt;""),"△ Raised, but it has a decision date",IF(AND($I46="Approved",TRIM($L46)=""),"△ Approved, not applied to the Baselined cells",IF(AND($I46="Raised",Baseline!$K$5-IF(ISNUMBER($B46),$B46,Baseline!$K$5)&gt;14),"△ Raised for more than 14 days",IF($Q46=1,"△ Past the Owner's limit and no sponsor agreed","○ Clear"))))))))))))</f>
        <v/>
      </c>
      <c r="Q46" s="24">
        <f>IF(OR(COUNTA($A46:$M46)=0,$I46&lt;&gt;"Approved"),0,IF(AND(OR(AND(ISNUMBER(Baseline!$C$16),N($G46)&gt;0,SUMPRODUCT(--($I$6:$I46="Approved"),$G$6:$G46)&gt;Baseline!$C$16),AND(ISNUMBER(Baseline!$C$15),N($H46)&gt;0,SUMPRODUCT(--($I$6:$I46="Approved"),--($E$6:$E46=$E46),$H$6:$H46)&gt;Baseline!$C$15)),OR(TRIM(Baseline!$C$8)="",TRIM(Baseline!$C$8)="Not yet named",TRIM($K46)&lt;&gt;TRIM(Baseline!$C$8))),1,0))</f>
        <v/>
      </c>
      <c r="R46" s="24">
        <f>IF(AND(LEFT($N46,1)="△",LEFT($N46,LEN("△ Past"))&lt;&gt;"△ Past"),1,0)</f>
        <v/>
      </c>
    </row>
    <row r="47">
      <c r="A47" s="25" t="n"/>
      <c r="B47" s="38" t="n"/>
      <c r="C47" s="38" t="n"/>
      <c r="D47" s="23" t="n"/>
      <c r="E47" s="41" t="n"/>
      <c r="F47" s="35" t="n"/>
      <c r="G47" s="26" t="n"/>
      <c r="H47" s="42" t="n"/>
      <c r="I47" s="35" t="n"/>
      <c r="J47" s="23" t="n"/>
      <c r="K47" s="23" t="n"/>
      <c r="L47" s="35" t="n"/>
      <c r="M47" s="23" t="n"/>
      <c r="N47" s="28">
        <f>IF(COUNTA($A47:$M47)=0,"",IF(AND(TRIM($A47)&lt;&gt;"",SUMPRODUCT(--($A$6:$A$55=$A47))&gt;1),"△ Number used twice",IF(TRIM($A47)="","△ No number",IF(OR(TRIM($F47)="",NOT(ISNUMBER($G47)),NOT(ISNUMBER($H47))),"△ Say what it does to scope, cost and date (0 is an answer)",IF(ISERROR(MATCH($I47,{"Raised","Approved","Rejected","Returned","Withdrawn"},0)),"△ No status",IF(AND($I47="Approved",LEFT(TRIM($A47),3)&lt;&gt;"CH-"),"△ An approved change is numbered CH",IF(AND($I47&lt;&gt;"Approved",LEFT(TRIM($A47),3)="CH-"),"△ A request is numbered CR until it is approved",IF(AND($I47&lt;&gt;"Raised",OR(NOT(ISNUMBER($C47)),TRIM($J47)="")),"△ Decided with no date or no decider",IF(AND($I47="Raised",$C47&lt;&gt;""),"△ Raised, but it has a decision date",IF(AND($I47="Approved",TRIM($L47)=""),"△ Approved, not applied to the Baselined cells",IF(AND($I47="Raised",Baseline!$K$5-IF(ISNUMBER($B47),$B47,Baseline!$K$5)&gt;14),"△ Raised for more than 14 days",IF($Q47=1,"△ Past the Owner's limit and no sponsor agreed","○ Clear"))))))))))))</f>
        <v/>
      </c>
      <c r="Q47" s="24">
        <f>IF(OR(COUNTA($A47:$M47)=0,$I47&lt;&gt;"Approved"),0,IF(AND(OR(AND(ISNUMBER(Baseline!$C$16),N($G47)&gt;0,SUMPRODUCT(--($I$6:$I47="Approved"),$G$6:$G47)&gt;Baseline!$C$16),AND(ISNUMBER(Baseline!$C$15),N($H47)&gt;0,SUMPRODUCT(--($I$6:$I47="Approved"),--($E$6:$E47=$E47),$H$6:$H47)&gt;Baseline!$C$15)),OR(TRIM(Baseline!$C$8)="",TRIM(Baseline!$C$8)="Not yet named",TRIM($K47)&lt;&gt;TRIM(Baseline!$C$8))),1,0))</f>
        <v/>
      </c>
      <c r="R47" s="24">
        <f>IF(AND(LEFT($N47,1)="△",LEFT($N47,LEN("△ Past"))&lt;&gt;"△ Past"),1,0)</f>
        <v/>
      </c>
    </row>
    <row r="48">
      <c r="A48" s="25" t="n"/>
      <c r="B48" s="38" t="n"/>
      <c r="C48" s="38" t="n"/>
      <c r="D48" s="23" t="n"/>
      <c r="E48" s="41" t="n"/>
      <c r="F48" s="35" t="n"/>
      <c r="G48" s="26" t="n"/>
      <c r="H48" s="42" t="n"/>
      <c r="I48" s="35" t="n"/>
      <c r="J48" s="23" t="n"/>
      <c r="K48" s="23" t="n"/>
      <c r="L48" s="35" t="n"/>
      <c r="M48" s="23" t="n"/>
      <c r="N48" s="28">
        <f>IF(COUNTA($A48:$M48)=0,"",IF(AND(TRIM($A48)&lt;&gt;"",SUMPRODUCT(--($A$6:$A$55=$A48))&gt;1),"△ Number used twice",IF(TRIM($A48)="","△ No number",IF(OR(TRIM($F48)="",NOT(ISNUMBER($G48)),NOT(ISNUMBER($H48))),"△ Say what it does to scope, cost and date (0 is an answer)",IF(ISERROR(MATCH($I48,{"Raised","Approved","Rejected","Returned","Withdrawn"},0)),"△ No status",IF(AND($I48="Approved",LEFT(TRIM($A48),3)&lt;&gt;"CH-"),"△ An approved change is numbered CH",IF(AND($I48&lt;&gt;"Approved",LEFT(TRIM($A48),3)="CH-"),"△ A request is numbered CR until it is approved",IF(AND($I48&lt;&gt;"Raised",OR(NOT(ISNUMBER($C48)),TRIM($J48)="")),"△ Decided with no date or no decider",IF(AND($I48="Raised",$C48&lt;&gt;""),"△ Raised, but it has a decision date",IF(AND($I48="Approved",TRIM($L48)=""),"△ Approved, not applied to the Baselined cells",IF(AND($I48="Raised",Baseline!$K$5-IF(ISNUMBER($B48),$B48,Baseline!$K$5)&gt;14),"△ Raised for more than 14 days",IF($Q48=1,"△ Past the Owner's limit and no sponsor agreed","○ Clear"))))))))))))</f>
        <v/>
      </c>
      <c r="Q48" s="24">
        <f>IF(OR(COUNTA($A48:$M48)=0,$I48&lt;&gt;"Approved"),0,IF(AND(OR(AND(ISNUMBER(Baseline!$C$16),N($G48)&gt;0,SUMPRODUCT(--($I$6:$I48="Approved"),$G$6:$G48)&gt;Baseline!$C$16),AND(ISNUMBER(Baseline!$C$15),N($H48)&gt;0,SUMPRODUCT(--($I$6:$I48="Approved"),--($E$6:$E48=$E48),$H$6:$H48)&gt;Baseline!$C$15)),OR(TRIM(Baseline!$C$8)="",TRIM(Baseline!$C$8)="Not yet named",TRIM($K48)&lt;&gt;TRIM(Baseline!$C$8))),1,0))</f>
        <v/>
      </c>
      <c r="R48" s="24">
        <f>IF(AND(LEFT($N48,1)="△",LEFT($N48,LEN("△ Past"))&lt;&gt;"△ Past"),1,0)</f>
        <v/>
      </c>
    </row>
    <row r="49">
      <c r="A49" s="25" t="n"/>
      <c r="B49" s="38" t="n"/>
      <c r="C49" s="38" t="n"/>
      <c r="D49" s="23" t="n"/>
      <c r="E49" s="41" t="n"/>
      <c r="F49" s="35" t="n"/>
      <c r="G49" s="26" t="n"/>
      <c r="H49" s="42" t="n"/>
      <c r="I49" s="35" t="n"/>
      <c r="J49" s="23" t="n"/>
      <c r="K49" s="23" t="n"/>
      <c r="L49" s="35" t="n"/>
      <c r="M49" s="23" t="n"/>
      <c r="N49" s="28">
        <f>IF(COUNTA($A49:$M49)=0,"",IF(AND(TRIM($A49)&lt;&gt;"",SUMPRODUCT(--($A$6:$A$55=$A49))&gt;1),"△ Number used twice",IF(TRIM($A49)="","△ No number",IF(OR(TRIM($F49)="",NOT(ISNUMBER($G49)),NOT(ISNUMBER($H49))),"△ Say what it does to scope, cost and date (0 is an answer)",IF(ISERROR(MATCH($I49,{"Raised","Approved","Rejected","Returned","Withdrawn"},0)),"△ No status",IF(AND($I49="Approved",LEFT(TRIM($A49),3)&lt;&gt;"CH-"),"△ An approved change is numbered CH",IF(AND($I49&lt;&gt;"Approved",LEFT(TRIM($A49),3)="CH-"),"△ A request is numbered CR until it is approved",IF(AND($I49&lt;&gt;"Raised",OR(NOT(ISNUMBER($C49)),TRIM($J49)="")),"△ Decided with no date or no decider",IF(AND($I49="Raised",$C49&lt;&gt;""),"△ Raised, but it has a decision date",IF(AND($I49="Approved",TRIM($L49)=""),"△ Approved, not applied to the Baselined cells",IF(AND($I49="Raised",Baseline!$K$5-IF(ISNUMBER($B49),$B49,Baseline!$K$5)&gt;14),"△ Raised for more than 14 days",IF($Q49=1,"△ Past the Owner's limit and no sponsor agreed","○ Clear"))))))))))))</f>
        <v/>
      </c>
      <c r="Q49" s="24">
        <f>IF(OR(COUNTA($A49:$M49)=0,$I49&lt;&gt;"Approved"),0,IF(AND(OR(AND(ISNUMBER(Baseline!$C$16),N($G49)&gt;0,SUMPRODUCT(--($I$6:$I49="Approved"),$G$6:$G49)&gt;Baseline!$C$16),AND(ISNUMBER(Baseline!$C$15),N($H49)&gt;0,SUMPRODUCT(--($I$6:$I49="Approved"),--($E$6:$E49=$E49),$H$6:$H49)&gt;Baseline!$C$15)),OR(TRIM(Baseline!$C$8)="",TRIM(Baseline!$C$8)="Not yet named",TRIM($K49)&lt;&gt;TRIM(Baseline!$C$8))),1,0))</f>
        <v/>
      </c>
      <c r="R49" s="24">
        <f>IF(AND(LEFT($N49,1)="△",LEFT($N49,LEN("△ Past"))&lt;&gt;"△ Past"),1,0)</f>
        <v/>
      </c>
    </row>
    <row r="50">
      <c r="A50" s="25" t="n"/>
      <c r="B50" s="38" t="n"/>
      <c r="C50" s="38" t="n"/>
      <c r="D50" s="23" t="n"/>
      <c r="E50" s="41" t="n"/>
      <c r="F50" s="35" t="n"/>
      <c r="G50" s="26" t="n"/>
      <c r="H50" s="42" t="n"/>
      <c r="I50" s="35" t="n"/>
      <c r="J50" s="23" t="n"/>
      <c r="K50" s="23" t="n"/>
      <c r="L50" s="35" t="n"/>
      <c r="M50" s="23" t="n"/>
      <c r="N50" s="28">
        <f>IF(COUNTA($A50:$M50)=0,"",IF(AND(TRIM($A50)&lt;&gt;"",SUMPRODUCT(--($A$6:$A$55=$A50))&gt;1),"△ Number used twice",IF(TRIM($A50)="","△ No number",IF(OR(TRIM($F50)="",NOT(ISNUMBER($G50)),NOT(ISNUMBER($H50))),"△ Say what it does to scope, cost and date (0 is an answer)",IF(ISERROR(MATCH($I50,{"Raised","Approved","Rejected","Returned","Withdrawn"},0)),"△ No status",IF(AND($I50="Approved",LEFT(TRIM($A50),3)&lt;&gt;"CH-"),"△ An approved change is numbered CH",IF(AND($I50&lt;&gt;"Approved",LEFT(TRIM($A50),3)="CH-"),"△ A request is numbered CR until it is approved",IF(AND($I50&lt;&gt;"Raised",OR(NOT(ISNUMBER($C50)),TRIM($J50)="")),"△ Decided with no date or no decider",IF(AND($I50="Raised",$C50&lt;&gt;""),"△ Raised, but it has a decision date",IF(AND($I50="Approved",TRIM($L50)=""),"△ Approved, not applied to the Baselined cells",IF(AND($I50="Raised",Baseline!$K$5-IF(ISNUMBER($B50),$B50,Baseline!$K$5)&gt;14),"△ Raised for more than 14 days",IF($Q50=1,"△ Past the Owner's limit and no sponsor agreed","○ Clear"))))))))))))</f>
        <v/>
      </c>
      <c r="Q50" s="24">
        <f>IF(OR(COUNTA($A50:$M50)=0,$I50&lt;&gt;"Approved"),0,IF(AND(OR(AND(ISNUMBER(Baseline!$C$16),N($G50)&gt;0,SUMPRODUCT(--($I$6:$I50="Approved"),$G$6:$G50)&gt;Baseline!$C$16),AND(ISNUMBER(Baseline!$C$15),N($H50)&gt;0,SUMPRODUCT(--($I$6:$I50="Approved"),--($E$6:$E50=$E50),$H$6:$H50)&gt;Baseline!$C$15)),OR(TRIM(Baseline!$C$8)="",TRIM(Baseline!$C$8)="Not yet named",TRIM($K50)&lt;&gt;TRIM(Baseline!$C$8))),1,0))</f>
        <v/>
      </c>
      <c r="R50" s="24">
        <f>IF(AND(LEFT($N50,1)="△",LEFT($N50,LEN("△ Past"))&lt;&gt;"△ Past"),1,0)</f>
        <v/>
      </c>
    </row>
    <row r="51">
      <c r="A51" s="25" t="n"/>
      <c r="B51" s="38" t="n"/>
      <c r="C51" s="38" t="n"/>
      <c r="D51" s="23" t="n"/>
      <c r="E51" s="41" t="n"/>
      <c r="F51" s="35" t="n"/>
      <c r="G51" s="26" t="n"/>
      <c r="H51" s="42" t="n"/>
      <c r="I51" s="35" t="n"/>
      <c r="J51" s="23" t="n"/>
      <c r="K51" s="23" t="n"/>
      <c r="L51" s="35" t="n"/>
      <c r="M51" s="23" t="n"/>
      <c r="N51" s="28">
        <f>IF(COUNTA($A51:$M51)=0,"",IF(AND(TRIM($A51)&lt;&gt;"",SUMPRODUCT(--($A$6:$A$55=$A51))&gt;1),"△ Number used twice",IF(TRIM($A51)="","△ No number",IF(OR(TRIM($F51)="",NOT(ISNUMBER($G51)),NOT(ISNUMBER($H51))),"△ Say what it does to scope, cost and date (0 is an answer)",IF(ISERROR(MATCH($I51,{"Raised","Approved","Rejected","Returned","Withdrawn"},0)),"△ No status",IF(AND($I51="Approved",LEFT(TRIM($A51),3)&lt;&gt;"CH-"),"△ An approved change is numbered CH",IF(AND($I51&lt;&gt;"Approved",LEFT(TRIM($A51),3)="CH-"),"△ A request is numbered CR until it is approved",IF(AND($I51&lt;&gt;"Raised",OR(NOT(ISNUMBER($C51)),TRIM($J51)="")),"△ Decided with no date or no decider",IF(AND($I51="Raised",$C51&lt;&gt;""),"△ Raised, but it has a decision date",IF(AND($I51="Approved",TRIM($L51)=""),"△ Approved, not applied to the Baselined cells",IF(AND($I51="Raised",Baseline!$K$5-IF(ISNUMBER($B51),$B51,Baseline!$K$5)&gt;14),"△ Raised for more than 14 days",IF($Q51=1,"△ Past the Owner's limit and no sponsor agreed","○ Clear"))))))))))))</f>
        <v/>
      </c>
      <c r="Q51" s="24">
        <f>IF(OR(COUNTA($A51:$M51)=0,$I51&lt;&gt;"Approved"),0,IF(AND(OR(AND(ISNUMBER(Baseline!$C$16),N($G51)&gt;0,SUMPRODUCT(--($I$6:$I51="Approved"),$G$6:$G51)&gt;Baseline!$C$16),AND(ISNUMBER(Baseline!$C$15),N($H51)&gt;0,SUMPRODUCT(--($I$6:$I51="Approved"),--($E$6:$E51=$E51),$H$6:$H51)&gt;Baseline!$C$15)),OR(TRIM(Baseline!$C$8)="",TRIM(Baseline!$C$8)="Not yet named",TRIM($K51)&lt;&gt;TRIM(Baseline!$C$8))),1,0))</f>
        <v/>
      </c>
      <c r="R51" s="24">
        <f>IF(AND(LEFT($N51,1)="△",LEFT($N51,LEN("△ Past"))&lt;&gt;"△ Past"),1,0)</f>
        <v/>
      </c>
    </row>
    <row r="52">
      <c r="A52" s="25" t="n"/>
      <c r="B52" s="38" t="n"/>
      <c r="C52" s="38" t="n"/>
      <c r="D52" s="23" t="n"/>
      <c r="E52" s="41" t="n"/>
      <c r="F52" s="35" t="n"/>
      <c r="G52" s="26" t="n"/>
      <c r="H52" s="42" t="n"/>
      <c r="I52" s="35" t="n"/>
      <c r="J52" s="23" t="n"/>
      <c r="K52" s="23" t="n"/>
      <c r="L52" s="35" t="n"/>
      <c r="M52" s="23" t="n"/>
      <c r="N52" s="28">
        <f>IF(COUNTA($A52:$M52)=0,"",IF(AND(TRIM($A52)&lt;&gt;"",SUMPRODUCT(--($A$6:$A$55=$A52))&gt;1),"△ Number used twice",IF(TRIM($A52)="","△ No number",IF(OR(TRIM($F52)="",NOT(ISNUMBER($G52)),NOT(ISNUMBER($H52))),"△ Say what it does to scope, cost and date (0 is an answer)",IF(ISERROR(MATCH($I52,{"Raised","Approved","Rejected","Returned","Withdrawn"},0)),"△ No status",IF(AND($I52="Approved",LEFT(TRIM($A52),3)&lt;&gt;"CH-"),"△ An approved change is numbered CH",IF(AND($I52&lt;&gt;"Approved",LEFT(TRIM($A52),3)="CH-"),"△ A request is numbered CR until it is approved",IF(AND($I52&lt;&gt;"Raised",OR(NOT(ISNUMBER($C52)),TRIM($J52)="")),"△ Decided with no date or no decider",IF(AND($I52="Raised",$C52&lt;&gt;""),"△ Raised, but it has a decision date",IF(AND($I52="Approved",TRIM($L52)=""),"△ Approved, not applied to the Baselined cells",IF(AND($I52="Raised",Baseline!$K$5-IF(ISNUMBER($B52),$B52,Baseline!$K$5)&gt;14),"△ Raised for more than 14 days",IF($Q52=1,"△ Past the Owner's limit and no sponsor agreed","○ Clear"))))))))))))</f>
        <v/>
      </c>
      <c r="Q52" s="24">
        <f>IF(OR(COUNTA($A52:$M52)=0,$I52&lt;&gt;"Approved"),0,IF(AND(OR(AND(ISNUMBER(Baseline!$C$16),N($G52)&gt;0,SUMPRODUCT(--($I$6:$I52="Approved"),$G$6:$G52)&gt;Baseline!$C$16),AND(ISNUMBER(Baseline!$C$15),N($H52)&gt;0,SUMPRODUCT(--($I$6:$I52="Approved"),--($E$6:$E52=$E52),$H$6:$H52)&gt;Baseline!$C$15)),OR(TRIM(Baseline!$C$8)="",TRIM(Baseline!$C$8)="Not yet named",TRIM($K52)&lt;&gt;TRIM(Baseline!$C$8))),1,0))</f>
        <v/>
      </c>
      <c r="R52" s="24">
        <f>IF(AND(LEFT($N52,1)="△",LEFT($N52,LEN("△ Past"))&lt;&gt;"△ Past"),1,0)</f>
        <v/>
      </c>
    </row>
    <row r="53">
      <c r="A53" s="25" t="n"/>
      <c r="B53" s="38" t="n"/>
      <c r="C53" s="38" t="n"/>
      <c r="D53" s="23" t="n"/>
      <c r="E53" s="41" t="n"/>
      <c r="F53" s="35" t="n"/>
      <c r="G53" s="26" t="n"/>
      <c r="H53" s="42" t="n"/>
      <c r="I53" s="35" t="n"/>
      <c r="J53" s="23" t="n"/>
      <c r="K53" s="23" t="n"/>
      <c r="L53" s="35" t="n"/>
      <c r="M53" s="23" t="n"/>
      <c r="N53" s="28">
        <f>IF(COUNTA($A53:$M53)=0,"",IF(AND(TRIM($A53)&lt;&gt;"",SUMPRODUCT(--($A$6:$A$55=$A53))&gt;1),"△ Number used twice",IF(TRIM($A53)="","△ No number",IF(OR(TRIM($F53)="",NOT(ISNUMBER($G53)),NOT(ISNUMBER($H53))),"△ Say what it does to scope, cost and date (0 is an answer)",IF(ISERROR(MATCH($I53,{"Raised","Approved","Rejected","Returned","Withdrawn"},0)),"△ No status",IF(AND($I53="Approved",LEFT(TRIM($A53),3)&lt;&gt;"CH-"),"△ An approved change is numbered CH",IF(AND($I53&lt;&gt;"Approved",LEFT(TRIM($A53),3)="CH-"),"△ A request is numbered CR until it is approved",IF(AND($I53&lt;&gt;"Raised",OR(NOT(ISNUMBER($C53)),TRIM($J53)="")),"△ Decided with no date or no decider",IF(AND($I53="Raised",$C53&lt;&gt;""),"△ Raised, but it has a decision date",IF(AND($I53="Approved",TRIM($L53)=""),"△ Approved, not applied to the Baselined cells",IF(AND($I53="Raised",Baseline!$K$5-IF(ISNUMBER($B53),$B53,Baseline!$K$5)&gt;14),"△ Raised for more than 14 days",IF($Q53=1,"△ Past the Owner's limit and no sponsor agreed","○ Clear"))))))))))))</f>
        <v/>
      </c>
      <c r="Q53" s="24">
        <f>IF(OR(COUNTA($A53:$M53)=0,$I53&lt;&gt;"Approved"),0,IF(AND(OR(AND(ISNUMBER(Baseline!$C$16),N($G53)&gt;0,SUMPRODUCT(--($I$6:$I53="Approved"),$G$6:$G53)&gt;Baseline!$C$16),AND(ISNUMBER(Baseline!$C$15),N($H53)&gt;0,SUMPRODUCT(--($I$6:$I53="Approved"),--($E$6:$E53=$E53),$H$6:$H53)&gt;Baseline!$C$15)),OR(TRIM(Baseline!$C$8)="",TRIM(Baseline!$C$8)="Not yet named",TRIM($K53)&lt;&gt;TRIM(Baseline!$C$8))),1,0))</f>
        <v/>
      </c>
      <c r="R53" s="24">
        <f>IF(AND(LEFT($N53,1)="△",LEFT($N53,LEN("△ Past"))&lt;&gt;"△ Past"),1,0)</f>
        <v/>
      </c>
    </row>
    <row r="54">
      <c r="A54" s="25" t="n"/>
      <c r="B54" s="38" t="n"/>
      <c r="C54" s="38" t="n"/>
      <c r="D54" s="23" t="n"/>
      <c r="E54" s="41" t="n"/>
      <c r="F54" s="35" t="n"/>
      <c r="G54" s="26" t="n"/>
      <c r="H54" s="42" t="n"/>
      <c r="I54" s="35" t="n"/>
      <c r="J54" s="23" t="n"/>
      <c r="K54" s="23" t="n"/>
      <c r="L54" s="35" t="n"/>
      <c r="M54" s="23" t="n"/>
      <c r="N54" s="28">
        <f>IF(COUNTA($A54:$M54)=0,"",IF(AND(TRIM($A54)&lt;&gt;"",SUMPRODUCT(--($A$6:$A$55=$A54))&gt;1),"△ Number used twice",IF(TRIM($A54)="","△ No number",IF(OR(TRIM($F54)="",NOT(ISNUMBER($G54)),NOT(ISNUMBER($H54))),"△ Say what it does to scope, cost and date (0 is an answer)",IF(ISERROR(MATCH($I54,{"Raised","Approved","Rejected","Returned","Withdrawn"},0)),"△ No status",IF(AND($I54="Approved",LEFT(TRIM($A54),3)&lt;&gt;"CH-"),"△ An approved change is numbered CH",IF(AND($I54&lt;&gt;"Approved",LEFT(TRIM($A54),3)="CH-"),"△ A request is numbered CR until it is approved",IF(AND($I54&lt;&gt;"Raised",OR(NOT(ISNUMBER($C54)),TRIM($J54)="")),"△ Decided with no date or no decider",IF(AND($I54="Raised",$C54&lt;&gt;""),"△ Raised, but it has a decision date",IF(AND($I54="Approved",TRIM($L54)=""),"△ Approved, not applied to the Baselined cells",IF(AND($I54="Raised",Baseline!$K$5-IF(ISNUMBER($B54),$B54,Baseline!$K$5)&gt;14),"△ Raised for more than 14 days",IF($Q54=1,"△ Past the Owner's limit and no sponsor agreed","○ Clear"))))))))))))</f>
        <v/>
      </c>
      <c r="Q54" s="24">
        <f>IF(OR(COUNTA($A54:$M54)=0,$I54&lt;&gt;"Approved"),0,IF(AND(OR(AND(ISNUMBER(Baseline!$C$16),N($G54)&gt;0,SUMPRODUCT(--($I$6:$I54="Approved"),$G$6:$G54)&gt;Baseline!$C$16),AND(ISNUMBER(Baseline!$C$15),N($H54)&gt;0,SUMPRODUCT(--($I$6:$I54="Approved"),--($E$6:$E54=$E54),$H$6:$H54)&gt;Baseline!$C$15)),OR(TRIM(Baseline!$C$8)="",TRIM(Baseline!$C$8)="Not yet named",TRIM($K54)&lt;&gt;TRIM(Baseline!$C$8))),1,0))</f>
        <v/>
      </c>
      <c r="R54" s="24">
        <f>IF(AND(LEFT($N54,1)="△",LEFT($N54,LEN("△ Past"))&lt;&gt;"△ Past"),1,0)</f>
        <v/>
      </c>
    </row>
    <row r="55">
      <c r="A55" s="25" t="n"/>
      <c r="B55" s="38" t="n"/>
      <c r="C55" s="38" t="n"/>
      <c r="D55" s="23" t="n"/>
      <c r="E55" s="41" t="n"/>
      <c r="F55" s="35" t="n"/>
      <c r="G55" s="26" t="n"/>
      <c r="H55" s="42" t="n"/>
      <c r="I55" s="35" t="n"/>
      <c r="J55" s="23" t="n"/>
      <c r="K55" s="23" t="n"/>
      <c r="L55" s="35" t="n"/>
      <c r="M55" s="23" t="n"/>
      <c r="N55" s="28">
        <f>IF(COUNTA($A55:$M55)=0,"",IF(AND(TRIM($A55)&lt;&gt;"",SUMPRODUCT(--($A$6:$A$55=$A55))&gt;1),"△ Number used twice",IF(TRIM($A55)="","△ No number",IF(OR(TRIM($F55)="",NOT(ISNUMBER($G55)),NOT(ISNUMBER($H55))),"△ Say what it does to scope, cost and date (0 is an answer)",IF(ISERROR(MATCH($I55,{"Raised","Approved","Rejected","Returned","Withdrawn"},0)),"△ No status",IF(AND($I55="Approved",LEFT(TRIM($A55),3)&lt;&gt;"CH-"),"△ An approved change is numbered CH",IF(AND($I55&lt;&gt;"Approved",LEFT(TRIM($A55),3)="CH-"),"△ A request is numbered CR until it is approved",IF(AND($I55&lt;&gt;"Raised",OR(NOT(ISNUMBER($C55)),TRIM($J55)="")),"△ Decided with no date or no decider",IF(AND($I55="Raised",$C55&lt;&gt;""),"△ Raised, but it has a decision date",IF(AND($I55="Approved",TRIM($L55)=""),"△ Approved, not applied to the Baselined cells",IF(AND($I55="Raised",Baseline!$K$5-IF(ISNUMBER($B55),$B55,Baseline!$K$5)&gt;14),"△ Raised for more than 14 days",IF($Q55=1,"△ Past the Owner's limit and no sponsor agreed","○ Clear"))))))))))))</f>
        <v/>
      </c>
      <c r="Q55" s="24">
        <f>IF(OR(COUNTA($A55:$M55)=0,$I55&lt;&gt;"Approved"),0,IF(AND(OR(AND(ISNUMBER(Baseline!$C$16),N($G55)&gt;0,SUMPRODUCT(--($I$6:$I55="Approved"),$G$6:$G55)&gt;Baseline!$C$16),AND(ISNUMBER(Baseline!$C$15),N($H55)&gt;0,SUMPRODUCT(--($I$6:$I55="Approved"),--($E$6:$E55=$E55),$H$6:$H55)&gt;Baseline!$C$15)),OR(TRIM(Baseline!$C$8)="",TRIM(Baseline!$C$8)="Not yet named",TRIM($K55)&lt;&gt;TRIM(Baseline!$C$8))),1,0))</f>
        <v/>
      </c>
      <c r="R55" s="24">
        <f>IF(AND(LEFT($N55,1)="△",LEFT($N55,LEN("△ Past"))&lt;&gt;"△ Past"),1,0)</f>
        <v/>
      </c>
    </row>
  </sheetData>
  <sheetProtection selectLockedCells="0" selectUnlockedCells="0" sheet="1" objects="0" insertRows="1" insertHyperlinks="1" autoFilter="0" scenarios="0" formatColumns="0" deleteColumns="1" insertColumns="1" pivotTables="1" deleteRows="1" formatCells="0" formatRows="0" sort="0"/>
  <autoFilter ref="A5:N55"/>
  <conditionalFormatting sqref="N6:N55">
    <cfRule type="expression" priority="1" dxfId="0" stopIfTrue="0">
      <formula>LEFT($N6,1)="△"</formula>
    </cfRule>
  </conditionalFormatting>
  <dataValidations count="8">
    <dataValidation sqref="A6:A55" showDropDown="0" showInputMessage="0" showErrorMessage="1" allowBlank="1" errorTitle="Check this entry" error="Another change already has this number." type="custom" errorStyle="stop">
      <formula1>SUMPRODUCT(--($A$6:$A$55=A6))=1</formula1>
    </dataValidation>
    <dataValidation sqref="B6:B55" showDropDown="0" showInputMessage="0" showErrorMessage="1" allowBlank="1" errorTitle="Check this entry" error="Type a date, such as 30 Jun 2027." type="date" errorStyle="stop" operator="between">
      <formula1>36526</formula1>
      <formula2>73415</formula2>
    </dataValidation>
    <dataValidation sqref="C6:C55" showDropDown="0" showInputMessage="0" showErrorMessage="1" allowBlank="1" errorTitle="Check this entry" error="Type a date, such as 30 Jun 2027." type="date" errorStyle="stop" operator="between">
      <formula1>36526</formula1>
      <formula2>73415</formula2>
    </dataValidation>
    <dataValidation sqref="D6:D55" showDropDown="0" showInputMessage="0" showErrorMessage="1" allowBlank="1" errorTitle="Check this entry" error="Keep the change to 160 characters." type="textLength" errorStyle="stop" operator="between">
      <formula1>0</formula1>
      <formula2>160</formula2>
    </dataValidation>
    <dataValidation sqref="F6:F55" showDropDown="0" showInputMessage="0" showErrorMessage="1" allowBlank="1" errorTitle="Check this entry" error="Pick None, More, Less or Changed." type="list" errorStyle="stop">
      <formula1>"None,More,Less,Changed"</formula1>
    </dataValidation>
    <dataValidation sqref="G6:H55" showDropDown="0" showInputMessage="0" showErrorMessage="1" allowBlank="1" errorTitle="Check this entry" error="Type a number. 0 is an answer." type="decimal" errorStyle="stop" operator="between">
      <formula1>-1000000000000</formula1>
      <formula2>1000000000000</formula2>
    </dataValidation>
    <dataValidation sqref="I6:I55" showDropDown="0" showInputMessage="0" showErrorMessage="1" allowBlank="1" errorTitle="Check this entry" error="Pick Raised, Approved, Rejected, Returned or Withdrawn." type="list" errorStyle="stop">
      <formula1>"Raised,Approved,Rejected,Returned,Withdrawn"</formula1>
    </dataValidation>
    <dataValidation sqref="L6:L55" showDropDown="0" showInputMessage="0" showErrorMessage="1" allowBlank="1" errorTitle="Check this entry" error="Pick Yes or Nothing to apply." type="list" errorStyle="stop">
      <formula1>"Yes,Nothing to apply"</formula1>
    </dataValidation>
  </dataValidations>
  <pageMargins left="0.3" right="0.3" top="0.5" bottom="0.5" header="0.2" footer="0.2"/>
  <pageSetup orientation="landscape" paperSize="9" scale="100"/>
  <colBreaks count="1" manualBreakCount="1">
    <brk id="8" min="0" max="16383" man="1"/>
  </colBreaks>
  <drawing xmlns:r="http://schemas.openxmlformats.org/officeDocument/2006/relationships" r:id="rId1"/>
  <legacyDrawing xmlns:r="http://schemas.openxmlformats.org/officeDocument/2006/relationships" r:id="anysvml"/>
</worksheet>
</file>

<file path=xl/worksheets/sheet7.xml><?xml version="1.0" encoding="utf-8"?>
<worksheet xmlns="http://schemas.openxmlformats.org/spreadsheetml/2006/main">
  <sheetPr>
    <outlinePr summaryBelow="1" summaryRight="1"/>
    <pageSetUpPr fitToPage="0"/>
  </sheetPr>
  <dimension ref="A1:E15"/>
  <sheetViews>
    <sheetView showGridLines="0" tabSelected="0" workbookViewId="0">
      <selection activeCell="A1" sqref="A1"/>
    </sheetView>
  </sheetViews>
  <sheetFormatPr baseColWidth="8" defaultRowHeight="15"/>
  <cols>
    <col width="17" customWidth="1" min="1" max="1"/>
    <col width="28" customWidth="1" min="2" max="2"/>
    <col width="32" customWidth="1" min="3" max="3"/>
    <col width="24" customWidth="1" min="4" max="4"/>
    <col width="35" customWidth="1" min="5" max="5"/>
  </cols>
  <sheetData>
    <row r="1" ht="36" customHeight="1">
      <c r="B1" s="1" t="inlineStr">
        <is>
          <t>Checks</t>
        </is>
      </c>
    </row>
    <row r="2" ht="18" customHeight="1">
      <c r="A2" s="2">
        <f>IF(TRIM(Baseline!$C$5)="","","Project: "&amp;Baseline!$C$5&amp;IF(TRIM(Baseline!$C$6)="",".",". Sits under: "&amp;Baseline!$C$6&amp;"."))</f>
        <v/>
      </c>
    </row>
    <row r="3" ht="6" customHeight="1"/>
    <row r="4" ht="6" customHeight="1"/>
    <row r="5" ht="20" customHeight="1">
      <c r="A5" s="43">
        <f>IF(COUNTIF($C$7:$C$15,"Not done*")=9,"Nothing typed yet.",SUM('Work breakdown'!$K$6:$K$65)&amp;" of 60 items, "&amp;SUM(Estimates!$M$6:$M$45)&amp;" of 40 estimates, "&amp;SUM(Schedule!$R$6:$R$44)&amp;" of 39 dates, "&amp;SUMPRODUCT(--(Changes!$N$6:$N$55&lt;&gt;""))&amp;" of 50 changes. "&amp;IF(COUNTIF($C$7:$C$15,"○ Clear")=9,"All nine checks clear.",IF(COUNTIF($C$7:$C$15,"○ Clear")&gt;0,COUNTIF($C$7:$C$15,"○ Clear")&amp;" clear","")&amp;IF(COUNTIF($C$7:$C$15,"△*")&gt;0,IF(COUNTIF($C$7:$C$15,"○ Clear")&gt;0,", ","")&amp;COUNTIF($C$7:$C$15,"△*")&amp;" failing","")&amp;IF(COUNTIF($C$7:$C$15,"Not done*")&gt;0,IF(COUNTIF($C$7:$C$15,"○ Clear")+COUNTIF($C$7:$C$15,"△*")&gt;0,", ","")&amp;COUNTIF($C$7:$C$15,"Not done*")&amp;" not done","")&amp;"."))</f>
        <v/>
      </c>
    </row>
    <row r="6" ht="18" customHeight="1">
      <c r="A6" s="19" t="inlineStr">
        <is>
          <t>#</t>
        </is>
      </c>
      <c r="B6" s="19" t="inlineStr">
        <is>
          <t>Check</t>
        </is>
      </c>
      <c r="C6" s="21" t="inlineStr">
        <is>
          <t>Result</t>
        </is>
      </c>
      <c r="D6" s="21" t="inlineStr">
        <is>
          <t>First at</t>
        </is>
      </c>
      <c r="E6" s="19" t="inlineStr">
        <is>
          <t>What to do</t>
        </is>
      </c>
    </row>
    <row r="7" ht="71" customHeight="1">
      <c r="A7" s="44" t="n">
        <v>1</v>
      </c>
      <c r="B7" s="4" t="inlineStr">
        <is>
          <t>Work nobody owns or asked for</t>
        </is>
      </c>
      <c r="C7" s="28">
        <f>IF(AND(SUM('Work breakdown'!$K$6:$K$65)=0,SUMPRODUCT(--(Baseline!$B$26:$B$33&lt;&gt;""))=0),"Not done: no items or deliverables yet",IF((SUM('Work breakdown'!$L$6:$L$65)+COUNTIF(Baseline!$K$26:$K$33,0))=0,"○ Clear","△ "&amp;(SUM('Work breakdown'!$L$6:$L$65)+COUNTIF(Baseline!$K$26:$K$33,0))&amp;IF((SUM('Work breakdown'!$L$6:$L$65)+COUNTIF(Baseline!$K$26:$K$33,0))=1," item nobody owns or asked for"," items nobody owns or asked for")))</f>
        <v/>
      </c>
      <c r="D7" s="28">
        <f>IF(LEFT($C7,1)&lt;&gt;"△","",IFERROR(INDEX('Work breakdown'!$A$6:$A$65,MATCH(1,'Work breakdown'!$L$6:$L$65,0))&amp;"",IFERROR(INDEX(Baseline!$B$26:$B$33,MATCH(0,Baseline!$K$26:$K$33,0))&amp;"","")))</f>
        <v/>
      </c>
      <c r="E7" s="3" t="inlineStr">
        <is>
          <t>Give every item a number, a name, an Owner and Accepted by. Give every leaf an estimate and a deliverable, and every deliverable an item.</t>
        </is>
      </c>
    </row>
    <row r="8" ht="71" customHeight="1">
      <c r="A8" s="44" t="n">
        <v>2</v>
      </c>
      <c r="B8" s="4" t="inlineStr">
        <is>
          <t>Money that doesn't add up</t>
        </is>
      </c>
      <c r="C8" s="28">
        <f>IF(OR(NOT(ISNUMBER(Baseline!$C$9)),SUM(Estimates!$M$6:$M$45)=0),"Not done: needs the Share and an estimate",IF((COUNTIF(Baseline!$I$37:$I$44,"△*")+IF(Baseline!$D$45&lt;&gt;Baseline!$C$9,1,0)+IF(Baseline!$G$45&lt;&gt;Baseline!$C$9,1,0)+IF(OR(AND(ISNUMBER(Baseline!$C$19),Baseline!$C$49&lt;Baseline!$C$19),AND(ISNUMBER(Baseline!$C$20),Baseline!$C$49&gt;Baseline!$C$20)),1,0))=0,"○ Clear","△ "&amp;(COUNTIF(Baseline!$I$37:$I$44,"△*")+IF(Baseline!$D$45&lt;&gt;Baseline!$C$9,1,0)+IF(Baseline!$G$45&lt;&gt;Baseline!$C$9,1,0)+IF(OR(AND(ISNUMBER(Baseline!$C$19),Baseline!$C$49&lt;Baseline!$C$19),AND(ISNUMBER(Baseline!$C$20),Baseline!$C$49&gt;Baseline!$C$20)),1,0))&amp;IF((COUNTIF(Baseline!$I$37:$I$44,"△*")+IF(Baseline!$D$45&lt;&gt;Baseline!$C$9,1,0)+IF(Baseline!$G$45&lt;&gt;Baseline!$C$9,1,0)+IF(OR(AND(ISNUMBER(Baseline!$C$19),Baseline!$C$49&lt;Baseline!$C$19),AND(ISNUMBER(Baseline!$C$20),Baseline!$C$49&gt;Baseline!$C$20)),1,0))=1," figure that doesn't add up"," figures that don't add up")))</f>
        <v/>
      </c>
      <c r="D8" s="28" t="n"/>
      <c r="E8" s="3" t="inlineStr">
        <is>
          <t>Make each cost line equal its item's figure at v1, and the lines and the v1 total equal the Share. If the forecast is outside the range, ask who gave it.</t>
        </is>
      </c>
    </row>
    <row r="9" ht="45" customHeight="1">
      <c r="A9" s="44" t="n">
        <v>3</v>
      </c>
      <c r="B9" s="4" t="inlineStr">
        <is>
          <t>An estimate without its basis</t>
        </is>
      </c>
      <c r="C9" s="28">
        <f>IF(SUM(Estimates!$M$6:$M$45)=0,"Not done: no estimates yet",IF((SUM(Estimates!$N$6:$N$45))=0,"○ Clear","△ "&amp;(SUM(Estimates!$N$6:$N$45))&amp;IF((SUM(Estimates!$N$6:$N$45))=1," estimate without its basis"," estimates without their basis")))</f>
        <v/>
      </c>
      <c r="D9" s="28">
        <f>IF(LEFT($C9,1)&lt;&gt;"△","",IFERROR(INDEX(Estimates!$A$6:$A$45,MATCH(1,Estimates!$N$6:$N$45,0))&amp;"",""))</f>
        <v/>
      </c>
      <c r="E9" s="3" t="inlineStr">
        <is>
          <t>Write in Basis where the number came from: a count, a past project, a quote.</t>
        </is>
      </c>
    </row>
    <row r="10" ht="84" customHeight="1">
      <c r="A10" s="44" t="n">
        <v>4</v>
      </c>
      <c r="B10" s="4" t="inlineStr">
        <is>
          <t>Dates that don't hold together</t>
        </is>
      </c>
      <c r="C10" s="28">
        <f>IF(SUM(Schedule!$R$6:$R$44)=0,"Not done: no dates yet",IF((SUM(Schedule!$T$6:$T$44))=0,"○ Clear","△ "&amp;(SUM(Schedule!$T$6:$T$44))&amp;IF((SUM(Schedule!$T$6:$T$44))=1," date that doesn't hold together"," dates that don't hold together")))</f>
        <v/>
      </c>
      <c r="D10" s="28">
        <f>IF(LEFT($C10,1)&lt;&gt;"△","",IFERROR(INDEX(Schedule!$B$6:$B$44,MATCH(1,Schedule!$T$6:$T$44,0))&amp;"",""))</f>
        <v/>
      </c>
      <c r="E10" s="3" t="inlineStr">
        <is>
          <t>Keep the rows in date order by Original (by Baselined until Original is typed), on or before the Planned finish, with Close on it. Give each Gate row a name from Read me.</t>
        </is>
      </c>
    </row>
    <row r="11" ht="45" customHeight="1">
      <c r="A11" s="44" t="n">
        <v>5</v>
      </c>
      <c r="B11" s="4" t="inlineStr">
        <is>
          <t>A date nobody answers for</t>
        </is>
      </c>
      <c r="C11" s="28">
        <f>IF(SUM(Schedule!$R$6:$R$44)=0,"Not done: no dates yet",IF((SUM(Schedule!$U$6:$U$44))=0,"○ Clear","△ "&amp;(SUM(Schedule!$U$6:$U$44))&amp;IF((SUM(Schedule!$U$6:$U$44))=1," date nobody answers for"," dates nobody answers for")))</f>
        <v/>
      </c>
      <c r="D11" s="28">
        <f>IF(LEFT($C11,1)&lt;&gt;"△","",IFERROR(INDEX(Schedule!$B$6:$B$44,MATCH(1,Schedule!$U$6:$U$44,0))&amp;"",""))</f>
        <v/>
      </c>
      <c r="E11" s="3" t="inlineStr">
        <is>
          <t>Name one person in Owner for each gate, milestone and need not yet done.</t>
        </is>
      </c>
    </row>
    <row r="12" ht="45" customHeight="1">
      <c r="A12" s="44" t="n">
        <v>6</v>
      </c>
      <c r="B12" s="4" t="inlineStr">
        <is>
          <t>A date or figure that moved with no change</t>
        </is>
      </c>
      <c r="C12" s="28">
        <f>IF(Baseline!$C$13="","Not done: type Baselined on",IF((SUM(Schedule!$V$6:$V$44)+SUM(Estimates!$O$6:$O$45))=0,"○ Clear","△ "&amp;(SUM(Schedule!$V$6:$V$44)+SUM(Estimates!$O$6:$O$45))&amp;IF((SUM(Schedule!$V$6:$V$44)+SUM(Estimates!$O$6:$O$45))=1," date or figure that moved with no change"," dates or figures that moved with no change")))</f>
        <v/>
      </c>
      <c r="D12" s="28">
        <f>IF(LEFT($C12,1)&lt;&gt;"△","",IFERROR(INDEX(Schedule!$B$6:$B$44,MATCH(1,Schedule!$V$6:$V$44,0))&amp;"",IFERROR(INDEX(Estimates!$A$6:$A$45,MATCH(1,Estimates!$O$6:$O$45,0))&amp;"","")))</f>
        <v/>
      </c>
      <c r="E12" s="3" t="inlineStr">
        <is>
          <t>Raise a change on Changes that names the item or milestone in column E, or put the figure back.</t>
        </is>
      </c>
    </row>
    <row r="13" ht="58" customHeight="1">
      <c r="A13" s="44" t="n">
        <v>7</v>
      </c>
      <c r="B13" s="4" t="inlineStr">
        <is>
          <t>A move past the Owner's limit</t>
        </is>
      </c>
      <c r="C13" s="28">
        <f>IF(OR(Baseline!$C$13="",NOT(ISNUMBER(Baseline!$C$15)),NOT(ISNUMBER(Baseline!$C$16))),"Not done: type Baselined on and the Owner's limit",IF((SUM(Schedule!$W$6:$W$44)+Baseline!$K$7+COUNTIF(Changes!$N$6:$N$55,"△ Past*"))=0,"○ Clear","△ "&amp;(SUM(Schedule!$W$6:$W$44)+Baseline!$K$7+COUNTIF(Changes!$N$6:$N$55,"△ Past*"))&amp;IF((SUM(Schedule!$W$6:$W$44)+Baseline!$K$7+COUNTIF(Changes!$N$6:$N$55,"△ Past*"))=1," move past the Owner's limit"," moves past the Owner's limit")))</f>
        <v/>
      </c>
      <c r="D13" s="28">
        <f>IF(LEFT($C13,1)&lt;&gt;"△","",IFERROR(INDEX(Schedule!$B$6:$B$44,MATCH(1,Schedule!$W$6:$W$44,0))&amp;"",IFERROR(INDEX(Changes!$A$6:$A$55,MATCH(1,Changes!$Q$6:$Q$55,0))&amp;"","")))</f>
        <v/>
      </c>
      <c r="E13" s="3" t="inlineStr">
        <is>
          <t>Raise a change and get the sponsor's agreement. With no sponsor named, ask the Owner who decides it.</t>
        </is>
      </c>
    </row>
    <row r="14" ht="58" customHeight="1">
      <c r="A14" s="44" t="n">
        <v>8</v>
      </c>
      <c r="B14" s="4" t="inlineStr">
        <is>
          <t>A need that arrives after it is needed</t>
        </is>
      </c>
      <c r="C14" s="28">
        <f>IF(COUNTIF(Schedule!$C$6:$C$44,"Need")=0,"Not done: no Need rows yet",IF((SUM(Schedule!$X$6:$X$44))=0,"○ Clear","△ "&amp;(SUM(Schedule!$X$6:$X$44))&amp;IF((SUM(Schedule!$X$6:$X$44))=1," need that arrives after it is needed"," needs that arrive after they are needed")))</f>
        <v/>
      </c>
      <c r="D14" s="28">
        <f>IF(LEFT($C14,1)&lt;&gt;"△","",IFERROR(INDEX(Schedule!$B$6:$B$44,MATCH(1,Schedule!$X$6:$X$44,0))&amp;"",""))</f>
        <v/>
      </c>
      <c r="E14" s="3" t="inlineStr">
        <is>
          <t>Ask the need's Owner when it will arrive. If it can't arrive in time, raise a change for the milestone it holds up.</t>
        </is>
      </c>
    </row>
    <row r="15" ht="58" customHeight="1">
      <c r="A15" s="44" t="n">
        <v>9</v>
      </c>
      <c r="B15" s="4" t="inlineStr">
        <is>
          <t>A change that isn't finished</t>
        </is>
      </c>
      <c r="C15" s="28">
        <f>IF(Baseline!$C$13="","Not done: type Baselined on",IF((SUM(Changes!$R$6:$R$55))=0,"○ Clear","△ "&amp;(SUM(Changes!$R$6:$R$55))&amp;IF((SUM(Changes!$R$6:$R$55))=1," change that isn't finished"," changes that aren't finished")))</f>
        <v/>
      </c>
      <c r="D15" s="28">
        <f>IF(LEFT($C15,1)&lt;&gt;"△","",IFERROR(INDEX(Changes!$A$6:$A$55,MATCH(1,Changes!$R$6:$R$55,0))&amp;"",""))</f>
        <v/>
      </c>
      <c r="E15" s="3" t="inlineStr">
        <is>
          <t>Give each decided change a date and a decider, apply each approved one, and decide each request within 14 days.</t>
        </is>
      </c>
    </row>
  </sheetData>
  <sheetProtection selectLockedCells="0" selectUnlockedCells="0" sheet="1" objects="0" insertRows="1" insertHyperlinks="1" autoFilter="0" scenarios="0" formatColumns="0" deleteColumns="1" insertColumns="1" pivotTables="1" deleteRows="1" formatCells="0" formatRows="0" sort="0"/>
  <conditionalFormatting sqref="C7:C15">
    <cfRule type="expression" priority="1" dxfId="1" stopIfTrue="0">
      <formula>LEFT($C7,1)="△"</formula>
    </cfRule>
  </conditionalFormatting>
  <conditionalFormatting sqref="A5">
    <cfRule type="expression" priority="2" dxfId="1" stopIfTrue="0">
      <formula>ISNUMBER(SEARCH(" failing",$A$5))</formula>
    </cfRule>
  </conditionalFormatting>
  <pageMargins left="0.3" right="0.3" top="0.5" bottom="0.5" header="0.2" footer="0.2"/>
  <pageSetup orientation="landscape" paperSize="9" scale="100"/>
  <drawing xmlns:r="http://schemas.openxmlformats.org/officeDocument/2006/relationships" r:id="rId1"/>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2026-10-24T09:54:11Z</dcterms:created>
  <dcterms:modified xmlns:dcterms="http://purl.org/dc/terms/" xmlns:xsi="http://www.w3.org/2001/XMLSchema-instance" xsi:type="dcterms:W3CDTF">2026-10-24T09:54:11Z</dcterms:modified>
</cp:coreProperties>
</file>