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Log" sheetId="3" state="visible" r:id="rId3"/>
    <sheet xmlns:r="http://schemas.openxmlformats.org/officeDocument/2006/relationships" name="Other files" sheetId="4" state="visible" r:id="rId4"/>
    <sheet xmlns:r="http://schemas.openxmlformats.org/officeDocument/2006/relationships" name="People" sheetId="5" state="visible" r:id="rId5"/>
  </sheets>
  <definedNames>
    <definedName name="_xlnm.Print_Area" localSheetId="0">'Read me'!$A$1:$B$83</definedName>
    <definedName name="_xlnm.Print_Area" localSheetId="1">'Summary'!$A$1:$D$26</definedName>
    <definedName name="_xlnm._FilterDatabase" localSheetId="2" hidden="1">'Log'!$A$3:$K$153</definedName>
    <definedName name="_xlnm.Print_Titles" localSheetId="2">'Log'!$3:$3</definedName>
    <definedName name="_xlnm.Print_Area" localSheetId="2">'Log'!$A$1:$K$153</definedName>
    <definedName name="_xlnm.Print_Titles" localSheetId="3">'Other files'!$5:$5</definedName>
    <definedName name="_xlnm.Print_Area" localSheetId="3">'Other files'!$A$1:$E$45</definedName>
    <definedName name="_xlnm.Print_Area" localSheetId="4">'People'!$A$1:$H$36</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7">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
      <left/>
      <right/>
      <top/>
      <bottom style="medium">
        <color rgb="000F1115"/>
      </bottom>
      <diagonal/>
    </border>
    <border>
      <left/>
      <right/>
      <top style="thin">
        <color rgb="00E3E5E8"/>
      </top>
      <bottom/>
      <diagonal/>
    </border>
    <border>
      <left/>
      <right style="thin">
        <color rgb="00E3E5E8"/>
      </right>
      <top style="thin">
        <color rgb="00E3E5E8"/>
      </top>
      <bottom/>
      <diagonal/>
    </border>
    <border>
      <left/>
      <right style="thin">
        <color rgb="00E3E5E8"/>
      </right>
      <top style="thin">
        <color rgb="00E3E5E8"/>
      </top>
      <bottom style="thin">
        <color rgb="00E3E5E8"/>
      </bottom>
      <diagonal/>
    </border>
  </borders>
  <cellStyleXfs count="1">
    <xf numFmtId="0" fontId="1" fillId="0" borderId="0"/>
  </cellStyleXfs>
  <cellXfs count="3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wrapText="1"/>
    </xf>
    <xf numFmtId="0" fontId="4" fillId="2" borderId="0" applyAlignment="1" pivotButton="0" quotePrefix="0" xfId="0">
      <alignment vertical="center"/>
    </xf>
    <xf numFmtId="0" fontId="4" fillId="2" borderId="0" pivotButton="0" quotePrefix="0" xfId="0"/>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5" fillId="0" borderId="0" applyAlignment="1" pivotButton="0" quotePrefix="0" xfId="0">
      <alignment horizontal="right" vertical="center"/>
    </xf>
    <xf numFmtId="1" fontId="3" fillId="4" borderId="1" applyAlignment="1" pivotButton="0" quotePrefix="0" xfId="0">
      <alignment horizontal="right" vertical="center"/>
    </xf>
    <xf numFmtId="0" fontId="3" fillId="0" borderId="0" applyAlignment="1" pivotButton="0" quotePrefix="0" xfId="0">
      <alignment vertical="center"/>
    </xf>
    <xf numFmtId="0" fontId="4" fillId="0" borderId="0" applyAlignment="1" pivotButton="0" quotePrefix="0" xfId="0">
      <alignment vertical="center"/>
    </xf>
    <xf numFmtId="165" fontId="3" fillId="4" borderId="1" applyAlignment="1" pivotButton="0" quotePrefix="0" xfId="0">
      <alignment horizontal="righ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applyProtection="1" pivotButton="0" quotePrefix="0" xfId="0">
      <alignment horizontal="left" vertical="center"/>
      <protection locked="0" hidden="0"/>
    </xf>
    <xf numFmtId="165" fontId="3" fillId="3" borderId="1" applyAlignment="1" applyProtection="1" pivotButton="0" quotePrefix="0" xfId="0">
      <alignment horizontal="left" vertical="center"/>
      <protection locked="0" hidden="0"/>
    </xf>
    <xf numFmtId="0" fontId="5" fillId="0" borderId="0" applyAlignment="1" pivotButton="0" quotePrefix="0" xfId="0">
      <alignment vertical="center"/>
    </xf>
    <xf numFmtId="1" fontId="3" fillId="4" borderId="1" applyAlignment="1" pivotButton="0" quotePrefix="0" xfId="0">
      <alignment horizontal="left" vertical="center"/>
    </xf>
    <xf numFmtId="165" fontId="3" fillId="4" borderId="1" applyAlignment="1" pivotButton="0" quotePrefix="0" xfId="0">
      <alignment horizontal="left" vertical="center"/>
    </xf>
    <xf numFmtId="0" fontId="3" fillId="4" borderId="1" applyAlignment="1" pivotButton="0" quotePrefix="0" xfId="0">
      <alignment horizontal="left" vertical="center"/>
    </xf>
    <xf numFmtId="0" fontId="4" fillId="3" borderId="2" applyAlignment="1" pivotButton="0" quotePrefix="0" xfId="0">
      <alignment vertical="center" wrapText="1"/>
    </xf>
    <xf numFmtId="0" fontId="6" fillId="4" borderId="2" applyAlignment="1" pivotButton="0" quotePrefix="0" xfId="0">
      <alignment vertical="center" wrapText="1"/>
    </xf>
    <xf numFmtId="0" fontId="3" fillId="0" borderId="1" applyAlignment="1" pivotButton="0" quotePrefix="0" xfId="0">
      <alignment vertical="center" wrapText="1"/>
    </xf>
    <xf numFmtId="0" fontId="3" fillId="4" borderId="1" applyAlignment="1" pivotButton="0" quotePrefix="0" xfId="0">
      <alignment vertical="center" wrapText="1"/>
    </xf>
    <xf numFmtId="0" fontId="3" fillId="4" borderId="1" applyAlignment="1" pivotButton="0" quotePrefix="0" xfId="0">
      <alignment vertical="center"/>
    </xf>
    <xf numFmtId="0" fontId="3" fillId="3" borderId="1" applyAlignment="1" applyProtection="1" pivotButton="0" quotePrefix="0" xfId="0">
      <alignment vertical="top"/>
      <protection locked="0" hidden="0"/>
    </xf>
    <xf numFmtId="165" fontId="3" fillId="3" borderId="1" applyAlignment="1" applyProtection="1" pivotButton="0" quotePrefix="0" xfId="0">
      <alignment horizontal="left" vertical="top"/>
      <protection locked="0" hidden="0"/>
    </xf>
    <xf numFmtId="0" fontId="3" fillId="3" borderId="1" applyAlignment="1" applyProtection="1" pivotButton="0" quotePrefix="0" xfId="0">
      <alignment vertical="top" wrapText="1"/>
      <protection locked="0" hidden="0"/>
    </xf>
    <xf numFmtId="0" fontId="3" fillId="4" borderId="1" applyAlignment="1" pivotButton="0" quotePrefix="0" xfId="0">
      <alignment vertical="top"/>
    </xf>
    <xf numFmtId="0" fontId="3" fillId="4" borderId="1" applyAlignment="1" pivotButton="0" quotePrefix="0" xfId="0">
      <alignment vertical="top" wrapText="1"/>
    </xf>
    <xf numFmtId="1" fontId="3" fillId="4" borderId="1" applyAlignment="1" pivotButton="0" quotePrefix="0" xfId="0">
      <alignment vertical="center"/>
    </xf>
    <xf numFmtId="0" fontId="3" fillId="4" borderId="1" applyAlignment="1" pivotButton="0" quotePrefix="0" xfId="0">
      <alignment horizontal="center" vertical="top"/>
    </xf>
    <xf numFmtId="0" fontId="0" fillId="0" borderId="3" pivotButton="0" quotePrefix="0" xfId="0"/>
    <xf numFmtId="0" fontId="3" fillId="3" borderId="1" applyAlignment="1" applyProtection="1" pivotButton="0" quotePrefix="0" xfId="0">
      <alignment vertical="center"/>
      <protection locked="0" hidden="0"/>
    </xf>
    <xf numFmtId="0" fontId="0" fillId="0" borderId="6" applyProtection="1" pivotButton="0" quotePrefix="0" xfId="0">
      <protection locked="0" hidden="0"/>
    </xf>
  </cellXfs>
  <cellStyles count="1">
    <cellStyle name="Normal" xfId="0" builtinId="0" hidden="0"/>
  </cellStyles>
  <dxfs count="2">
    <dxf>
      <font>
        <color rgb="00CD2B31"/>
      </font>
    </dxf>
    <dxf>
      <font>
        <color rgb="00CD2B31"/>
      </font>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FRQZ</author>
  </authors>
  <commentList>
    <comment ref="A12" authorId="0" shapeId="0">
      <text>
        <t>Rows on Log with anything typed in columns A to I.</t>
      </text>
    </comment>
    <comment ref="B13" authorId="0" shapeId="0">
      <text>
        <t>Rows that a later row overturns through Replaces.</t>
      </text>
    </comment>
    <comment ref="A14" authorId="0" shapeId="0">
      <text>
        <t>Rows whose Kept in is Program charter or Program workbook. That file keeps the record.</t>
      </text>
    </comment>
    <comment ref="A15" authorId="0" shapeId="0">
      <text>
        <t>The latest Date on Log.</t>
      </text>
    </comment>
    <comment ref="A16" authorId="0" shapeId="0">
      <text>
        <t>The Id for the next row: the highest number used, plus one. Never reuse an Id.</t>
      </text>
    </comment>
    <comment ref="C19" authorId="0" shapeId="0">
      <text>
        <t>The Id of the first row that fails. For the last check, the first line on Other files with no row.</t>
      </text>
    </comment>
  </commentList>
</comments>
</file>

<file path=xl/comments/comment2.xml><?xml version="1.0" encoding="utf-8"?>
<comments xmlns="http://schemas.openxmlformats.org/spreadsheetml/2006/main">
  <authors>
    <author>FRQZ</author>
  </authors>
  <commentList>
    <comment ref="J3" authorId="0" shapeId="0">
      <text>
        <t>Worked out: the row that overturns this one, if any.</t>
      </text>
    </comment>
    <comment ref="K3" authorId="0" shapeId="0">
      <text>
        <t>Worked out: everything wrong on this row. Filter on △ to list them.</t>
      </text>
    </comment>
  </commentList>
</comments>
</file>

<file path=xl/comments/comment3.xml><?xml version="1.0" encoding="utf-8"?>
<comments xmlns="http://schemas.openxmlformats.org/spreadsheetml/2006/main">
  <authors>
    <author>FRQZ</author>
  </authors>
  <commentList>
    <comment ref="E5" authorId="0" shapeId="0">
      <text>
        <t>Worked out: the row on Log whose Record elsewhere or Gate holds this Id or name.</t>
      </text>
    </comment>
  </commentList>
</comments>
</file>

<file path=xl/comments/comment4.xml><?xml version="1.0" encoding="utf-8"?>
<comments xmlns="http://schemas.openxmlformats.org/spreadsheetml/2006/main">
  <authors>
    <author>FRQZ</author>
  </authors>
  <commentList>
    <comment ref="D5" authorId="0" shapeId="0">
      <text>
        <t>Worked out: Name with Role in brackets, the way the Register writes an Owner. Log picks names from here.</t>
      </text>
    </comment>
    <comment ref="H5" authorId="0" shapeId="0">
      <text>
        <t>Shows △ when a name is used twice, Kind is blank, or a body lacks members or a signer.</t>
      </text>
    </comment>
    <comment ref="B29" authorId="0" shapeId="0">
      <text>
        <t>The gate map's seven gates, locked so the names match it.</t>
      </text>
    </comment>
    <comment ref="C29" authorId="0" shapeId="0">
      <text>
        <t>The one person who decides each gate, as the gate map has it. Blank where the map's is blank. Change it only for a gate not yet decided.</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3</col>
      <colOff>2533650</colOff>
      <row>0</row>
      <rowOff>57150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10</col>
      <colOff>200025</colOff>
      <row>0</row>
      <rowOff>57150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4</col>
      <colOff>0</colOff>
      <row>0</row>
      <rowOff>57150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6</col>
      <colOff>1333500</colOff>
      <row>0</row>
      <rowOff>57150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outlinePr summaryBelow="1" summaryRight="1"/>
    <pageSetUpPr fitToPage="0"/>
  </sheetPr>
  <dimension ref="A1:B81"/>
  <sheetViews>
    <sheetView showGridLines="0" tabSelected="0" workbookViewId="0">
      <selection activeCell="A1" sqref="A1"/>
    </sheetView>
  </sheetViews>
  <sheetFormatPr baseColWidth="8" defaultRowHeight="15"/>
  <cols>
    <col width="22" customWidth="1" min="1" max="1"/>
    <col width="110" customWidth="1" min="2" max="2"/>
  </cols>
  <sheetData>
    <row r="1" ht="36" customHeight="1">
      <c r="B1" s="1" t="inlineStr">
        <is>
          <t>Decision log (Example)</t>
        </is>
      </c>
    </row>
    <row r="2" ht="32" customHeight="1">
      <c r="B2" s="2" t="inlineStr">
        <is>
          <t>One log of the decisions on a project: what was decided, on what day, by which one person or body, and why. Five tabs: Read me, Summary, Log, Other files and People.</t>
        </is>
      </c>
    </row>
    <row r="3" ht="18" customHeight="1">
      <c r="A3" s="3" t="inlineStr">
        <is>
          <t>Example. Hollins Software and everyone in it are made up. Billing Engine Rewrite, as of 22 Oct 2026. Clear the white cells to start your own.</t>
        </is>
      </c>
      <c r="B3" s="4" t="n"/>
    </row>
    <row r="4" ht="6" customHeight="1"/>
    <row r="5">
      <c r="A5" s="5" t="inlineStr">
        <is>
          <t>Where to start</t>
        </is>
      </c>
    </row>
    <row r="6" ht="32" customHeight="1">
      <c r="A6" s="6" t="n"/>
      <c r="B6" s="7" t="inlineStr">
        <is>
          <t>Start on People: the people and bodies who decide, then who decides each gate. Then log each decision on the day it's made. A small team can keep to Log and People.</t>
        </is>
      </c>
    </row>
    <row r="8">
      <c r="A8" s="5" t="inlineStr">
        <is>
          <t>Filling it in</t>
        </is>
      </c>
    </row>
    <row r="9" ht="32" customHeight="1">
      <c r="A9" s="6" t="n">
        <v>1</v>
      </c>
      <c r="B9" s="7" t="inlineStr">
        <is>
          <t>On People, add each person who decides something on this project, with their role, and each body, with its members and the one person who signs for it.</t>
        </is>
      </c>
    </row>
    <row r="10" ht="32" customHeight="1">
      <c r="A10" s="6" t="n">
        <v>2</v>
      </c>
      <c r="B10" s="7" t="inlineStr">
        <is>
          <t>Under Gates on People, pick who decides each gate, copied from the gate map. Leave a gate blank where the map's is blank.</t>
        </is>
      </c>
    </row>
    <row r="11" ht="32" customHeight="1">
      <c r="A11" s="6" t="n">
        <v>3</v>
      </c>
      <c r="B11" s="7" t="inlineStr">
        <is>
          <t>On Summary, type the project's Name and Sits under as the Register has them, pick its Owner, and type the day you're reviewing on in As of.</t>
        </is>
      </c>
    </row>
    <row r="12" ht="32" customHeight="1">
      <c r="A12" s="6" t="n">
        <v>4</v>
      </c>
      <c r="B12" s="7" t="inlineStr">
        <is>
          <t>On Log, add each decision in the next empty row on the day it's made: the Next Id from Summary, the Date, the decision in a sentence, who decided it, and why.</t>
        </is>
      </c>
    </row>
    <row r="13" ht="32" customHeight="1">
      <c r="A13" s="6" t="n">
        <v>5</v>
      </c>
      <c r="B13" s="7" t="inlineStr">
        <is>
          <t>Pick the Gate when a gate was decided. Type the other files' Ids in Record elsewhere, and set Kept in when the program keeps the record.</t>
        </is>
      </c>
    </row>
    <row r="14" ht="18" customHeight="1">
      <c r="A14" s="6" t="n">
        <v>6</v>
      </c>
      <c r="B14" s="7" t="inlineStr">
        <is>
          <t>Read the seven checks on Summary, and fix every row whose Row check shows △.</t>
        </is>
      </c>
    </row>
    <row r="15" ht="18" customHeight="1">
      <c r="A15" s="6" t="n">
        <v>7</v>
      </c>
      <c r="B15" s="7" t="inlineStr">
        <is>
          <t>When a decision is overturned, add a new row and type the old row's Id in Replaces.</t>
        </is>
      </c>
    </row>
    <row r="17">
      <c r="A17" s="5" t="inlineStr">
        <is>
          <t>DECISIONS</t>
        </is>
      </c>
    </row>
    <row r="18" ht="32" customHeight="1">
      <c r="A18" s="6" t="n"/>
      <c r="B18" s="7" t="inlineStr">
        <is>
          <t>A row is one decision that happened, dated the day it happened. A question still waiting for an answer goes in the status report until someone decides it.</t>
        </is>
      </c>
    </row>
    <row r="19" ht="32" customHeight="1">
      <c r="A19" s="6" t="n"/>
      <c r="B19" s="7" t="inlineStr">
        <is>
          <t>A signing is a decision when it commits money or accepts work. A status changing, such as a criterion going from Open to Met, isn't one.</t>
        </is>
      </c>
    </row>
    <row r="20" ht="18" customHeight="1">
      <c r="A20" s="6" t="n"/>
      <c r="B20" s="7" t="inlineStr">
        <is>
          <t>Two decisions made the same day by the same person can share a row.</t>
        </is>
      </c>
    </row>
    <row r="21" ht="32" customHeight="1">
      <c r="A21" s="6" t="n"/>
      <c r="B21" s="7" t="inlineStr">
        <is>
          <t>Once the person who decided has seen a row, leave it as it is. When the decision is overturned, the new row's Replaces names it, and the old row shows Replaced by.</t>
        </is>
      </c>
    </row>
    <row r="23">
      <c r="A23" s="5" t="inlineStr">
        <is>
          <t>DECIDERS</t>
        </is>
      </c>
    </row>
    <row r="24" ht="46" customHeight="1">
      <c r="A24" s="6" t="n"/>
      <c r="B24" s="7" t="inlineStr">
        <is>
          <t>Decided by is one person, or one body, picked from People. A body is a board that decides together, with its members and the one person who signs for it. Never type a team as a body; name the person who decided.</t>
        </is>
      </c>
    </row>
    <row r="25" ht="32" customHeight="1">
      <c r="A25" s="6" t="n"/>
      <c r="B25" s="7" t="inlineStr">
        <is>
          <t>People writes each name the way the Register writes an Owner, Anders (Engineering Manager), from Name and Role. Log picks names from there, so type each one once.</t>
        </is>
      </c>
    </row>
    <row r="26" ht="32" customHeight="1">
      <c r="A26" s="6" t="n"/>
      <c r="B26" s="7" t="inlineStr">
        <is>
          <t>A gate decision is made by the one person the gate map names for that gate. Copy each gate's Decides from the gate map onto People.</t>
        </is>
      </c>
    </row>
    <row r="27" ht="32" customHeight="1">
      <c r="A27" s="6" t="n"/>
      <c r="B27" s="7" t="inlineStr">
        <is>
          <t>Change a gate's Decides only for a gate not yet decided. Check 4 reads the name as it is now, so a change fails the rows already logged for that gate.</t>
        </is>
      </c>
    </row>
    <row r="28" ht="18" customHeight="1">
      <c r="A28" s="6" t="n"/>
      <c r="B28" s="7" t="inlineStr">
        <is>
          <t>Owning a criterion, reviewing a gate or editing a file doesn't make someone the decider.</t>
        </is>
      </c>
    </row>
    <row r="30">
      <c r="A30" s="5" t="inlineStr">
        <is>
          <t>RECORDS IN OTHER FILES</t>
        </is>
      </c>
    </row>
    <row r="31" ht="32" customHeight="1">
      <c r="A31" s="6" t="n"/>
      <c r="B31" s="7" t="inlineStr">
        <is>
          <t>Record elsewhere holds the Ids other files give the same decision, separated by commas: CH-1 in the change log, C-02 in acceptance and sign-off, M-04 in the program workbook, RACI v1.</t>
        </is>
      </c>
    </row>
    <row r="32" ht="46" customHeight="1">
      <c r="A32" s="6" t="n"/>
      <c r="B32" s="7" t="inlineStr">
        <is>
          <t>When the program charter or the program workbook keeps a decision, such as the Investment decision or a Program board decision, it still gets a row here. Set Kept in to that file and name the record.</t>
        </is>
      </c>
    </row>
    <row r="33" ht="46" customHeight="1">
      <c r="A33" s="6" t="n"/>
      <c r="B33" s="7" t="inlineStr">
        <is>
          <t>Other files is optional, and hidden in the blank file. Unhide it to use check 7: type a line for each change, waiver or gate decision another file shows, in that file's words, and it finds its row on Log by Id or gate name.</t>
        </is>
      </c>
    </row>
    <row r="35">
      <c r="A35" s="5" t="inlineStr">
        <is>
          <t>READING THE MARKS</t>
        </is>
      </c>
    </row>
    <row r="36" ht="18" customHeight="1">
      <c r="A36" s="8" t="inlineStr">
        <is>
          <t>△</t>
        </is>
      </c>
      <c r="B36" s="7" t="inlineStr">
        <is>
          <t>A check found something, and the words say what. Filter Row check on Log on △ to list the rows.</t>
        </is>
      </c>
    </row>
    <row r="37" ht="18" customHeight="1">
      <c r="A37" s="8" t="inlineStr">
        <is>
          <t>○ Clear</t>
        </is>
      </c>
      <c r="B37" s="7" t="inlineStr">
        <is>
          <t>The check found nothing.</t>
        </is>
      </c>
    </row>
    <row r="38" ht="18" customHeight="1">
      <c r="A38" s="8" t="inlineStr">
        <is>
          <t>Not done</t>
        </is>
      </c>
      <c r="B38" s="7" t="inlineStr">
        <is>
          <t>Nothing is logged yet, so the check has nothing to test.</t>
        </is>
      </c>
    </row>
    <row r="39" ht="32" customHeight="1">
      <c r="A39" s="8" t="inlineStr">
        <is>
          <t>Not used</t>
        </is>
      </c>
      <c r="B39" s="7" t="inlineStr">
        <is>
          <t>Other files is empty, so check 7 has nothing to read. It isn't a failure, and the line at the top of Summary doesn't count it.</t>
        </is>
      </c>
    </row>
    <row r="41">
      <c r="A41" s="5" t="inlineStr">
        <is>
          <t>CHECKS</t>
        </is>
      </c>
    </row>
    <row r="42" ht="32" customHeight="1">
      <c r="A42" s="6" t="n"/>
      <c r="B42" s="7" t="inlineStr">
        <is>
          <t>Summary runs seven checks on the rows on Log, in the order below. Each result names the first row that fails, and Row check on Log lists everything wrong with each row.</t>
        </is>
      </c>
    </row>
    <row r="43" ht="32" customHeight="1">
      <c r="A43" s="6" t="n">
        <v>1</v>
      </c>
      <c r="B43" s="7" t="inlineStr">
        <is>
          <t>A decision without one named decider: Decided by isn't exactly one name from People column D, or it names a body with no members or nobody who signs for it.</t>
        </is>
      </c>
    </row>
    <row r="44" ht="32" customHeight="1">
      <c r="A44" s="6" t="n">
        <v>2</v>
      </c>
      <c r="B44" s="7" t="inlineStr">
        <is>
          <t>A decision with no reason or evidence: Why or evidence is blank, under three words, or opens with Above, See above, As above, Same as above, As agreed, TBD or N/A.</t>
        </is>
      </c>
    </row>
    <row r="45" ht="32" customHeight="1">
      <c r="A45" s="6" t="n">
        <v>3</v>
      </c>
      <c r="B45" s="7" t="inlineStr">
        <is>
          <t>A decision with no date or a date after As of: Date is blank, isn't a date, or falls after As of on Summary.</t>
        </is>
      </c>
    </row>
    <row r="46" ht="46" customHeight="1">
      <c r="A46" s="6" t="n">
        <v>4</v>
      </c>
      <c r="B46" s="7" t="inlineStr">
        <is>
          <t>A gate decision not made by that gate's decider: Gate is picked and Decided by isn't the name People gives for it, or People gives nobody. A Decision that opens with a gate's name and a colon, such as Readiness: Go, needs its Gate picked.</t>
        </is>
      </c>
    </row>
    <row r="47" ht="32" customHeight="1">
      <c r="A47" s="6" t="n">
        <v>5</v>
      </c>
      <c r="B47" s="7" t="inlineStr">
        <is>
          <t>A Replaces that names no earlier decision: Replaces holds this row's own Id, an Id that isn't on Log, or a row dated after this one.</t>
        </is>
      </c>
    </row>
    <row r="48" ht="32" customHeight="1">
      <c r="A48" s="6" t="n">
        <v>6</v>
      </c>
      <c r="B48" s="7" t="inlineStr">
        <is>
          <t>A decision kept in another file with no record named: Kept in is Program charter or Program workbook, and Record elsewhere is blank.</t>
        </is>
      </c>
    </row>
    <row r="49" ht="32" customHeight="1">
      <c r="A49" s="6" t="n">
        <v>7</v>
      </c>
      <c r="B49" s="7" t="inlineStr">
        <is>
          <t>A change another file shows that has no decision here: a line on Other files whose Id or name is in no row's Record elsewhere or Gate.</t>
        </is>
      </c>
    </row>
    <row r="51">
      <c r="A51" s="5" t="inlineStr">
        <is>
          <t>LIMITS</t>
        </is>
      </c>
    </row>
    <row r="52" ht="18" customHeight="1">
      <c r="A52" s="6" t="n"/>
      <c r="B52" s="7" t="inlineStr">
        <is>
          <t>Log holds 150 rows, People 20 names, and Other files 40 lines.</t>
        </is>
      </c>
    </row>
    <row r="53" ht="18" customHeight="1">
      <c r="A53" s="6" t="n"/>
      <c r="B53" s="7" t="inlineStr">
        <is>
          <t>Check 2 counts words. It can't tell a reason from a status: Waiting on the other signatures passes.</t>
        </is>
      </c>
    </row>
    <row r="54" ht="32" customHeight="1">
      <c r="A54" s="6" t="n"/>
      <c r="B54" s="7" t="inlineStr">
        <is>
          <t>The file reads only what you type into it. It never opens another file, so check 7 finds only what someone typed on Other files.</t>
        </is>
      </c>
    </row>
    <row r="55" ht="18" customHeight="1">
      <c r="A55" s="6" t="n"/>
      <c r="B55" s="7" t="inlineStr">
        <is>
          <t>Checks 5 and 6 stay clear until someone uses Replaces or Kept in.</t>
        </is>
      </c>
    </row>
    <row r="56" ht="18" customHeight="1">
      <c r="A56" s="6" t="n"/>
      <c r="B56" s="7" t="inlineStr">
        <is>
          <t>A row doesn't say who typed it or when.</t>
        </is>
      </c>
    </row>
    <row r="58">
      <c r="A58" s="5" t="inlineStr">
        <is>
          <t>THE WORKING</t>
        </is>
      </c>
    </row>
    <row r="59" ht="32" customHeight="1">
      <c r="A59" s="6" t="n"/>
      <c r="B59" s="7" t="inlineStr">
        <is>
          <t>Grey cells are worked out from what you type, and locked so they aren't typed over. There's no password.</t>
        </is>
      </c>
    </row>
    <row r="60" ht="32" customHeight="1">
      <c r="A60" s="6" t="n"/>
      <c r="B60" s="7" t="inlineStr">
        <is>
          <t>The working is in hidden columns: T to AD on Log, each with a header, F on Other files, and K on Summary, labelled in J. Unhide them to read it.</t>
        </is>
      </c>
    </row>
    <row r="61" ht="32" customHeight="1">
      <c r="A61" s="6" t="n"/>
      <c r="B61" s="7" t="inlineStr">
        <is>
          <t>Rows can't be inserted, deleted or sorted, so every row stays counted. Type each decision in the next empty row, in date order.</t>
        </is>
      </c>
    </row>
    <row r="63">
      <c r="A63" s="5" t="inlineStr">
        <is>
          <t>YOUR LOGO</t>
        </is>
      </c>
    </row>
    <row r="64" ht="32" customHeight="1">
      <c r="A64" s="6" t="n"/>
      <c r="B64" s="7" t="inlineStr">
        <is>
          <t>The FRQZ logo is at the top of each tab. To use your own, delete it and insert your logo in the same place.</t>
        </is>
      </c>
    </row>
    <row r="66">
      <c r="A66" s="5" t="inlineStr">
        <is>
          <t>RELATED FILES</t>
        </is>
      </c>
    </row>
    <row r="67" ht="32" customHeight="1">
      <c r="A67" s="6" t="n"/>
      <c r="B67" s="7" t="inlineStr">
        <is>
          <t>The status report, the cutover workbook and the project close cite rows by their DL- Id, so keep each Id for good.</t>
        </is>
      </c>
    </row>
    <row r="68" ht="32" customHeight="1">
      <c r="A68" s="6" t="n"/>
      <c r="B68" s="7" t="inlineStr">
        <is>
          <t>A decision the status report says is needed becomes a row here on the day it's made. The cutover workbook cites the Readiness, Go/no-go and Handover accepted rows.</t>
        </is>
      </c>
    </row>
    <row r="69" ht="32" customHeight="1">
      <c r="A69" s="6" t="n"/>
      <c r="B69" s="7" t="inlineStr">
        <is>
          <t>Anyone who opens this file sees every row. To share it with someone outside the company, send them their rows, not the file.</t>
        </is>
      </c>
    </row>
    <row r="70" ht="46" customHeight="1">
      <c r="A70" s="6" t="n"/>
      <c r="B70" s="7" t="inlineStr">
        <is>
          <t>An assistant can check the log for you. The brief is in frqz-decision-log-agent-brief.txt, beside this file. Open and save the workbook once in your spreadsheet first, so the assistant can read the results. It never types a decider, a date or a reason.</t>
        </is>
      </c>
    </row>
    <row r="72">
      <c r="A72" s="5" t="inlineStr">
        <is>
          <t>ABOUT THIS EXAMPLE</t>
        </is>
      </c>
    </row>
    <row r="73" ht="18" customHeight="1">
      <c r="A73" s="6" t="n"/>
      <c r="B73" s="7" t="inlineStr">
        <is>
          <t>Hollins Software is a made-up software company. Everyone in it is made up too.</t>
        </is>
      </c>
    </row>
    <row r="74" ht="46" customHeight="1">
      <c r="A74" s="6" t="n"/>
      <c r="B74" s="7" t="inlineStr">
        <is>
          <t>This is the decision log for Billing Engine Rewrite, as of 22 Oct 2026, with the twelve decisions made from 5 Mar to 22 Oct 2026. It fails three of the seven checks on purpose. The other four are clear.</t>
        </is>
      </c>
    </row>
    <row r="75" ht="32" customHeight="1">
      <c r="A75" s="8" t="inlineStr">
        <is>
          <t>Check 1</t>
        </is>
      </c>
      <c r="B75" s="7" t="inlineStr">
        <is>
          <t>DL-08, the signing of acceptance criteria v2 with CH-3, has two names in Decided by, Anders and Rhys, so no one person is named as deciding it.</t>
        </is>
      </c>
    </row>
    <row r="76" ht="18" customHeight="1">
      <c r="A76" s="8" t="inlineStr">
        <is>
          <t>Check 2</t>
        </is>
      </c>
      <c r="B76" s="7" t="inlineStr">
        <is>
          <t>DL-10, on who owns how invoices move to the new engine (CH-4), gives Above as its reason.</t>
        </is>
      </c>
    </row>
    <row r="77" ht="32" customHeight="1">
      <c r="A77" s="8" t="inlineStr">
        <is>
          <t>Check 7</t>
        </is>
      </c>
      <c r="B77" s="7" t="inlineStr">
        <is>
          <t>C-06's Pass line was loosened on 15 Oct 2026, from 0 severity 2 defects to 3 or fewer. Other files lists the change from acceptance and sign-off, and no row here records it.</t>
        </is>
      </c>
    </row>
    <row r="78" ht="18" customHeight="1">
      <c r="A78" s="6" t="n"/>
      <c r="B78" s="7" t="inlineStr">
        <is>
          <t>The Program board decides DL-09 and DL-12, with Hugo signing for it, so both pass check 1.</t>
        </is>
      </c>
    </row>
    <row r="79" ht="32" customHeight="1">
      <c r="A79" s="6" t="n"/>
      <c r="B79" s="7" t="inlineStr">
        <is>
          <t>Handover accepted has nobody in Decides on People, because nobody has agreed who decides it. No row uses that gate yet, so no check fails on it.</t>
        </is>
      </c>
    </row>
    <row r="80" ht="32" customHeight="1">
      <c r="A80" s="6" t="n"/>
      <c r="B80" s="7" t="inlineStr">
        <is>
          <t>DL-03's reviewer is Anders, who also decided the gate. That is the gate map's planted failure. This log records it and doesn't check reviewers.</t>
        </is>
      </c>
    </row>
    <row r="81" ht="32" customHeight="1">
      <c r="A81" s="6" t="n"/>
      <c r="B81" s="7" t="inlineStr">
        <is>
          <t>As of on Summary is 22 Oct 2026, so the results stay as they are. Clear it and the checks count from today.</t>
        </is>
      </c>
    </row>
  </sheetData>
  <sheetProtection selectLockedCells="0" selectUnlockedCells="0" sheet="1" objects="0" insertRows="1" insertHyperlinks="1" autoFilter="0" scenarios="0" formatColumns="0" deleteColumns="1" insertColumns="1" pivotTables="1" deleteRows="1" formatCells="0" formatRows="0" sort="1"/>
  <pageMargins left="0.4" right="0.4" top="0.6" bottom="0.6" header="0.3" footer="0.3"/>
  <pageSetup orientation="landscape" paperSize="9" scale="100"/>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K26"/>
  <sheetViews>
    <sheetView showGridLines="0" tabSelected="0" workbookViewId="0">
      <selection activeCell="A1" sqref="A1"/>
    </sheetView>
  </sheetViews>
  <sheetFormatPr baseColWidth="8" defaultRowHeight="15"/>
  <cols>
    <col width="40" customWidth="1" min="1" max="1"/>
    <col width="24" customWidth="1" min="2" max="2"/>
    <col width="14" customWidth="1" min="3" max="3"/>
    <col width="56" customWidth="1" min="4" max="4"/>
    <col width="2" customWidth="1" min="5" max="5"/>
    <col width="2" customWidth="1" min="6" max="6"/>
    <col width="18" customWidth="1" min="7" max="7"/>
    <col width="2" customWidth="1" min="8" max="8"/>
    <col width="2" customWidth="1" min="9" max="9"/>
    <col width="40" customWidth="1" min="10" max="10"/>
    <col hidden="1" width="14" customWidth="1" min="11" max="11"/>
  </cols>
  <sheetData>
    <row r="1" ht="36" customHeight="1">
      <c r="A1" s="1" t="inlineStr">
        <is>
          <t>Summary (Example)</t>
        </is>
      </c>
      <c r="J1" s="9" t="inlineStr">
        <is>
          <t>Decisions logged</t>
        </is>
      </c>
      <c r="K1" s="10">
        <f>SUM(Log!$T$4:$T$153)</f>
        <v/>
      </c>
    </row>
    <row r="2" ht="18" customHeight="1">
      <c r="A2" s="11">
        <f>IF(TRIM($B$6)="","","Project: "&amp;$B$6&amp;IF(TRIM($B$7)="",".",". Sits under: "&amp;$B$7&amp;"."))</f>
        <v/>
      </c>
      <c r="J2" s="9" t="inlineStr">
        <is>
          <t>Decisions replaced</t>
        </is>
      </c>
      <c r="K2" s="10">
        <f>SUM(Log!$U$4:$U$153)</f>
        <v/>
      </c>
    </row>
    <row r="3" ht="18" customHeight="1">
      <c r="A3" s="12">
        <f>IF($K$1=0,"Nothing is logged yet.",$K$1&amp;IF($K$1=1," decision logged."," decisions logged.")&amp;IF($K$2&gt;0," "&amp;$K$2&amp;" replaced.","")&amp;IF(COUNTIF($B$20:$B$26,"△*")=0," No check failing."," "&amp;COUNTIF($B$20:$B$26,"△*")&amp;" of 7 checks failing."))</f>
        <v/>
      </c>
      <c r="J3" s="9" t="inlineStr">
        <is>
          <t>As of, as the checks use it</t>
        </is>
      </c>
      <c r="K3" s="13">
        <f>IF(ISNUMBER($B$9),$B$9,TODAY())</f>
        <v/>
      </c>
    </row>
    <row r="4" ht="18" customHeight="1">
      <c r="A4" s="3" t="inlineStr">
        <is>
          <t>Example. Hollins Software and everyone in it are made up. Billing Engine Rewrite, as of 22 Oct 2026. Clear the white cells to start your own.</t>
        </is>
      </c>
      <c r="B4" s="4" t="n"/>
      <c r="C4" s="4" t="n"/>
      <c r="D4" s="4" t="n"/>
      <c r="J4" s="9" t="inlineStr">
        <is>
          <t>Kept in another file</t>
        </is>
      </c>
      <c r="K4" s="10">
        <f>SUM(Log!$V$4:$V$153)</f>
        <v/>
      </c>
    </row>
    <row r="5" ht="18" customHeight="1">
      <c r="A5" s="14" t="inlineStr">
        <is>
          <t>PROJECT</t>
        </is>
      </c>
      <c r="B5" s="14" t="n"/>
      <c r="C5" s="14" t="n"/>
      <c r="D5" s="14" t="n"/>
      <c r="J5" s="9" t="inlineStr">
        <is>
          <t>Other files lines with no row on Log</t>
        </is>
      </c>
      <c r="K5" s="10">
        <f>SUM('Other files'!$F$6:$F$45)</f>
        <v/>
      </c>
    </row>
    <row r="6" ht="18" customHeight="1">
      <c r="A6" s="15" t="inlineStr">
        <is>
          <t>NAME</t>
        </is>
      </c>
      <c r="B6" s="16" t="inlineStr">
        <is>
          <t>Billing Engine Rewrite</t>
        </is>
      </c>
      <c r="J6" s="9" t="inlineStr">
        <is>
          <t>Other files lines typed</t>
        </is>
      </c>
      <c r="K6" s="10">
        <f>COUNTA('Other files'!$B$6:$B$45)</f>
        <v/>
      </c>
    </row>
    <row r="7" ht="18" customHeight="1">
      <c r="A7" s="15" t="inlineStr">
        <is>
          <t>SITS UNDER</t>
        </is>
      </c>
      <c r="B7" s="16" t="inlineStr">
        <is>
          <t>Billing and Payments Program</t>
        </is>
      </c>
    </row>
    <row r="8" ht="18" customHeight="1">
      <c r="A8" s="15" t="inlineStr">
        <is>
          <t>OWNER</t>
        </is>
      </c>
      <c r="B8" s="16" t="inlineStr">
        <is>
          <t>Anders (Engineering Manager)</t>
        </is>
      </c>
    </row>
    <row r="9" ht="18" customHeight="1">
      <c r="A9" s="15" t="inlineStr">
        <is>
          <t>AS OF</t>
        </is>
      </c>
      <c r="B9" s="17" t="n">
        <v>46317</v>
      </c>
      <c r="C9" s="18">
        <f>IF(ISNUMBER($B$9),"","Today's date is used.")</f>
        <v/>
      </c>
    </row>
    <row r="10" ht="6" customHeight="1"/>
    <row r="11" ht="18" customHeight="1">
      <c r="A11" s="14" t="inlineStr">
        <is>
          <t>COUNTS</t>
        </is>
      </c>
      <c r="B11" s="14" t="n"/>
      <c r="C11" s="14" t="n"/>
      <c r="D11" s="14" t="n"/>
    </row>
    <row r="12" ht="18" customHeight="1">
      <c r="A12" s="15" t="inlineStr">
        <is>
          <t>DECISIONS LOGGED</t>
        </is>
      </c>
      <c r="B12" s="19">
        <f>$K$1</f>
        <v/>
      </c>
    </row>
    <row r="13" ht="18" customHeight="1">
      <c r="A13" s="18">
        <f>IF($K$2&gt;0,"Replaced","")</f>
        <v/>
      </c>
      <c r="B13" s="19">
        <f>IF($K$2&gt;0,$K$2,"")</f>
        <v/>
      </c>
    </row>
    <row r="14" ht="18" customHeight="1">
      <c r="A14" s="15" t="inlineStr">
        <is>
          <t>KEPT IN ANOTHER FILE</t>
        </is>
      </c>
      <c r="B14" s="19">
        <f>$K$4</f>
        <v/>
      </c>
    </row>
    <row r="15" ht="18" customHeight="1">
      <c r="A15" s="15" t="inlineStr">
        <is>
          <t>LATEST DECISION</t>
        </is>
      </c>
      <c r="B15" s="20">
        <f>IF($K$1=0,"",MAX(Log!$B$4:$B$153))</f>
        <v/>
      </c>
    </row>
    <row r="16" ht="18" customHeight="1">
      <c r="A16" s="15" t="inlineStr">
        <is>
          <t>NEXT ID</t>
        </is>
      </c>
      <c r="B16" s="21">
        <f>"DL-"&amp;TEXT(MAX(Log!$AD$4:$AD$153)+1,"00")</f>
        <v/>
      </c>
    </row>
    <row r="17" ht="6" customHeight="1"/>
    <row r="18" ht="18" customHeight="1">
      <c r="A18" s="14" t="inlineStr">
        <is>
          <t>CHECKS</t>
        </is>
      </c>
      <c r="B18" s="14" t="n"/>
      <c r="C18" s="14" t="n"/>
      <c r="D18" s="14" t="n"/>
    </row>
    <row r="19" ht="20" customHeight="1">
      <c r="A19" s="22" t="inlineStr">
        <is>
          <t>Check</t>
        </is>
      </c>
      <c r="B19" s="23" t="inlineStr">
        <is>
          <t>Result</t>
        </is>
      </c>
      <c r="C19" s="23" t="inlineStr">
        <is>
          <t>First at</t>
        </is>
      </c>
      <c r="D19" s="22" t="inlineStr">
        <is>
          <t>What to do</t>
        </is>
      </c>
    </row>
    <row r="20" ht="32" customHeight="1">
      <c r="A20" s="24" t="inlineStr">
        <is>
          <t>A decision without one named decider</t>
        </is>
      </c>
      <c r="B20" s="25">
        <f>IF($K$1=0,"Not done: no decisions yet",IF(COUNTIF(Log!$X$4:$X$153,"&gt;0")=0,"○ Clear","△ "&amp;COUNTIF(Log!$X$4:$X$153,"&gt;0")&amp;IF(COUNTIF(Log!$X$4:$X$153,"&gt;0")=1," decision"," decisions")&amp;" without one named decider"))</f>
        <v/>
      </c>
      <c r="C20" s="26">
        <f>IF(COUNTIF(Log!$X$4:$X$153,"&gt;0")=0,"",IFERROR(IF(INDEX(Log!$A$4:$A$153,MATCH(TRUE,INDEX(Log!$X$4:$X$153&gt;0,0),0))&amp;""="","Log row "&amp;(MATCH(TRUE,INDEX(Log!$X$4:$X$153&gt;0,0),0)+3),INDEX(Log!$A$4:$A$153,MATCH(TRUE,INDEX(Log!$X$4:$X$153&gt;0,0),0))&amp;""),""))</f>
        <v/>
      </c>
      <c r="D20" s="24" t="inlineStr">
        <is>
          <t>Ask who decided it and type one name. For a body, give its members and who signs for it on People.</t>
        </is>
      </c>
    </row>
    <row r="21" ht="32" customHeight="1">
      <c r="A21" s="24" t="inlineStr">
        <is>
          <t>A decision with no reason or evidence</t>
        </is>
      </c>
      <c r="B21" s="25">
        <f>IF($K$1=0,"Not done: no decisions yet",IF(COUNTIF(Log!$Y$4:$Y$153,"&gt;0")=0,"○ Clear","△ "&amp;COUNTIF(Log!$Y$4:$Y$153,"&gt;0")&amp;IF(COUNTIF(Log!$Y$4:$Y$153,"&gt;0")=1," decision"," decisions")&amp;" with no reason or evidence"))</f>
        <v/>
      </c>
      <c r="C21" s="26">
        <f>IF(COUNTIF(Log!$Y$4:$Y$153,"&gt;0")=0,"",IFERROR(IF(INDEX(Log!$A$4:$A$153,MATCH(TRUE,INDEX(Log!$Y$4:$Y$153&gt;0,0),0))&amp;""="","Log row "&amp;(MATCH(TRUE,INDEX(Log!$Y$4:$Y$153&gt;0,0),0)+3),INDEX(Log!$A$4:$A$153,MATCH(TRUE,INDEX(Log!$Y$4:$Y$153&gt;0,0),0))&amp;""),""))</f>
        <v/>
      </c>
      <c r="D21" s="24" t="inlineStr">
        <is>
          <t>Ask the person who decided it for the reason, and type it.</t>
        </is>
      </c>
    </row>
    <row r="22" ht="32" customHeight="1">
      <c r="A22" s="24" t="inlineStr">
        <is>
          <t>A decision with no date or a date after As of</t>
        </is>
      </c>
      <c r="B22" s="25">
        <f>IF($K$1=0,"Not done: no decisions yet",IF(COUNTIF(Log!$Z$4:$Z$153,"&gt;0")=0,"○ Clear","△ "&amp;COUNTIF(Log!$Z$4:$Z$153,"&gt;0")&amp;IF(COUNTIF(Log!$Z$4:$Z$153,"&gt;0")=1," decision"," decisions")&amp;" with no date or a date after As of"))</f>
        <v/>
      </c>
      <c r="C22" s="26">
        <f>IF(COUNTIF(Log!$Z$4:$Z$153,"&gt;0")=0,"",IFERROR(IF(INDEX(Log!$A$4:$A$153,MATCH(TRUE,INDEX(Log!$Z$4:$Z$153&gt;0,0),0))&amp;""="","Log row "&amp;(MATCH(TRUE,INDEX(Log!$Z$4:$Z$153&gt;0,0),0)+3),INDEX(Log!$A$4:$A$153,MATCH(TRUE,INDEX(Log!$Z$4:$Z$153&gt;0,0),0))&amp;""),""))</f>
        <v/>
      </c>
      <c r="D22" s="24" t="inlineStr">
        <is>
          <t>Type the day it was decided. A decision still to come isn't a row yet.</t>
        </is>
      </c>
    </row>
    <row r="23" ht="46" customHeight="1">
      <c r="A23" s="24" t="inlineStr">
        <is>
          <t>A gate decision not made by that gate's decider</t>
        </is>
      </c>
      <c r="B23" s="25">
        <f>IF($K$1=0,"Not done: no decisions yet",IF(COUNTIF(Log!$AA$4:$AA$153,"&gt;0")=0,"○ Clear","△ "&amp;COUNTIF(Log!$AA$4:$AA$153,"&gt;0")&amp;IF(COUNTIF(Log!$AA$4:$AA$153,"&gt;0")=1," gate decision"," gate decisions")&amp;" not made by that gate's decider"))</f>
        <v/>
      </c>
      <c r="C23" s="26">
        <f>IF(COUNTIF(Log!$AA$4:$AA$153,"&gt;0")=0,"",IFERROR(IF(INDEX(Log!$A$4:$A$153,MATCH(TRUE,INDEX(Log!$AA$4:$AA$153&gt;0,0),0))&amp;""="","Log row "&amp;(MATCH(TRUE,INDEX(Log!$AA$4:$AA$153&gt;0,0),0)+3),INDEX(Log!$A$4:$A$153,MATCH(TRUE,INDEX(Log!$AA$4:$AA$153&gt;0,0),0))&amp;""),""))</f>
        <v/>
      </c>
      <c r="D23" s="24" t="inlineStr">
        <is>
          <t>Pick the gate in Gate. Then make Decided by the name People gives for that gate, copied from the gate map.</t>
        </is>
      </c>
    </row>
    <row r="24" ht="32" customHeight="1">
      <c r="A24" s="24" t="inlineStr">
        <is>
          <t>A Replaces that names no earlier decision</t>
        </is>
      </c>
      <c r="B24" s="25">
        <f>IF($K$1=0,"Not done: no decisions yet",IF(COUNTIF(Log!$AB$4:$AB$153,"&gt;0")=0,"○ Clear","△ "&amp;COUNTIF(Log!$AB$4:$AB$153,"&gt;0")&amp;IF(COUNTIF(Log!$AB$4:$AB$153,"&gt;0")=1," decision"," decisions")&amp;" whose Replaces names no earlier decision"))</f>
        <v/>
      </c>
      <c r="C24" s="26">
        <f>IF(COUNTIF(Log!$AB$4:$AB$153,"&gt;0")=0,"",IFERROR(IF(INDEX(Log!$A$4:$A$153,MATCH(TRUE,INDEX(Log!$AB$4:$AB$153&gt;0,0),0))&amp;""="","Log row "&amp;(MATCH(TRUE,INDEX(Log!$AB$4:$AB$153&gt;0,0),0)+3),INDEX(Log!$A$4:$A$153,MATCH(TRUE,INDEX(Log!$AB$4:$AB$153&gt;0,0),0))&amp;""),""))</f>
        <v/>
      </c>
      <c r="D24" s="24" t="inlineStr">
        <is>
          <t>Fix the Id in Replaces so it names an earlier row.</t>
        </is>
      </c>
    </row>
    <row r="25" ht="32" customHeight="1">
      <c r="A25" s="24" t="inlineStr">
        <is>
          <t>A decision kept in another file with no record named</t>
        </is>
      </c>
      <c r="B25" s="25">
        <f>IF($K$1=0,"Not done: no decisions yet",IF(COUNTIF(Log!$AC$4:$AC$153,"&gt;0")=0,"○ Clear","△ "&amp;COUNTIF(Log!$AC$4:$AC$153,"&gt;0")&amp;IF(COUNTIF(Log!$AC$4:$AC$153,"&gt;0")=1," decision"," decisions")&amp;" kept in another file with no record named"))</f>
        <v/>
      </c>
      <c r="C25" s="26">
        <f>IF(COUNTIF(Log!$AC$4:$AC$153,"&gt;0")=0,"",IFERROR(IF(INDEX(Log!$A$4:$A$153,MATCH(TRUE,INDEX(Log!$AC$4:$AC$153&gt;0,0),0))&amp;""="","Log row "&amp;(MATCH(TRUE,INDEX(Log!$AC$4:$AC$153&gt;0,0),0)+3),INDEX(Log!$A$4:$A$153,MATCH(TRUE,INDEX(Log!$AC$4:$AC$153&gt;0,0),0))&amp;""),""))</f>
        <v/>
      </c>
      <c r="D25" s="24" t="inlineStr">
        <is>
          <t>Name the record in Record elsewhere, such as M-04 or Program charter edition 1.</t>
        </is>
      </c>
    </row>
    <row r="26" ht="32" customHeight="1">
      <c r="A26" s="24" t="inlineStr">
        <is>
          <t>A change another file shows that has no decision here</t>
        </is>
      </c>
      <c r="B26" s="25">
        <f>IF($K$1=0,"Not done: no decisions yet",IF($K$6=0,"Not used: Other files is empty",IF($K$5=0,"○ Clear","△ "&amp;$K$5&amp;IF($K$5=1," line"," lines")&amp;" on Other files with no decision here")))</f>
        <v/>
      </c>
      <c r="C26" s="26">
        <f>IF(OR($K$1=0,$K$5=0),"",IFERROR(INDEX('Other files'!$B$6:$B$45,MATCH(1,'Other files'!$F$6:$F$45,0))&amp;"",""))</f>
        <v/>
      </c>
      <c r="D26" s="24" t="inlineStr">
        <is>
          <t>Log the decision as a row, or take the line off Other files if it wasn't a decision.</t>
        </is>
      </c>
    </row>
  </sheetData>
  <sheetProtection selectLockedCells="0" selectUnlockedCells="0" sheet="1" objects="0" insertRows="1" insertHyperlinks="1" autoFilter="0" scenarios="0" formatColumns="0" deleteColumns="1" insertColumns="1" pivotTables="1" deleteRows="1" formatCells="0" formatRows="0" sort="1"/>
  <conditionalFormatting sqref="A3">
    <cfRule type="expression" priority="1" dxfId="0" stopIfTrue="0">
      <formula>ISNUMBER(SEARCH(" of 7 checks failing.",A3))</formula>
    </cfRule>
  </conditionalFormatting>
  <conditionalFormatting sqref="B20:B26">
    <cfRule type="expression" priority="2" dxfId="0" stopIfTrue="0">
      <formula>LEFT(B20,1)="△"</formula>
    </cfRule>
  </conditionalFormatting>
  <dataValidations count="4">
    <dataValidation sqref="B6" showDropDown="0" showInputMessage="1" showErrorMessage="0" allowBlank="1" promptTitle="Name" prompt="The project's name exactly as the Register writes it." errorStyle="stop"/>
    <dataValidation sqref="B7" showDropDown="0" showInputMessage="1" showErrorMessage="0" allowBlank="1" promptTitle="Sits under" prompt="The program it sits under, as the Register writes it." errorStyle="stop"/>
    <dataValidation sqref="B8" showDropDown="0" showInputMessage="1" showErrorMessage="1" allowBlank="1" errorTitle="Check this entry" error="Pick a name from People. If the Owner isn't there, add them on People first." promptTitle="Owner" prompt="The project's Owner, picked from People so the name matches. Questions about a row go to them." type="list" errorStyle="stop">
      <formula1>People!$D$6:$D$25</formula1>
    </dataValidation>
    <dataValidation sqref="B9" showDropDown="0" showInputMessage="1" showErrorMessage="1" allowBlank="1" errorTitle="Check this entry" error="Type a date, such as 22 Oct 2026, or leave it blank for today." promptTitle="As of" prompt="The day you're reviewing on. A decision dated after it fails a check. Leave it blank to use today's date." type="custom" errorStyle="stop">
      <formula1>OR(B9="",ISNUMBER(B9))</formula1>
    </dataValidation>
  </dataValidations>
  <pageMargins left="0.4" right="0.4" top="0.6" bottom="0.6" header="0.3" footer="0.3"/>
  <pageSetup orientation="landscape" paperSize="9" scale="100"/>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AD153"/>
  <sheetViews>
    <sheetView showGridLines="0" tabSelected="1"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11" customWidth="1" min="2" max="2"/>
    <col width="22" customWidth="1" min="3" max="3"/>
    <col width="13" customWidth="1" min="4" max="4"/>
    <col width="23" customWidth="1" min="5" max="5"/>
    <col width="9" customWidth="1" min="6" max="6"/>
    <col width="10" customWidth="1" min="7" max="7"/>
    <col width="8" customWidth="1" min="8" max="8"/>
    <col width="6" customWidth="1" min="9" max="9"/>
    <col width="6" customWidth="1" min="10" max="10"/>
    <col width="21" customWidth="1" min="11" max="11"/>
    <col width="2" customWidth="1" min="12" max="12"/>
    <col width="2" customWidth="1" min="13" max="13"/>
    <col width="2" customWidth="1" min="14" max="14"/>
    <col width="2" customWidth="1" min="15" max="15"/>
    <col width="2" customWidth="1" min="16" max="16"/>
    <col width="2" customWidth="1" min="17" max="17"/>
    <col width="2" customWidth="1" min="18" max="18"/>
    <col width="2" customWidth="1" min="19" max="19"/>
    <col hidden="1" outlineLevel="1" width="12" customWidth="1" min="20" max="30"/>
  </cols>
  <sheetData>
    <row r="1" ht="36" customHeight="1">
      <c r="A1" s="1" t="inlineStr">
        <is>
          <t>Log (Example)</t>
        </is>
      </c>
    </row>
    <row r="2" ht="18" customHeight="1">
      <c r="A2" s="11">
        <f>Summary!$A$2</f>
        <v/>
      </c>
    </row>
    <row r="3" ht="30" customHeight="1">
      <c r="A3" s="22" t="inlineStr">
        <is>
          <t>Id</t>
        </is>
      </c>
      <c r="B3" s="22" t="inlineStr">
        <is>
          <t>Date</t>
        </is>
      </c>
      <c r="C3" s="22" t="inlineStr">
        <is>
          <t>Decision</t>
        </is>
      </c>
      <c r="D3" s="22" t="inlineStr">
        <is>
          <t>Decided by</t>
        </is>
      </c>
      <c r="E3" s="22" t="inlineStr">
        <is>
          <t>Why or evidence</t>
        </is>
      </c>
      <c r="F3" s="22" t="inlineStr">
        <is>
          <t>Gate</t>
        </is>
      </c>
      <c r="G3" s="22" t="inlineStr">
        <is>
          <t>Record elsewhere</t>
        </is>
      </c>
      <c r="H3" s="22" t="inlineStr">
        <is>
          <t>Kept in</t>
        </is>
      </c>
      <c r="I3" s="22" t="inlineStr">
        <is>
          <t>Replaces</t>
        </is>
      </c>
      <c r="J3" s="23" t="inlineStr">
        <is>
          <t>Replaced by</t>
        </is>
      </c>
      <c r="K3" s="23" t="inlineStr">
        <is>
          <t>Row check</t>
        </is>
      </c>
      <c r="T3" s="23" t="inlineStr">
        <is>
          <t>Row in use (1 or 0)</t>
        </is>
      </c>
      <c r="U3" s="23" t="inlineStr">
        <is>
          <t>Replaced by a later row (1 or 0)</t>
        </is>
      </c>
      <c r="V3" s="23" t="inlineStr">
        <is>
          <t>Kept in another file (1 or 0)</t>
        </is>
      </c>
      <c r="W3" s="23" t="inlineStr">
        <is>
          <t>Ids and gate, for matching Other files</t>
        </is>
      </c>
      <c r="X3" s="23" t="inlineStr">
        <is>
          <t>Fails check 1 (1 or 0)</t>
        </is>
      </c>
      <c r="Y3" s="23" t="inlineStr">
        <is>
          <t>Fails check 2 (1 or 0)</t>
        </is>
      </c>
      <c r="Z3" s="23" t="inlineStr">
        <is>
          <t>Fails check 3 (1 or 0)</t>
        </is>
      </c>
      <c r="AA3" s="23" t="inlineStr">
        <is>
          <t>Fails check 4 (0; 1 wrong decider, 2 nobody set, 3 gate not picked)</t>
        </is>
      </c>
      <c r="AB3" s="23" t="inlineStr">
        <is>
          <t>Fails check 5 (1 or 0)</t>
        </is>
      </c>
      <c r="AC3" s="23" t="inlineStr">
        <is>
          <t>Fails check 6 (1 or 0)</t>
        </is>
      </c>
      <c r="AD3" s="23" t="inlineStr">
        <is>
          <t>Id number</t>
        </is>
      </c>
    </row>
    <row r="4" ht="83" customHeight="1">
      <c r="A4" s="27" t="inlineStr">
        <is>
          <t>DL-01</t>
        </is>
      </c>
      <c r="B4" s="28" t="n">
        <v>46086</v>
      </c>
      <c r="C4" s="29" t="inlineStr">
        <is>
          <t>Program Investment decision, tranche 1: Billing Engine Rewrite's share of the envelope is 780,000.</t>
        </is>
      </c>
      <c r="D4" s="29" t="inlineStr">
        <is>
          <t>Priya (CTO)</t>
        </is>
      </c>
      <c r="E4" s="29" t="inlineStr">
        <is>
          <t>Evidence looked at for the Investment decision, in the program charter, edition 1.</t>
        </is>
      </c>
      <c r="F4" s="29" t="n"/>
      <c r="G4" s="29" t="inlineStr">
        <is>
          <t>Program charter edition 1</t>
        </is>
      </c>
      <c r="H4" s="29" t="inlineStr">
        <is>
          <t>Program charter</t>
        </is>
      </c>
      <c r="I4" s="27" t="n"/>
      <c r="J4" s="30">
        <f>IF(OR($T4=0,$U4=0),"",INDEX($A$4:$A$153,MATCH($A4,$I$4:$I$153,0)))</f>
        <v/>
      </c>
      <c r="K4" s="31">
        <f>IF($T4=0,"",IF(COUNTIF($X4:$AC4,"&gt;0")=0,"○ Clear",TRIM("△ "&amp;COUNTIF($X4:$AC4,"&gt;0")&amp;IF(COUNTIF($X4:$AC4,"&gt;0")=1," problem: "," problems: ")&amp;IF($X4&gt;0,"Decided by needs one name from People, and a body needs members and a signer. ","")&amp;IF($Y4&gt;0,"Why or evidence needs the reason itself, in three words or more. ","")&amp;IF($Z4&gt;0,"Date needs the day it was decided, no later than As of. ","")&amp;IF($AA4=1,IF(ISNA(MATCH($F4,People!$B$30:$B$36,0)),"Gate isn't one of the gate names on People. ","People names "&amp;INDEX(People!$C$30:$C$36,MATCH($F4,People!$B$30:$B$36,0))&amp;" to decide "&amp;$F4&amp;". "),IF($AA4=2,"People names nobody to decide "&amp;$F4&amp;". ",IF($AA4=3,"The Decision opens with a gate's name, so pick that gate in Gate. ","")))&amp;IF($AB4&gt;0,"Replaces needs the Id of a row dated no later than this one. ","")&amp;IF($AC4&gt;0,"Record elsewhere needs the name of the record the other file keeps. ",""))))</f>
        <v/>
      </c>
      <c r="T4" s="32">
        <f>IF(COUNTA($A4:$I4)&gt;0,1,0)</f>
        <v/>
      </c>
      <c r="U4" s="32">
        <f>IF(OR($T4=0,$A4=""),0,IF(COUNTIF($I$4:$I$153,$A4)&gt;0,1,0))</f>
        <v/>
      </c>
      <c r="V4" s="32">
        <f>IF(AND($T4=1,$H4&lt;&gt;"",$H4&lt;&gt;"This log"),1,0)</f>
        <v/>
      </c>
      <c r="W4" s="26">
        <f>IF($T4=0,"",","&amp;SUBSTITUTE(SUBSTITUTE($G4&amp;","&amp;$F4," ",""),";",",")&amp;",")</f>
        <v/>
      </c>
      <c r="X4" s="32">
        <f>IF($T4=0,0,IF(LEN(TRIM($D4))=0,1,IF(COUNTIF(People!$D$6:$D$25,TRIM($D4))=0,1,IF(INDEX(People!$E$6:$E$25,MATCH(TRIM($D4),People!$D$6:$D$25,0))&lt;&gt;"Body",0,IF(OR(LEN(TRIM(INDEX(People!$F$6:$F$25,MATCH(TRIM($D4),People!$D$6:$D$25,0))))=0,LEN(TRIM(INDEX(People!$G$6:$G$25,MATCH(TRIM($D4),People!$D$6:$D$25,0))))=0),1,0)))))</f>
        <v/>
      </c>
      <c r="Y4" s="32">
        <f>IF($T4=0,0,IF(LEN(TRIM($E4))=0,1,IF(LEN(TRIM($E4))-LEN(SUBSTITUTE(TRIM($E4)," ",""))+1&lt;3,1,IF(SUMPRODUCT((People!$J$6:$J$12&lt;&gt;"")*(LEFT(LOWER(TRIM($E4))&amp;" ",LEN(People!$J$6:$J$12)+1)=LOWER(People!$J$6:$J$12)&amp;" "))&gt;0,1,0))))</f>
        <v/>
      </c>
      <c r="Z4" s="32">
        <f>IF($T4=0,0,IF(NOT(ISNUMBER($B4)),1,IF($B4&gt;Summary!$K$3,1,0)))</f>
        <v/>
      </c>
      <c r="AA4" s="32">
        <f>IF($T4=0,0,IF($F4="",IF(SUMPRODUCT(--(LOWER(LEFT($C4,LEN(People!$B$30:$B$36)+1))=LOWER(People!$B$30:$B$36)&amp;":"))&gt;0,3,0),IF(ISNA(MATCH($F4,People!$B$30:$B$36,0)),1,IF(LEN(INDEX(People!$C$30:$C$36,MATCH($F4,People!$B$30:$B$36,0))&amp;"")=0,2,IF(TRIM($D4)&lt;&gt;INDEX(People!$C$30:$C$36,MATCH($F4,People!$B$30:$B$36,0)),1,0)))))</f>
        <v/>
      </c>
      <c r="AB4" s="32">
        <f>IF(OR($T4=0,$I4=""),0,IF(OR($I4=$A4,COUNTIF($A$4:$A$153,$I4)=0),1,IF(INDEX($B$4:$B$153,MATCH($I4,$A$4:$A$153,0))&gt;$B4,1,0)))</f>
        <v/>
      </c>
      <c r="AC4" s="32">
        <f>IF(AND($V4=1,LEN(TRIM($G4))=0),1,0)</f>
        <v/>
      </c>
      <c r="AD4" s="32">
        <f>IF($T4=0,0,IFERROR(VALUE(MID($A4,4,9)),0))</f>
        <v/>
      </c>
    </row>
    <row r="5" ht="70" customHeight="1">
      <c r="A5" s="27" t="inlineStr">
        <is>
          <t>DL-02</t>
        </is>
      </c>
      <c r="B5" s="28" t="n">
        <v>46093</v>
      </c>
      <c r="C5" s="29" t="inlineStr">
        <is>
          <t>Start: Go.</t>
        </is>
      </c>
      <c r="D5" s="29" t="inlineStr">
        <is>
          <t>Priya (CTO)</t>
        </is>
      </c>
      <c r="E5" s="29" t="inlineStr">
        <is>
          <t>Business case review by Tomasz (PMO Head), 9 Mar 2026, passed.</t>
        </is>
      </c>
      <c r="F5" s="29" t="inlineStr">
        <is>
          <t>Start</t>
        </is>
      </c>
      <c r="G5" s="29" t="n"/>
      <c r="H5" s="29" t="n"/>
      <c r="I5" s="27" t="n"/>
      <c r="J5" s="30">
        <f>IF(OR($T5=0,$U5=0),"",INDEX($A$4:$A$153,MATCH($A5,$I$4:$I$153,0)))</f>
        <v/>
      </c>
      <c r="K5" s="31">
        <f>IF($T5=0,"",IF(COUNTIF($X5:$AC5,"&gt;0")=0,"○ Clear",TRIM("△ "&amp;COUNTIF($X5:$AC5,"&gt;0")&amp;IF(COUNTIF($X5:$AC5,"&gt;0")=1," problem: "," problems: ")&amp;IF($X5&gt;0,"Decided by needs one name from People, and a body needs members and a signer. ","")&amp;IF($Y5&gt;0,"Why or evidence needs the reason itself, in three words or more. ","")&amp;IF($Z5&gt;0,"Date needs the day it was decided, no later than As of. ","")&amp;IF($AA5=1,IF(ISNA(MATCH($F5,People!$B$30:$B$36,0)),"Gate isn't one of the gate names on People. ","People names "&amp;INDEX(People!$C$30:$C$36,MATCH($F5,People!$B$30:$B$36,0))&amp;" to decide "&amp;$F5&amp;". "),IF($AA5=2,"People names nobody to decide "&amp;$F5&amp;". ",IF($AA5=3,"The Decision opens with a gate's name, so pick that gate in Gate. ","")))&amp;IF($AB5&gt;0,"Replaces needs the Id of a row dated no later than this one. ","")&amp;IF($AC5&gt;0,"Record elsewhere needs the name of the record the other file keeps. ",""))))</f>
        <v/>
      </c>
      <c r="T5" s="32">
        <f>IF(COUNTA($A5:$I5)&gt;0,1,0)</f>
        <v/>
      </c>
      <c r="U5" s="32">
        <f>IF(OR($T5=0,$A5=""),0,IF(COUNTIF($I$4:$I$153,$A5)&gt;0,1,0))</f>
        <v/>
      </c>
      <c r="V5" s="32">
        <f>IF(AND($T5=1,$H5&lt;&gt;"",$H5&lt;&gt;"This log"),1,0)</f>
        <v/>
      </c>
      <c r="W5" s="26">
        <f>IF($T5=0,"",","&amp;SUBSTITUTE(SUBSTITUTE($G5&amp;","&amp;$F5," ",""),";",",")&amp;",")</f>
        <v/>
      </c>
      <c r="X5" s="32">
        <f>IF($T5=0,0,IF(LEN(TRIM($D5))=0,1,IF(COUNTIF(People!$D$6:$D$25,TRIM($D5))=0,1,IF(INDEX(People!$E$6:$E$25,MATCH(TRIM($D5),People!$D$6:$D$25,0))&lt;&gt;"Body",0,IF(OR(LEN(TRIM(INDEX(People!$F$6:$F$25,MATCH(TRIM($D5),People!$D$6:$D$25,0))))=0,LEN(TRIM(INDEX(People!$G$6:$G$25,MATCH(TRIM($D5),People!$D$6:$D$25,0))))=0),1,0)))))</f>
        <v/>
      </c>
      <c r="Y5" s="32">
        <f>IF($T5=0,0,IF(LEN(TRIM($E5))=0,1,IF(LEN(TRIM($E5))-LEN(SUBSTITUTE(TRIM($E5)," ",""))+1&lt;3,1,IF(SUMPRODUCT((People!$J$6:$J$12&lt;&gt;"")*(LEFT(LOWER(TRIM($E5))&amp;" ",LEN(People!$J$6:$J$12)+1)=LOWER(People!$J$6:$J$12)&amp;" "))&gt;0,1,0))))</f>
        <v/>
      </c>
      <c r="Z5" s="32">
        <f>IF($T5=0,0,IF(NOT(ISNUMBER($B5)),1,IF($B5&gt;Summary!$K$3,1,0)))</f>
        <v/>
      </c>
      <c r="AA5" s="32">
        <f>IF($T5=0,0,IF($F5="",IF(SUMPRODUCT(--(LOWER(LEFT($C5,LEN(People!$B$30:$B$36)+1))=LOWER(People!$B$30:$B$36)&amp;":"))&gt;0,3,0),IF(ISNA(MATCH($F5,People!$B$30:$B$36,0)),1,IF(LEN(INDEX(People!$C$30:$C$36,MATCH($F5,People!$B$30:$B$36,0))&amp;"")=0,2,IF(TRIM($D5)&lt;&gt;INDEX(People!$C$30:$C$36,MATCH($F5,People!$B$30:$B$36,0)),1,0)))))</f>
        <v/>
      </c>
      <c r="AB5" s="32">
        <f>IF(OR($T5=0,$I5=""),0,IF(OR($I5=$A5,COUNTIF($A$4:$A$153,$I5)=0),1,IF(INDEX($B$4:$B$153,MATCH($I5,$A$4:$A$153,0))&gt;$B5,1,0)))</f>
        <v/>
      </c>
      <c r="AC5" s="32">
        <f>IF(AND($V5=1,LEN(TRIM($G5))=0),1,0)</f>
        <v/>
      </c>
      <c r="AD5" s="32">
        <f>IF($T5=0,0,IFERROR(VALUE(MID($A5,4,9)),0))</f>
        <v/>
      </c>
    </row>
    <row r="6" ht="70" customHeight="1">
      <c r="A6" s="27" t="inlineStr">
        <is>
          <t>DL-03</t>
        </is>
      </c>
      <c r="B6" s="28" t="n">
        <v>46185</v>
      </c>
      <c r="C6" s="29" t="inlineStr">
        <is>
          <t>Plan baselined: Go.</t>
        </is>
      </c>
      <c r="D6" s="29" t="inlineStr">
        <is>
          <t>Anders (Engineering Manager)</t>
        </is>
      </c>
      <c r="E6" s="29" t="inlineStr">
        <is>
          <t>Plan and estimate review, 9 Jun 2026, passed; reviewer Anders.</t>
        </is>
      </c>
      <c r="F6" s="29" t="inlineStr">
        <is>
          <t>Plan baselined</t>
        </is>
      </c>
      <c r="G6" s="29" t="n"/>
      <c r="H6" s="29" t="n"/>
      <c r="I6" s="27" t="n"/>
      <c r="J6" s="30">
        <f>IF(OR($T6=0,$U6=0),"",INDEX($A$4:$A$153,MATCH($A6,$I$4:$I$153,0)))</f>
        <v/>
      </c>
      <c r="K6" s="31">
        <f>IF($T6=0,"",IF(COUNTIF($X6:$AC6,"&gt;0")=0,"○ Clear",TRIM("△ "&amp;COUNTIF($X6:$AC6,"&gt;0")&amp;IF(COUNTIF($X6:$AC6,"&gt;0")=1," problem: "," problems: ")&amp;IF($X6&gt;0,"Decided by needs one name from People, and a body needs members and a signer. ","")&amp;IF($Y6&gt;0,"Why or evidence needs the reason itself, in three words or more. ","")&amp;IF($Z6&gt;0,"Date needs the day it was decided, no later than As of. ","")&amp;IF($AA6=1,IF(ISNA(MATCH($F6,People!$B$30:$B$36,0)),"Gate isn't one of the gate names on People. ","People names "&amp;INDEX(People!$C$30:$C$36,MATCH($F6,People!$B$30:$B$36,0))&amp;" to decide "&amp;$F6&amp;". "),IF($AA6=2,"People names nobody to decide "&amp;$F6&amp;". ",IF($AA6=3,"The Decision opens with a gate's name, so pick that gate in Gate. ","")))&amp;IF($AB6&gt;0,"Replaces needs the Id of a row dated no later than this one. ","")&amp;IF($AC6&gt;0,"Record elsewhere needs the name of the record the other file keeps. ",""))))</f>
        <v/>
      </c>
      <c r="T6" s="32">
        <f>IF(COUNTA($A6:$I6)&gt;0,1,0)</f>
        <v/>
      </c>
      <c r="U6" s="32">
        <f>IF(OR($T6=0,$A6=""),0,IF(COUNTIF($I$4:$I$153,$A6)&gt;0,1,0))</f>
        <v/>
      </c>
      <c r="V6" s="32">
        <f>IF(AND($T6=1,$H6&lt;&gt;"",$H6&lt;&gt;"This log"),1,0)</f>
        <v/>
      </c>
      <c r="W6" s="26">
        <f>IF($T6=0,"",","&amp;SUBSTITUTE(SUBSTITUTE($G6&amp;","&amp;$F6," ",""),";",",")&amp;",")</f>
        <v/>
      </c>
      <c r="X6" s="32">
        <f>IF($T6=0,0,IF(LEN(TRIM($D6))=0,1,IF(COUNTIF(People!$D$6:$D$25,TRIM($D6))=0,1,IF(INDEX(People!$E$6:$E$25,MATCH(TRIM($D6),People!$D$6:$D$25,0))&lt;&gt;"Body",0,IF(OR(LEN(TRIM(INDEX(People!$F$6:$F$25,MATCH(TRIM($D6),People!$D$6:$D$25,0))))=0,LEN(TRIM(INDEX(People!$G$6:$G$25,MATCH(TRIM($D6),People!$D$6:$D$25,0))))=0),1,0)))))</f>
        <v/>
      </c>
      <c r="Y6" s="32">
        <f>IF($T6=0,0,IF(LEN(TRIM($E6))=0,1,IF(LEN(TRIM($E6))-LEN(SUBSTITUTE(TRIM($E6)," ",""))+1&lt;3,1,IF(SUMPRODUCT((People!$J$6:$J$12&lt;&gt;"")*(LEFT(LOWER(TRIM($E6))&amp;" ",LEN(People!$J$6:$J$12)+1)=LOWER(People!$J$6:$J$12)&amp;" "))&gt;0,1,0))))</f>
        <v/>
      </c>
      <c r="Z6" s="32">
        <f>IF($T6=0,0,IF(NOT(ISNUMBER($B6)),1,IF($B6&gt;Summary!$K$3,1,0)))</f>
        <v/>
      </c>
      <c r="AA6" s="32">
        <f>IF($T6=0,0,IF($F6="",IF(SUMPRODUCT(--(LOWER(LEFT($C6,LEN(People!$B$30:$B$36)+1))=LOWER(People!$B$30:$B$36)&amp;":"))&gt;0,3,0),IF(ISNA(MATCH($F6,People!$B$30:$B$36,0)),1,IF(LEN(INDEX(People!$C$30:$C$36,MATCH($F6,People!$B$30:$B$36,0))&amp;"")=0,2,IF(TRIM($D6)&lt;&gt;INDEX(People!$C$30:$C$36,MATCH($F6,People!$B$30:$B$36,0)),1,0)))))</f>
        <v/>
      </c>
      <c r="AB6" s="32">
        <f>IF(OR($T6=0,$I6=""),0,IF(OR($I6=$A6,COUNTIF($A$4:$A$153,$I6)=0),1,IF(INDEX($B$4:$B$153,MATCH($I6,$A$4:$A$153,0))&gt;$B6,1,0)))</f>
        <v/>
      </c>
      <c r="AC6" s="32">
        <f>IF(AND($V6=1,LEN(TRIM($G6))=0),1,0)</f>
        <v/>
      </c>
      <c r="AD6" s="32">
        <f>IF($T6=0,0,IFERROR(VALUE(MID($A6,4,9)),0))</f>
        <v/>
      </c>
    </row>
    <row r="7" ht="96" customHeight="1">
      <c r="A7" s="27" t="inlineStr">
        <is>
          <t>DL-04</t>
        </is>
      </c>
      <c r="B7" s="28" t="n">
        <v>46185</v>
      </c>
      <c r="C7" s="29" t="inlineStr">
        <is>
          <t>C-02, the old engine's tax export check, is waived.</t>
        </is>
      </c>
      <c r="D7" s="29" t="inlineStr">
        <is>
          <t>Hugo (Program Manager)</t>
        </is>
      </c>
      <c r="E7" s="29" t="inlineStr">
        <is>
          <t>The US tax rules were carried over and other countries' rules are left out of the first cutover, so the export isn't needed.</t>
        </is>
      </c>
      <c r="F7" s="29" t="n"/>
      <c r="G7" s="29" t="inlineStr">
        <is>
          <t>C-02</t>
        </is>
      </c>
      <c r="H7" s="29" t="n"/>
      <c r="I7" s="27" t="n"/>
      <c r="J7" s="30">
        <f>IF(OR($T7=0,$U7=0),"",INDEX($A$4:$A$153,MATCH($A7,$I$4:$I$153,0)))</f>
        <v/>
      </c>
      <c r="K7" s="31">
        <f>IF($T7=0,"",IF(COUNTIF($X7:$AC7,"&gt;0")=0,"○ Clear",TRIM("△ "&amp;COUNTIF($X7:$AC7,"&gt;0")&amp;IF(COUNTIF($X7:$AC7,"&gt;0")=1," problem: "," problems: ")&amp;IF($X7&gt;0,"Decided by needs one name from People, and a body needs members and a signer. ","")&amp;IF($Y7&gt;0,"Why or evidence needs the reason itself, in three words or more. ","")&amp;IF($Z7&gt;0,"Date needs the day it was decided, no later than As of. ","")&amp;IF($AA7=1,IF(ISNA(MATCH($F7,People!$B$30:$B$36,0)),"Gate isn't one of the gate names on People. ","People names "&amp;INDEX(People!$C$30:$C$36,MATCH($F7,People!$B$30:$B$36,0))&amp;" to decide "&amp;$F7&amp;". "),IF($AA7=2,"People names nobody to decide "&amp;$F7&amp;". ",IF($AA7=3,"The Decision opens with a gate's name, so pick that gate in Gate. ","")))&amp;IF($AB7&gt;0,"Replaces needs the Id of a row dated no later than this one. ","")&amp;IF($AC7&gt;0,"Record elsewhere needs the name of the record the other file keeps. ",""))))</f>
        <v/>
      </c>
      <c r="T7" s="32">
        <f>IF(COUNTA($A7:$I7)&gt;0,1,0)</f>
        <v/>
      </c>
      <c r="U7" s="32">
        <f>IF(OR($T7=0,$A7=""),0,IF(COUNTIF($I$4:$I$153,$A7)&gt;0,1,0))</f>
        <v/>
      </c>
      <c r="V7" s="32">
        <f>IF(AND($T7=1,$H7&lt;&gt;"",$H7&lt;&gt;"This log"),1,0)</f>
        <v/>
      </c>
      <c r="W7" s="26">
        <f>IF($T7=0,"",","&amp;SUBSTITUTE(SUBSTITUTE($G7&amp;","&amp;$F7," ",""),";",",")&amp;",")</f>
        <v/>
      </c>
      <c r="X7" s="32">
        <f>IF($T7=0,0,IF(LEN(TRIM($D7))=0,1,IF(COUNTIF(People!$D$6:$D$25,TRIM($D7))=0,1,IF(INDEX(People!$E$6:$E$25,MATCH(TRIM($D7),People!$D$6:$D$25,0))&lt;&gt;"Body",0,IF(OR(LEN(TRIM(INDEX(People!$F$6:$F$25,MATCH(TRIM($D7),People!$D$6:$D$25,0))))=0,LEN(TRIM(INDEX(People!$G$6:$G$25,MATCH(TRIM($D7),People!$D$6:$D$25,0))))=0),1,0)))))</f>
        <v/>
      </c>
      <c r="Y7" s="32">
        <f>IF($T7=0,0,IF(LEN(TRIM($E7))=0,1,IF(LEN(TRIM($E7))-LEN(SUBSTITUTE(TRIM($E7)," ",""))+1&lt;3,1,IF(SUMPRODUCT((People!$J$6:$J$12&lt;&gt;"")*(LEFT(LOWER(TRIM($E7))&amp;" ",LEN(People!$J$6:$J$12)+1)=LOWER(People!$J$6:$J$12)&amp;" "))&gt;0,1,0))))</f>
        <v/>
      </c>
      <c r="Z7" s="32">
        <f>IF($T7=0,0,IF(NOT(ISNUMBER($B7)),1,IF($B7&gt;Summary!$K$3,1,0)))</f>
        <v/>
      </c>
      <c r="AA7" s="32">
        <f>IF($T7=0,0,IF($F7="",IF(SUMPRODUCT(--(LOWER(LEFT($C7,LEN(People!$B$30:$B$36)+1))=LOWER(People!$B$30:$B$36)&amp;":"))&gt;0,3,0),IF(ISNA(MATCH($F7,People!$B$30:$B$36,0)),1,IF(LEN(INDEX(People!$C$30:$C$36,MATCH($F7,People!$B$30:$B$36,0))&amp;"")=0,2,IF(TRIM($D7)&lt;&gt;INDEX(People!$C$30:$C$36,MATCH($F7,People!$B$30:$B$36,0)),1,0)))))</f>
        <v/>
      </c>
      <c r="AB7" s="32">
        <f>IF(OR($T7=0,$I7=""),0,IF(OR($I7=$A7,COUNTIF($A$4:$A$153,$I7)=0),1,IF(INDEX($B$4:$B$153,MATCH($I7,$A$4:$A$153,0))&gt;$B7,1,0)))</f>
        <v/>
      </c>
      <c r="AC7" s="32">
        <f>IF(AND($V7=1,LEN(TRIM($G7))=0),1,0)</f>
        <v/>
      </c>
      <c r="AD7" s="32">
        <f>IF($T7=0,0,IFERROR(VALUE(MID($A7,4,9)),0))</f>
        <v/>
      </c>
    </row>
    <row r="8" ht="83" customHeight="1">
      <c r="A8" s="27" t="inlineStr">
        <is>
          <t>DL-05</t>
        </is>
      </c>
      <c r="B8" s="28" t="n">
        <v>46185</v>
      </c>
      <c r="C8" s="29" t="inlineStr">
        <is>
          <t>At the first cutover the new engine carries the US tax rules and leaves out other countries' rules.</t>
        </is>
      </c>
      <c r="D8" s="29" t="inlineStr">
        <is>
          <t>Anders (Engineering Manager)</t>
        </is>
      </c>
      <c r="E8" s="29" t="inlineStr">
        <is>
          <t>Invoice Tax Rules wasn't accepted yet. M-04 wrote the split down again on 8 Oct 2026.</t>
        </is>
      </c>
      <c r="F8" s="29" t="n"/>
      <c r="G8" s="29" t="n"/>
      <c r="H8" s="29" t="n"/>
      <c r="I8" s="27" t="n"/>
      <c r="J8" s="30">
        <f>IF(OR($T8=0,$U8=0),"",INDEX($A$4:$A$153,MATCH($A8,$I$4:$I$153,0)))</f>
        <v/>
      </c>
      <c r="K8" s="31">
        <f>IF($T8=0,"",IF(COUNTIF($X8:$AC8,"&gt;0")=0,"○ Clear",TRIM("△ "&amp;COUNTIF($X8:$AC8,"&gt;0")&amp;IF(COUNTIF($X8:$AC8,"&gt;0")=1," problem: "," problems: ")&amp;IF($X8&gt;0,"Decided by needs one name from People, and a body needs members and a signer. ","")&amp;IF($Y8&gt;0,"Why or evidence needs the reason itself, in three words or more. ","")&amp;IF($Z8&gt;0,"Date needs the day it was decided, no later than As of. ","")&amp;IF($AA8=1,IF(ISNA(MATCH($F8,People!$B$30:$B$36,0)),"Gate isn't one of the gate names on People. ","People names "&amp;INDEX(People!$C$30:$C$36,MATCH($F8,People!$B$30:$B$36,0))&amp;" to decide "&amp;$F8&amp;". "),IF($AA8=2,"People names nobody to decide "&amp;$F8&amp;". ",IF($AA8=3,"The Decision opens with a gate's name, so pick that gate in Gate. ","")))&amp;IF($AB8&gt;0,"Replaces needs the Id of a row dated no later than this one. ","")&amp;IF($AC8&gt;0,"Record elsewhere needs the name of the record the other file keeps. ",""))))</f>
        <v/>
      </c>
      <c r="T8" s="32">
        <f>IF(COUNTA($A8:$I8)&gt;0,1,0)</f>
        <v/>
      </c>
      <c r="U8" s="32">
        <f>IF(OR($T8=0,$A8=""),0,IF(COUNTIF($I$4:$I$153,$A8)&gt;0,1,0))</f>
        <v/>
      </c>
      <c r="V8" s="32">
        <f>IF(AND($T8=1,$H8&lt;&gt;"",$H8&lt;&gt;"This log"),1,0)</f>
        <v/>
      </c>
      <c r="W8" s="26">
        <f>IF($T8=0,"",","&amp;SUBSTITUTE(SUBSTITUTE($G8&amp;","&amp;$F8," ",""),";",",")&amp;",")</f>
        <v/>
      </c>
      <c r="X8" s="32">
        <f>IF($T8=0,0,IF(LEN(TRIM($D8))=0,1,IF(COUNTIF(People!$D$6:$D$25,TRIM($D8))=0,1,IF(INDEX(People!$E$6:$E$25,MATCH(TRIM($D8),People!$D$6:$D$25,0))&lt;&gt;"Body",0,IF(OR(LEN(TRIM(INDEX(People!$F$6:$F$25,MATCH(TRIM($D8),People!$D$6:$D$25,0))))=0,LEN(TRIM(INDEX(People!$G$6:$G$25,MATCH(TRIM($D8),People!$D$6:$D$25,0))))=0),1,0)))))</f>
        <v/>
      </c>
      <c r="Y8" s="32">
        <f>IF($T8=0,0,IF(LEN(TRIM($E8))=0,1,IF(LEN(TRIM($E8))-LEN(SUBSTITUTE(TRIM($E8)," ",""))+1&lt;3,1,IF(SUMPRODUCT((People!$J$6:$J$12&lt;&gt;"")*(LEFT(LOWER(TRIM($E8))&amp;" ",LEN(People!$J$6:$J$12)+1)=LOWER(People!$J$6:$J$12)&amp;" "))&gt;0,1,0))))</f>
        <v/>
      </c>
      <c r="Z8" s="32">
        <f>IF($T8=0,0,IF(NOT(ISNUMBER($B8)),1,IF($B8&gt;Summary!$K$3,1,0)))</f>
        <v/>
      </c>
      <c r="AA8" s="32">
        <f>IF($T8=0,0,IF($F8="",IF(SUMPRODUCT(--(LOWER(LEFT($C8,LEN(People!$B$30:$B$36)+1))=LOWER(People!$B$30:$B$36)&amp;":"))&gt;0,3,0),IF(ISNA(MATCH($F8,People!$B$30:$B$36,0)),1,IF(LEN(INDEX(People!$C$30:$C$36,MATCH($F8,People!$B$30:$B$36,0))&amp;"")=0,2,IF(TRIM($D8)&lt;&gt;INDEX(People!$C$30:$C$36,MATCH($F8,People!$B$30:$B$36,0)),1,0)))))</f>
        <v/>
      </c>
      <c r="AB8" s="32">
        <f>IF(OR($T8=0,$I8=""),0,IF(OR($I8=$A8,COUNTIF($A$4:$A$153,$I8)=0),1,IF(INDEX($B$4:$B$153,MATCH($I8,$A$4:$A$153,0))&gt;$B8,1,0)))</f>
        <v/>
      </c>
      <c r="AC8" s="32">
        <f>IF(AND($V8=1,LEN(TRIM($G8))=0),1,0)</f>
        <v/>
      </c>
      <c r="AD8" s="32">
        <f>IF($T8=0,0,IFERROR(VALUE(MID($A8,4,9)),0))</f>
        <v/>
      </c>
    </row>
    <row r="9" ht="70" customHeight="1">
      <c r="A9" s="27" t="inlineStr">
        <is>
          <t>DL-06</t>
        </is>
      </c>
      <c r="B9" s="28" t="n">
        <v>46274</v>
      </c>
      <c r="C9" s="29" t="inlineStr">
        <is>
          <t>The RACI is agreed (version 1).</t>
        </is>
      </c>
      <c r="D9" s="29" t="inlineStr">
        <is>
          <t>Anders (Engineering Manager)</t>
        </is>
      </c>
      <c r="E9" s="29" t="inlineStr">
        <is>
          <t>First agreed 9 Sep 2026, confirmed 10 and 11 Sep.</t>
        </is>
      </c>
      <c r="F9" s="29" t="n"/>
      <c r="G9" s="29" t="inlineStr">
        <is>
          <t>RACI v1</t>
        </is>
      </c>
      <c r="H9" s="29" t="n"/>
      <c r="I9" s="27" t="n"/>
      <c r="J9" s="30">
        <f>IF(OR($T9=0,$U9=0),"",INDEX($A$4:$A$153,MATCH($A9,$I$4:$I$153,0)))</f>
        <v/>
      </c>
      <c r="K9" s="31">
        <f>IF($T9=0,"",IF(COUNTIF($X9:$AC9,"&gt;0")=0,"○ Clear",TRIM("△ "&amp;COUNTIF($X9:$AC9,"&gt;0")&amp;IF(COUNTIF($X9:$AC9,"&gt;0")=1," problem: "," problems: ")&amp;IF($X9&gt;0,"Decided by needs one name from People, and a body needs members and a signer. ","")&amp;IF($Y9&gt;0,"Why or evidence needs the reason itself, in three words or more. ","")&amp;IF($Z9&gt;0,"Date needs the day it was decided, no later than As of. ","")&amp;IF($AA9=1,IF(ISNA(MATCH($F9,People!$B$30:$B$36,0)),"Gate isn't one of the gate names on People. ","People names "&amp;INDEX(People!$C$30:$C$36,MATCH($F9,People!$B$30:$B$36,0))&amp;" to decide "&amp;$F9&amp;". "),IF($AA9=2,"People names nobody to decide "&amp;$F9&amp;". ",IF($AA9=3,"The Decision opens with a gate's name, so pick that gate in Gate. ","")))&amp;IF($AB9&gt;0,"Replaces needs the Id of a row dated no later than this one. ","")&amp;IF($AC9&gt;0,"Record elsewhere needs the name of the record the other file keeps. ",""))))</f>
        <v/>
      </c>
      <c r="T9" s="32">
        <f>IF(COUNTA($A9:$I9)&gt;0,1,0)</f>
        <v/>
      </c>
      <c r="U9" s="32">
        <f>IF(OR($T9=0,$A9=""),0,IF(COUNTIF($I$4:$I$153,$A9)&gt;0,1,0))</f>
        <v/>
      </c>
      <c r="V9" s="32">
        <f>IF(AND($T9=1,$H9&lt;&gt;"",$H9&lt;&gt;"This log"),1,0)</f>
        <v/>
      </c>
      <c r="W9" s="26">
        <f>IF($T9=0,"",","&amp;SUBSTITUTE(SUBSTITUTE($G9&amp;","&amp;$F9," ",""),";",",")&amp;",")</f>
        <v/>
      </c>
      <c r="X9" s="32">
        <f>IF($T9=0,0,IF(LEN(TRIM($D9))=0,1,IF(COUNTIF(People!$D$6:$D$25,TRIM($D9))=0,1,IF(INDEX(People!$E$6:$E$25,MATCH(TRIM($D9),People!$D$6:$D$25,0))&lt;&gt;"Body",0,IF(OR(LEN(TRIM(INDEX(People!$F$6:$F$25,MATCH(TRIM($D9),People!$D$6:$D$25,0))))=0,LEN(TRIM(INDEX(People!$G$6:$G$25,MATCH(TRIM($D9),People!$D$6:$D$25,0))))=0),1,0)))))</f>
        <v/>
      </c>
      <c r="Y9" s="32">
        <f>IF($T9=0,0,IF(LEN(TRIM($E9))=0,1,IF(LEN(TRIM($E9))-LEN(SUBSTITUTE(TRIM($E9)," ",""))+1&lt;3,1,IF(SUMPRODUCT((People!$J$6:$J$12&lt;&gt;"")*(LEFT(LOWER(TRIM($E9))&amp;" ",LEN(People!$J$6:$J$12)+1)=LOWER(People!$J$6:$J$12)&amp;" "))&gt;0,1,0))))</f>
        <v/>
      </c>
      <c r="Z9" s="32">
        <f>IF($T9=0,0,IF(NOT(ISNUMBER($B9)),1,IF($B9&gt;Summary!$K$3,1,0)))</f>
        <v/>
      </c>
      <c r="AA9" s="32">
        <f>IF($T9=0,0,IF($F9="",IF(SUMPRODUCT(--(LOWER(LEFT($C9,LEN(People!$B$30:$B$36)+1))=LOWER(People!$B$30:$B$36)&amp;":"))&gt;0,3,0),IF(ISNA(MATCH($F9,People!$B$30:$B$36,0)),1,IF(LEN(INDEX(People!$C$30:$C$36,MATCH($F9,People!$B$30:$B$36,0))&amp;"")=0,2,IF(TRIM($D9)&lt;&gt;INDEX(People!$C$30:$C$36,MATCH($F9,People!$B$30:$B$36,0)),1,0)))))</f>
        <v/>
      </c>
      <c r="AB9" s="32">
        <f>IF(OR($T9=0,$I9=""),0,IF(OR($I9=$A9,COUNTIF($A$4:$A$153,$I9)=0),1,IF(INDEX($B$4:$B$153,MATCH($I9,$A$4:$A$153,0))&gt;$B9,1,0)))</f>
        <v/>
      </c>
      <c r="AC9" s="32">
        <f>IF(AND($V9=1,LEN(TRIM($G9))=0),1,0)</f>
        <v/>
      </c>
      <c r="AD9" s="32">
        <f>IF($T9=0,0,IFERROR(VALUE(MID($A9,4,9)),0))</f>
        <v/>
      </c>
    </row>
    <row r="10" ht="122" customHeight="1">
      <c r="A10" s="27" t="inlineStr">
        <is>
          <t>DL-07</t>
        </is>
      </c>
      <c r="B10" s="28" t="n">
        <v>46286</v>
      </c>
      <c r="C10" s="29" t="inlineStr">
        <is>
          <t>Changes beyond the Owner's limit go to the sponsor, not Hugo (CH-1). C-04's test moves to a full copy of the customer records (CH-2).</t>
        </is>
      </c>
      <c r="D10" s="29" t="inlineStr">
        <is>
          <t>Anders (Engineering Manager)</t>
        </is>
      </c>
      <c r="E10" s="29" t="inlineStr">
        <is>
          <t>Changes beyond the limit are the sponsor's call, and with no sponsor named nobody can approve one yet (CH-1). CH-2 adds testing at no cost, absorbed in item 2, and moves no date.</t>
        </is>
      </c>
      <c r="F10" s="29" t="n"/>
      <c r="G10" s="29" t="inlineStr">
        <is>
          <t>CH-1, CH-2</t>
        </is>
      </c>
      <c r="H10" s="29" t="n"/>
      <c r="I10" s="27" t="n"/>
      <c r="J10" s="30">
        <f>IF(OR($T10=0,$U10=0),"",INDEX($A$4:$A$153,MATCH($A10,$I$4:$I$153,0)))</f>
        <v/>
      </c>
      <c r="K10" s="31">
        <f>IF($T10=0,"",IF(COUNTIF($X10:$AC10,"&gt;0")=0,"○ Clear",TRIM("△ "&amp;COUNTIF($X10:$AC10,"&gt;0")&amp;IF(COUNTIF($X10:$AC10,"&gt;0")=1," problem: "," problems: ")&amp;IF($X10&gt;0,"Decided by needs one name from People, and a body needs members and a signer. ","")&amp;IF($Y10&gt;0,"Why or evidence needs the reason itself, in three words or more. ","")&amp;IF($Z10&gt;0,"Date needs the day it was decided, no later than As of. ","")&amp;IF($AA10=1,IF(ISNA(MATCH($F10,People!$B$30:$B$36,0)),"Gate isn't one of the gate names on People. ","People names "&amp;INDEX(People!$C$30:$C$36,MATCH($F10,People!$B$30:$B$36,0))&amp;" to decide "&amp;$F10&amp;". "),IF($AA10=2,"People names nobody to decide "&amp;$F10&amp;". ",IF($AA10=3,"The Decision opens with a gate's name, so pick that gate in Gate. ","")))&amp;IF($AB10&gt;0,"Replaces needs the Id of a row dated no later than this one. ","")&amp;IF($AC10&gt;0,"Record elsewhere needs the name of the record the other file keeps. ",""))))</f>
        <v/>
      </c>
      <c r="T10" s="32">
        <f>IF(COUNTA($A10:$I10)&gt;0,1,0)</f>
        <v/>
      </c>
      <c r="U10" s="32">
        <f>IF(OR($T10=0,$A10=""),0,IF(COUNTIF($I$4:$I$153,$A10)&gt;0,1,0))</f>
        <v/>
      </c>
      <c r="V10" s="32">
        <f>IF(AND($T10=1,$H10&lt;&gt;"",$H10&lt;&gt;"This log"),1,0)</f>
        <v/>
      </c>
      <c r="W10" s="26">
        <f>IF($T10=0,"",","&amp;SUBSTITUTE(SUBSTITUTE($G10&amp;","&amp;$F10," ",""),";",",")&amp;",")</f>
        <v/>
      </c>
      <c r="X10" s="32">
        <f>IF($T10=0,0,IF(LEN(TRIM($D10))=0,1,IF(COUNTIF(People!$D$6:$D$25,TRIM($D10))=0,1,IF(INDEX(People!$E$6:$E$25,MATCH(TRIM($D10),People!$D$6:$D$25,0))&lt;&gt;"Body",0,IF(OR(LEN(TRIM(INDEX(People!$F$6:$F$25,MATCH(TRIM($D10),People!$D$6:$D$25,0))))=0,LEN(TRIM(INDEX(People!$G$6:$G$25,MATCH(TRIM($D10),People!$D$6:$D$25,0))))=0),1,0)))))</f>
        <v/>
      </c>
      <c r="Y10" s="32">
        <f>IF($T10=0,0,IF(LEN(TRIM($E10))=0,1,IF(LEN(TRIM($E10))-LEN(SUBSTITUTE(TRIM($E10)," ",""))+1&lt;3,1,IF(SUMPRODUCT((People!$J$6:$J$12&lt;&gt;"")*(LEFT(LOWER(TRIM($E10))&amp;" ",LEN(People!$J$6:$J$12)+1)=LOWER(People!$J$6:$J$12)&amp;" "))&gt;0,1,0))))</f>
        <v/>
      </c>
      <c r="Z10" s="32">
        <f>IF($T10=0,0,IF(NOT(ISNUMBER($B10)),1,IF($B10&gt;Summary!$K$3,1,0)))</f>
        <v/>
      </c>
      <c r="AA10" s="32">
        <f>IF($T10=0,0,IF($F10="",IF(SUMPRODUCT(--(LOWER(LEFT($C10,LEN(People!$B$30:$B$36)+1))=LOWER(People!$B$30:$B$36)&amp;":"))&gt;0,3,0),IF(ISNA(MATCH($F10,People!$B$30:$B$36,0)),1,IF(LEN(INDEX(People!$C$30:$C$36,MATCH($F10,People!$B$30:$B$36,0))&amp;"")=0,2,IF(TRIM($D10)&lt;&gt;INDEX(People!$C$30:$C$36,MATCH($F10,People!$B$30:$B$36,0)),1,0)))))</f>
        <v/>
      </c>
      <c r="AB10" s="32">
        <f>IF(OR($T10=0,$I10=""),0,IF(OR($I10=$A10,COUNTIF($A$4:$A$153,$I10)=0),1,IF(INDEX($B$4:$B$153,MATCH($I10,$A$4:$A$153,0))&gt;$B10,1,0)))</f>
        <v/>
      </c>
      <c r="AC10" s="32">
        <f>IF(AND($V10=1,LEN(TRIM($G10))=0),1,0)</f>
        <v/>
      </c>
      <c r="AD10" s="32">
        <f>IF($T10=0,0,IFERROR(VALUE(MID($A10,4,9)),0))</f>
        <v/>
      </c>
    </row>
    <row r="11" ht="96" customHeight="1">
      <c r="A11" s="27" t="inlineStr">
        <is>
          <t>DL-08</t>
        </is>
      </c>
      <c r="B11" s="28" t="n">
        <v>46293</v>
      </c>
      <c r="C11" s="29" t="inlineStr">
        <is>
          <t>Acceptance criteria v2 is signed, and the invoice layout gains the fields Partner Portal Launch needs (CH-3).</t>
        </is>
      </c>
      <c r="D11" s="29" t="inlineStr">
        <is>
          <t>Anders (Engineering Manager); Rhys (Finance Operations Lead) signs v2</t>
        </is>
      </c>
      <c r="E11" s="29" t="inlineStr">
        <is>
          <t>Mei (Product Manager) needs the fields by January 2027 for Partner Portal Launch. No cost, absorbed in item 1.1.</t>
        </is>
      </c>
      <c r="F11" s="29" t="n"/>
      <c r="G11" s="29" t="inlineStr">
        <is>
          <t>Acceptance criteria v2, CH-3</t>
        </is>
      </c>
      <c r="H11" s="29" t="n"/>
      <c r="I11" s="27" t="n"/>
      <c r="J11" s="30">
        <f>IF(OR($T11=0,$U11=0),"",INDEX($A$4:$A$153,MATCH($A11,$I$4:$I$153,0)))</f>
        <v/>
      </c>
      <c r="K11" s="31">
        <f>IF($T11=0,"",IF(COUNTIF($X11:$AC11,"&gt;0")=0,"○ Clear",TRIM("△ "&amp;COUNTIF($X11:$AC11,"&gt;0")&amp;IF(COUNTIF($X11:$AC11,"&gt;0")=1," problem: "," problems: ")&amp;IF($X11&gt;0,"Decided by needs one name from People, and a body needs members and a signer. ","")&amp;IF($Y11&gt;0,"Why or evidence needs the reason itself, in three words or more. ","")&amp;IF($Z11&gt;0,"Date needs the day it was decided, no later than As of. ","")&amp;IF($AA11=1,IF(ISNA(MATCH($F11,People!$B$30:$B$36,0)),"Gate isn't one of the gate names on People. ","People names "&amp;INDEX(People!$C$30:$C$36,MATCH($F11,People!$B$30:$B$36,0))&amp;" to decide "&amp;$F11&amp;". "),IF($AA11=2,"People names nobody to decide "&amp;$F11&amp;". ",IF($AA11=3,"The Decision opens with a gate's name, so pick that gate in Gate. ","")))&amp;IF($AB11&gt;0,"Replaces needs the Id of a row dated no later than this one. ","")&amp;IF($AC11&gt;0,"Record elsewhere needs the name of the record the other file keeps. ",""))))</f>
        <v/>
      </c>
      <c r="T11" s="32">
        <f>IF(COUNTA($A11:$I11)&gt;0,1,0)</f>
        <v/>
      </c>
      <c r="U11" s="32">
        <f>IF(OR($T11=0,$A11=""),0,IF(COUNTIF($I$4:$I$153,$A11)&gt;0,1,0))</f>
        <v/>
      </c>
      <c r="V11" s="32">
        <f>IF(AND($T11=1,$H11&lt;&gt;"",$H11&lt;&gt;"This log"),1,0)</f>
        <v/>
      </c>
      <c r="W11" s="26">
        <f>IF($T11=0,"",","&amp;SUBSTITUTE(SUBSTITUTE($G11&amp;","&amp;$F11," ",""),";",",")&amp;",")</f>
        <v/>
      </c>
      <c r="X11" s="32">
        <f>IF($T11=0,0,IF(LEN(TRIM($D11))=0,1,IF(COUNTIF(People!$D$6:$D$25,TRIM($D11))=0,1,IF(INDEX(People!$E$6:$E$25,MATCH(TRIM($D11),People!$D$6:$D$25,0))&lt;&gt;"Body",0,IF(OR(LEN(TRIM(INDEX(People!$F$6:$F$25,MATCH(TRIM($D11),People!$D$6:$D$25,0))))=0,LEN(TRIM(INDEX(People!$G$6:$G$25,MATCH(TRIM($D11),People!$D$6:$D$25,0))))=0),1,0)))))</f>
        <v/>
      </c>
      <c r="Y11" s="32">
        <f>IF($T11=0,0,IF(LEN(TRIM($E11))=0,1,IF(LEN(TRIM($E11))-LEN(SUBSTITUTE(TRIM($E11)," ",""))+1&lt;3,1,IF(SUMPRODUCT((People!$J$6:$J$12&lt;&gt;"")*(LEFT(LOWER(TRIM($E11))&amp;" ",LEN(People!$J$6:$J$12)+1)=LOWER(People!$J$6:$J$12)&amp;" "))&gt;0,1,0))))</f>
        <v/>
      </c>
      <c r="Z11" s="32">
        <f>IF($T11=0,0,IF(NOT(ISNUMBER($B11)),1,IF($B11&gt;Summary!$K$3,1,0)))</f>
        <v/>
      </c>
      <c r="AA11" s="32">
        <f>IF($T11=0,0,IF($F11="",IF(SUMPRODUCT(--(LOWER(LEFT($C11,LEN(People!$B$30:$B$36)+1))=LOWER(People!$B$30:$B$36)&amp;":"))&gt;0,3,0),IF(ISNA(MATCH($F11,People!$B$30:$B$36,0)),1,IF(LEN(INDEX(People!$C$30:$C$36,MATCH($F11,People!$B$30:$B$36,0))&amp;"")=0,2,IF(TRIM($D11)&lt;&gt;INDEX(People!$C$30:$C$36,MATCH($F11,People!$B$30:$B$36,0)),1,0)))))</f>
        <v/>
      </c>
      <c r="AB11" s="32">
        <f>IF(OR($T11=0,$I11=""),0,IF(OR($I11=$A11,COUNTIF($A$4:$A$153,$I11)=0),1,IF(INDEX($B$4:$B$153,MATCH($I11,$A$4:$A$153,0))&gt;$B11,1,0)))</f>
        <v/>
      </c>
      <c r="AC11" s="32">
        <f>IF(AND($V11=1,LEN(TRIM($G11))=0),1,0)</f>
        <v/>
      </c>
      <c r="AD11" s="32">
        <f>IF($T11=0,0,IFERROR(VALUE(MID($A11,4,9)),0))</f>
        <v/>
      </c>
    </row>
    <row r="12" ht="70" customHeight="1">
      <c r="A12" s="27" t="inlineStr">
        <is>
          <t>DL-09</t>
        </is>
      </c>
      <c r="B12" s="28" t="n">
        <v>46303</v>
      </c>
      <c r="C12" s="29" t="inlineStr">
        <is>
          <t>M-04: the tax rules split in DL-05 is written down now that Invoice Tax Rules is accepted.</t>
        </is>
      </c>
      <c r="D12" s="29" t="inlineStr">
        <is>
          <t>Program board</t>
        </is>
      </c>
      <c r="E12" s="29" t="inlineStr">
        <is>
          <t>The split was already in the baseline. The program workbook holds the record.</t>
        </is>
      </c>
      <c r="F12" s="29" t="n"/>
      <c r="G12" s="29" t="inlineStr">
        <is>
          <t>M-04</t>
        </is>
      </c>
      <c r="H12" s="29" t="inlineStr">
        <is>
          <t>Program workbook</t>
        </is>
      </c>
      <c r="I12" s="27" t="n"/>
      <c r="J12" s="30">
        <f>IF(OR($T12=0,$U12=0),"",INDEX($A$4:$A$153,MATCH($A12,$I$4:$I$153,0)))</f>
        <v/>
      </c>
      <c r="K12" s="31">
        <f>IF($T12=0,"",IF(COUNTIF($X12:$AC12,"&gt;0")=0,"○ Clear",TRIM("△ "&amp;COUNTIF($X12:$AC12,"&gt;0")&amp;IF(COUNTIF($X12:$AC12,"&gt;0")=1," problem: "," problems: ")&amp;IF($X12&gt;0,"Decided by needs one name from People, and a body needs members and a signer. ","")&amp;IF($Y12&gt;0,"Why or evidence needs the reason itself, in three words or more. ","")&amp;IF($Z12&gt;0,"Date needs the day it was decided, no later than As of. ","")&amp;IF($AA12=1,IF(ISNA(MATCH($F12,People!$B$30:$B$36,0)),"Gate isn't one of the gate names on People. ","People names "&amp;INDEX(People!$C$30:$C$36,MATCH($F12,People!$B$30:$B$36,0))&amp;" to decide "&amp;$F12&amp;". "),IF($AA12=2,"People names nobody to decide "&amp;$F12&amp;". ",IF($AA12=3,"The Decision opens with a gate's name, so pick that gate in Gate. ","")))&amp;IF($AB12&gt;0,"Replaces needs the Id of a row dated no later than this one. ","")&amp;IF($AC12&gt;0,"Record elsewhere needs the name of the record the other file keeps. ",""))))</f>
        <v/>
      </c>
      <c r="T12" s="32">
        <f>IF(COUNTA($A12:$I12)&gt;0,1,0)</f>
        <v/>
      </c>
      <c r="U12" s="32">
        <f>IF(OR($T12=0,$A12=""),0,IF(COUNTIF($I$4:$I$153,$A12)&gt;0,1,0))</f>
        <v/>
      </c>
      <c r="V12" s="32">
        <f>IF(AND($T12=1,$H12&lt;&gt;"",$H12&lt;&gt;"This log"),1,0)</f>
        <v/>
      </c>
      <c r="W12" s="26">
        <f>IF($T12=0,"",","&amp;SUBSTITUTE(SUBSTITUTE($G12&amp;","&amp;$F12," ",""),";",",")&amp;",")</f>
        <v/>
      </c>
      <c r="X12" s="32">
        <f>IF($T12=0,0,IF(LEN(TRIM($D12))=0,1,IF(COUNTIF(People!$D$6:$D$25,TRIM($D12))=0,1,IF(INDEX(People!$E$6:$E$25,MATCH(TRIM($D12),People!$D$6:$D$25,0))&lt;&gt;"Body",0,IF(OR(LEN(TRIM(INDEX(People!$F$6:$F$25,MATCH(TRIM($D12),People!$D$6:$D$25,0))))=0,LEN(TRIM(INDEX(People!$G$6:$G$25,MATCH(TRIM($D12),People!$D$6:$D$25,0))))=0),1,0)))))</f>
        <v/>
      </c>
      <c r="Y12" s="32">
        <f>IF($T12=0,0,IF(LEN(TRIM($E12))=0,1,IF(LEN(TRIM($E12))-LEN(SUBSTITUTE(TRIM($E12)," ",""))+1&lt;3,1,IF(SUMPRODUCT((People!$J$6:$J$12&lt;&gt;"")*(LEFT(LOWER(TRIM($E12))&amp;" ",LEN(People!$J$6:$J$12)+1)=LOWER(People!$J$6:$J$12)&amp;" "))&gt;0,1,0))))</f>
        <v/>
      </c>
      <c r="Z12" s="32">
        <f>IF($T12=0,0,IF(NOT(ISNUMBER($B12)),1,IF($B12&gt;Summary!$K$3,1,0)))</f>
        <v/>
      </c>
      <c r="AA12" s="32">
        <f>IF($T12=0,0,IF($F12="",IF(SUMPRODUCT(--(LOWER(LEFT($C12,LEN(People!$B$30:$B$36)+1))=LOWER(People!$B$30:$B$36)&amp;":"))&gt;0,3,0),IF(ISNA(MATCH($F12,People!$B$30:$B$36,0)),1,IF(LEN(INDEX(People!$C$30:$C$36,MATCH($F12,People!$B$30:$B$36,0))&amp;"")=0,2,IF(TRIM($D12)&lt;&gt;INDEX(People!$C$30:$C$36,MATCH($F12,People!$B$30:$B$36,0)),1,0)))))</f>
        <v/>
      </c>
      <c r="AB12" s="32">
        <f>IF(OR($T12=0,$I12=""),0,IF(OR($I12=$A12,COUNTIF($A$4:$A$153,$I12)=0),1,IF(INDEX($B$4:$B$153,MATCH($I12,$A$4:$A$153,0))&gt;$B12,1,0)))</f>
        <v/>
      </c>
      <c r="AC12" s="32">
        <f>IF(AND($V12=1,LEN(TRIM($G12))=0),1,0)</f>
        <v/>
      </c>
      <c r="AD12" s="32">
        <f>IF($T12=0,0,IFERROR(VALUE(MID($A12,4,9)),0))</f>
        <v/>
      </c>
    </row>
    <row r="13" ht="70" customHeight="1">
      <c r="A13" s="27" t="inlineStr">
        <is>
          <t>DL-10</t>
        </is>
      </c>
      <c r="B13" s="28" t="n">
        <v>46309</v>
      </c>
      <c r="C13" s="29" t="inlineStr">
        <is>
          <t>Engineering owns how invoices move to the new engine, not Hugo (CH-4).</t>
        </is>
      </c>
      <c r="D13" s="29" t="inlineStr">
        <is>
          <t>Anders (Engineering Manager)</t>
        </is>
      </c>
      <c r="E13" s="29" t="inlineStr">
        <is>
          <t>Above</t>
        </is>
      </c>
      <c r="F13" s="29" t="n"/>
      <c r="G13" s="29" t="inlineStr">
        <is>
          <t>CH-4</t>
        </is>
      </c>
      <c r="H13" s="29" t="n"/>
      <c r="I13" s="27" t="n"/>
      <c r="J13" s="30">
        <f>IF(OR($T13=0,$U13=0),"",INDEX($A$4:$A$153,MATCH($A13,$I$4:$I$153,0)))</f>
        <v/>
      </c>
      <c r="K13" s="31">
        <f>IF($T13=0,"",IF(COUNTIF($X13:$AC13,"&gt;0")=0,"○ Clear",TRIM("△ "&amp;COUNTIF($X13:$AC13,"&gt;0")&amp;IF(COUNTIF($X13:$AC13,"&gt;0")=1," problem: "," problems: ")&amp;IF($X13&gt;0,"Decided by needs one name from People, and a body needs members and a signer. ","")&amp;IF($Y13&gt;0,"Why or evidence needs the reason itself, in three words or more. ","")&amp;IF($Z13&gt;0,"Date needs the day it was decided, no later than As of. ","")&amp;IF($AA13=1,IF(ISNA(MATCH($F13,People!$B$30:$B$36,0)),"Gate isn't one of the gate names on People. ","People names "&amp;INDEX(People!$C$30:$C$36,MATCH($F13,People!$B$30:$B$36,0))&amp;" to decide "&amp;$F13&amp;". "),IF($AA13=2,"People names nobody to decide "&amp;$F13&amp;". ",IF($AA13=3,"The Decision opens with a gate's name, so pick that gate in Gate. ","")))&amp;IF($AB13&gt;0,"Replaces needs the Id of a row dated no later than this one. ","")&amp;IF($AC13&gt;0,"Record elsewhere needs the name of the record the other file keeps. ",""))))</f>
        <v/>
      </c>
      <c r="T13" s="32">
        <f>IF(COUNTA($A13:$I13)&gt;0,1,0)</f>
        <v/>
      </c>
      <c r="U13" s="32">
        <f>IF(OR($T13=0,$A13=""),0,IF(COUNTIF($I$4:$I$153,$A13)&gt;0,1,0))</f>
        <v/>
      </c>
      <c r="V13" s="32">
        <f>IF(AND($T13=1,$H13&lt;&gt;"",$H13&lt;&gt;"This log"),1,0)</f>
        <v/>
      </c>
      <c r="W13" s="26">
        <f>IF($T13=0,"",","&amp;SUBSTITUTE(SUBSTITUTE($G13&amp;","&amp;$F13," ",""),";",",")&amp;",")</f>
        <v/>
      </c>
      <c r="X13" s="32">
        <f>IF($T13=0,0,IF(LEN(TRIM($D13))=0,1,IF(COUNTIF(People!$D$6:$D$25,TRIM($D13))=0,1,IF(INDEX(People!$E$6:$E$25,MATCH(TRIM($D13),People!$D$6:$D$25,0))&lt;&gt;"Body",0,IF(OR(LEN(TRIM(INDEX(People!$F$6:$F$25,MATCH(TRIM($D13),People!$D$6:$D$25,0))))=0,LEN(TRIM(INDEX(People!$G$6:$G$25,MATCH(TRIM($D13),People!$D$6:$D$25,0))))=0),1,0)))))</f>
        <v/>
      </c>
      <c r="Y13" s="32">
        <f>IF($T13=0,0,IF(LEN(TRIM($E13))=0,1,IF(LEN(TRIM($E13))-LEN(SUBSTITUTE(TRIM($E13)," ",""))+1&lt;3,1,IF(SUMPRODUCT((People!$J$6:$J$12&lt;&gt;"")*(LEFT(LOWER(TRIM($E13))&amp;" ",LEN(People!$J$6:$J$12)+1)=LOWER(People!$J$6:$J$12)&amp;" "))&gt;0,1,0))))</f>
        <v/>
      </c>
      <c r="Z13" s="32">
        <f>IF($T13=0,0,IF(NOT(ISNUMBER($B13)),1,IF($B13&gt;Summary!$K$3,1,0)))</f>
        <v/>
      </c>
      <c r="AA13" s="32">
        <f>IF($T13=0,0,IF($F13="",IF(SUMPRODUCT(--(LOWER(LEFT($C13,LEN(People!$B$30:$B$36)+1))=LOWER(People!$B$30:$B$36)&amp;":"))&gt;0,3,0),IF(ISNA(MATCH($F13,People!$B$30:$B$36,0)),1,IF(LEN(INDEX(People!$C$30:$C$36,MATCH($F13,People!$B$30:$B$36,0))&amp;"")=0,2,IF(TRIM($D13)&lt;&gt;INDEX(People!$C$30:$C$36,MATCH($F13,People!$B$30:$B$36,0)),1,0)))))</f>
        <v/>
      </c>
      <c r="AB13" s="32">
        <f>IF(OR($T13=0,$I13=""),0,IF(OR($I13=$A13,COUNTIF($A$4:$A$153,$I13)=0),1,IF(INDEX($B$4:$B$153,MATCH($I13,$A$4:$A$153,0))&gt;$B13,1,0)))</f>
        <v/>
      </c>
      <c r="AC13" s="32">
        <f>IF(AND($V13=1,LEN(TRIM($G13))=0),1,0)</f>
        <v/>
      </c>
      <c r="AD13" s="32">
        <f>IF($T13=0,0,IFERROR(VALUE(MID($A13,4,9)),0))</f>
        <v/>
      </c>
    </row>
    <row r="14" ht="70" customHeight="1">
      <c r="A14" s="27" t="inlineStr">
        <is>
          <t>DL-11</t>
        </is>
      </c>
      <c r="B14" s="28" t="n">
        <v>46317</v>
      </c>
      <c r="C14" s="29" t="inlineStr">
        <is>
          <t>Project charter v1 is signed by the Owner.</t>
        </is>
      </c>
      <c r="D14" s="29" t="inlineStr">
        <is>
          <t>Anders (Engineering Manager)</t>
        </is>
      </c>
      <c r="E14" s="29" t="inlineStr">
        <is>
          <t>Waiting on the other signatures.</t>
        </is>
      </c>
      <c r="F14" s="29" t="n"/>
      <c r="G14" s="29" t="inlineStr">
        <is>
          <t>Project charter v1</t>
        </is>
      </c>
      <c r="H14" s="29" t="n"/>
      <c r="I14" s="27" t="n"/>
      <c r="J14" s="30">
        <f>IF(OR($T14=0,$U14=0),"",INDEX($A$4:$A$153,MATCH($A14,$I$4:$I$153,0)))</f>
        <v/>
      </c>
      <c r="K14" s="31">
        <f>IF($T14=0,"",IF(COUNTIF($X14:$AC14,"&gt;0")=0,"○ Clear",TRIM("△ "&amp;COUNTIF($X14:$AC14,"&gt;0")&amp;IF(COUNTIF($X14:$AC14,"&gt;0")=1," problem: "," problems: ")&amp;IF($X14&gt;0,"Decided by needs one name from People, and a body needs members and a signer. ","")&amp;IF($Y14&gt;0,"Why or evidence needs the reason itself, in three words or more. ","")&amp;IF($Z14&gt;0,"Date needs the day it was decided, no later than As of. ","")&amp;IF($AA14=1,IF(ISNA(MATCH($F14,People!$B$30:$B$36,0)),"Gate isn't one of the gate names on People. ","People names "&amp;INDEX(People!$C$30:$C$36,MATCH($F14,People!$B$30:$B$36,0))&amp;" to decide "&amp;$F14&amp;". "),IF($AA14=2,"People names nobody to decide "&amp;$F14&amp;". ",IF($AA14=3,"The Decision opens with a gate's name, so pick that gate in Gate. ","")))&amp;IF($AB14&gt;0,"Replaces needs the Id of a row dated no later than this one. ","")&amp;IF($AC14&gt;0,"Record elsewhere needs the name of the record the other file keeps. ",""))))</f>
        <v/>
      </c>
      <c r="T14" s="32">
        <f>IF(COUNTA($A14:$I14)&gt;0,1,0)</f>
        <v/>
      </c>
      <c r="U14" s="32">
        <f>IF(OR($T14=0,$A14=""),0,IF(COUNTIF($I$4:$I$153,$A14)&gt;0,1,0))</f>
        <v/>
      </c>
      <c r="V14" s="32">
        <f>IF(AND($T14=1,$H14&lt;&gt;"",$H14&lt;&gt;"This log"),1,0)</f>
        <v/>
      </c>
      <c r="W14" s="26">
        <f>IF($T14=0,"",","&amp;SUBSTITUTE(SUBSTITUTE($G14&amp;","&amp;$F14," ",""),";",",")&amp;",")</f>
        <v/>
      </c>
      <c r="X14" s="32">
        <f>IF($T14=0,0,IF(LEN(TRIM($D14))=0,1,IF(COUNTIF(People!$D$6:$D$25,TRIM($D14))=0,1,IF(INDEX(People!$E$6:$E$25,MATCH(TRIM($D14),People!$D$6:$D$25,0))&lt;&gt;"Body",0,IF(OR(LEN(TRIM(INDEX(People!$F$6:$F$25,MATCH(TRIM($D14),People!$D$6:$D$25,0))))=0,LEN(TRIM(INDEX(People!$G$6:$G$25,MATCH(TRIM($D14),People!$D$6:$D$25,0))))=0),1,0)))))</f>
        <v/>
      </c>
      <c r="Y14" s="32">
        <f>IF($T14=0,0,IF(LEN(TRIM($E14))=0,1,IF(LEN(TRIM($E14))-LEN(SUBSTITUTE(TRIM($E14)," ",""))+1&lt;3,1,IF(SUMPRODUCT((People!$J$6:$J$12&lt;&gt;"")*(LEFT(LOWER(TRIM($E14))&amp;" ",LEN(People!$J$6:$J$12)+1)=LOWER(People!$J$6:$J$12)&amp;" "))&gt;0,1,0))))</f>
        <v/>
      </c>
      <c r="Z14" s="32">
        <f>IF($T14=0,0,IF(NOT(ISNUMBER($B14)),1,IF($B14&gt;Summary!$K$3,1,0)))</f>
        <v/>
      </c>
      <c r="AA14" s="32">
        <f>IF($T14=0,0,IF($F14="",IF(SUMPRODUCT(--(LOWER(LEFT($C14,LEN(People!$B$30:$B$36)+1))=LOWER(People!$B$30:$B$36)&amp;":"))&gt;0,3,0),IF(ISNA(MATCH($F14,People!$B$30:$B$36,0)),1,IF(LEN(INDEX(People!$C$30:$C$36,MATCH($F14,People!$B$30:$B$36,0))&amp;"")=0,2,IF(TRIM($D14)&lt;&gt;INDEX(People!$C$30:$C$36,MATCH($F14,People!$B$30:$B$36,0)),1,0)))))</f>
        <v/>
      </c>
      <c r="AB14" s="32">
        <f>IF(OR($T14=0,$I14=""),0,IF(OR($I14=$A14,COUNTIF($A$4:$A$153,$I14)=0),1,IF(INDEX($B$4:$B$153,MATCH($I14,$A$4:$A$153,0))&gt;$B14,1,0)))</f>
        <v/>
      </c>
      <c r="AC14" s="32">
        <f>IF(AND($V14=1,LEN(TRIM($G14))=0),1,0)</f>
        <v/>
      </c>
      <c r="AD14" s="32">
        <f>IF($T14=0,0,IFERROR(VALUE(MID($A14,4,9)),0))</f>
        <v/>
      </c>
    </row>
    <row r="15" ht="70" customHeight="1">
      <c r="A15" s="27" t="inlineStr">
        <is>
          <t>DL-12</t>
        </is>
      </c>
      <c r="B15" s="28" t="n">
        <v>46317</v>
      </c>
      <c r="C15" s="29" t="inlineStr">
        <is>
          <t>Customers outside the US and on annual contracts get the second-wave notice before 1 Feb 2027.</t>
        </is>
      </c>
      <c r="D15" s="29" t="inlineStr">
        <is>
          <t>Program board</t>
        </is>
      </c>
      <c r="E15" s="29" t="inlineStr">
        <is>
          <t>Program board notes of 22 Oct 2026, line 10.</t>
        </is>
      </c>
      <c r="F15" s="29" t="n"/>
      <c r="G15" s="29" t="inlineStr">
        <is>
          <t>Program board notes 22 Oct</t>
        </is>
      </c>
      <c r="H15" s="29" t="n"/>
      <c r="I15" s="27" t="n"/>
      <c r="J15" s="30">
        <f>IF(OR($T15=0,$U15=0),"",INDEX($A$4:$A$153,MATCH($A15,$I$4:$I$153,0)))</f>
        <v/>
      </c>
      <c r="K15" s="31">
        <f>IF($T15=0,"",IF(COUNTIF($X15:$AC15,"&gt;0")=0,"○ Clear",TRIM("△ "&amp;COUNTIF($X15:$AC15,"&gt;0")&amp;IF(COUNTIF($X15:$AC15,"&gt;0")=1," problem: "," problems: ")&amp;IF($X15&gt;0,"Decided by needs one name from People, and a body needs members and a signer. ","")&amp;IF($Y15&gt;0,"Why or evidence needs the reason itself, in three words or more. ","")&amp;IF($Z15&gt;0,"Date needs the day it was decided, no later than As of. ","")&amp;IF($AA15=1,IF(ISNA(MATCH($F15,People!$B$30:$B$36,0)),"Gate isn't one of the gate names on People. ","People names "&amp;INDEX(People!$C$30:$C$36,MATCH($F15,People!$B$30:$B$36,0))&amp;" to decide "&amp;$F15&amp;". "),IF($AA15=2,"People names nobody to decide "&amp;$F15&amp;". ",IF($AA15=3,"The Decision opens with a gate's name, so pick that gate in Gate. ","")))&amp;IF($AB15&gt;0,"Replaces needs the Id of a row dated no later than this one. ","")&amp;IF($AC15&gt;0,"Record elsewhere needs the name of the record the other file keeps. ",""))))</f>
        <v/>
      </c>
      <c r="T15" s="32">
        <f>IF(COUNTA($A15:$I15)&gt;0,1,0)</f>
        <v/>
      </c>
      <c r="U15" s="32">
        <f>IF(OR($T15=0,$A15=""),0,IF(COUNTIF($I$4:$I$153,$A15)&gt;0,1,0))</f>
        <v/>
      </c>
      <c r="V15" s="32">
        <f>IF(AND($T15=1,$H15&lt;&gt;"",$H15&lt;&gt;"This log"),1,0)</f>
        <v/>
      </c>
      <c r="W15" s="26">
        <f>IF($T15=0,"",","&amp;SUBSTITUTE(SUBSTITUTE($G15&amp;","&amp;$F15," ",""),";",",")&amp;",")</f>
        <v/>
      </c>
      <c r="X15" s="32">
        <f>IF($T15=0,0,IF(LEN(TRIM($D15))=0,1,IF(COUNTIF(People!$D$6:$D$25,TRIM($D15))=0,1,IF(INDEX(People!$E$6:$E$25,MATCH(TRIM($D15),People!$D$6:$D$25,0))&lt;&gt;"Body",0,IF(OR(LEN(TRIM(INDEX(People!$F$6:$F$25,MATCH(TRIM($D15),People!$D$6:$D$25,0))))=0,LEN(TRIM(INDEX(People!$G$6:$G$25,MATCH(TRIM($D15),People!$D$6:$D$25,0))))=0),1,0)))))</f>
        <v/>
      </c>
      <c r="Y15" s="32">
        <f>IF($T15=0,0,IF(LEN(TRIM($E15))=0,1,IF(LEN(TRIM($E15))-LEN(SUBSTITUTE(TRIM($E15)," ",""))+1&lt;3,1,IF(SUMPRODUCT((People!$J$6:$J$12&lt;&gt;"")*(LEFT(LOWER(TRIM($E15))&amp;" ",LEN(People!$J$6:$J$12)+1)=LOWER(People!$J$6:$J$12)&amp;" "))&gt;0,1,0))))</f>
        <v/>
      </c>
      <c r="Z15" s="32">
        <f>IF($T15=0,0,IF(NOT(ISNUMBER($B15)),1,IF($B15&gt;Summary!$K$3,1,0)))</f>
        <v/>
      </c>
      <c r="AA15" s="32">
        <f>IF($T15=0,0,IF($F15="",IF(SUMPRODUCT(--(LOWER(LEFT($C15,LEN(People!$B$30:$B$36)+1))=LOWER(People!$B$30:$B$36)&amp;":"))&gt;0,3,0),IF(ISNA(MATCH($F15,People!$B$30:$B$36,0)),1,IF(LEN(INDEX(People!$C$30:$C$36,MATCH($F15,People!$B$30:$B$36,0))&amp;"")=0,2,IF(TRIM($D15)&lt;&gt;INDEX(People!$C$30:$C$36,MATCH($F15,People!$B$30:$B$36,0)),1,0)))))</f>
        <v/>
      </c>
      <c r="AB15" s="32">
        <f>IF(OR($T15=0,$I15=""),0,IF(OR($I15=$A15,COUNTIF($A$4:$A$153,$I15)=0),1,IF(INDEX($B$4:$B$153,MATCH($I15,$A$4:$A$153,0))&gt;$B15,1,0)))</f>
        <v/>
      </c>
      <c r="AC15" s="32">
        <f>IF(AND($V15=1,LEN(TRIM($G15))=0),1,0)</f>
        <v/>
      </c>
      <c r="AD15" s="32">
        <f>IF($T15=0,0,IFERROR(VALUE(MID($A15,4,9)),0))</f>
        <v/>
      </c>
    </row>
    <row r="16" ht="18" customHeight="1">
      <c r="A16" s="27" t="n"/>
      <c r="B16" s="28" t="n"/>
      <c r="C16" s="29" t="n"/>
      <c r="D16" s="29" t="n"/>
      <c r="E16" s="29" t="n"/>
      <c r="F16" s="29" t="n"/>
      <c r="G16" s="29" t="n"/>
      <c r="H16" s="29" t="n"/>
      <c r="I16" s="27" t="n"/>
      <c r="J16" s="30">
        <f>IF(OR($T16=0,$U16=0),"",INDEX($A$4:$A$153,MATCH($A16,$I$4:$I$153,0)))</f>
        <v/>
      </c>
      <c r="K16" s="31">
        <f>IF($T16=0,"",IF(COUNTIF($X16:$AC16,"&gt;0")=0,"○ Clear",TRIM("△ "&amp;COUNTIF($X16:$AC16,"&gt;0")&amp;IF(COUNTIF($X16:$AC16,"&gt;0")=1," problem: "," problems: ")&amp;IF($X16&gt;0,"Decided by needs one name from People, and a body needs members and a signer. ","")&amp;IF($Y16&gt;0,"Why or evidence needs the reason itself, in three words or more. ","")&amp;IF($Z16&gt;0,"Date needs the day it was decided, no later than As of. ","")&amp;IF($AA16=1,IF(ISNA(MATCH($F16,People!$B$30:$B$36,0)),"Gate isn't one of the gate names on People. ","People names "&amp;INDEX(People!$C$30:$C$36,MATCH($F16,People!$B$30:$B$36,0))&amp;" to decide "&amp;$F16&amp;". "),IF($AA16=2,"People names nobody to decide "&amp;$F16&amp;". ",IF($AA16=3,"The Decision opens with a gate's name, so pick that gate in Gate. ","")))&amp;IF($AB16&gt;0,"Replaces needs the Id of a row dated no later than this one. ","")&amp;IF($AC16&gt;0,"Record elsewhere needs the name of the record the other file keeps. ",""))))</f>
        <v/>
      </c>
      <c r="T16" s="32">
        <f>IF(COUNTA($A16:$I16)&gt;0,1,0)</f>
        <v/>
      </c>
      <c r="U16" s="32">
        <f>IF(OR($T16=0,$A16=""),0,IF(COUNTIF($I$4:$I$153,$A16)&gt;0,1,0))</f>
        <v/>
      </c>
      <c r="V16" s="32">
        <f>IF(AND($T16=1,$H16&lt;&gt;"",$H16&lt;&gt;"This log"),1,0)</f>
        <v/>
      </c>
      <c r="W16" s="26">
        <f>IF($T16=0,"",","&amp;SUBSTITUTE(SUBSTITUTE($G16&amp;","&amp;$F16," ",""),";",",")&amp;",")</f>
        <v/>
      </c>
      <c r="X16" s="32">
        <f>IF($T16=0,0,IF(LEN(TRIM($D16))=0,1,IF(COUNTIF(People!$D$6:$D$25,TRIM($D16))=0,1,IF(INDEX(People!$E$6:$E$25,MATCH(TRIM($D16),People!$D$6:$D$25,0))&lt;&gt;"Body",0,IF(OR(LEN(TRIM(INDEX(People!$F$6:$F$25,MATCH(TRIM($D16),People!$D$6:$D$25,0))))=0,LEN(TRIM(INDEX(People!$G$6:$G$25,MATCH(TRIM($D16),People!$D$6:$D$25,0))))=0),1,0)))))</f>
        <v/>
      </c>
      <c r="Y16" s="32">
        <f>IF($T16=0,0,IF(LEN(TRIM($E16))=0,1,IF(LEN(TRIM($E16))-LEN(SUBSTITUTE(TRIM($E16)," ",""))+1&lt;3,1,IF(SUMPRODUCT((People!$J$6:$J$12&lt;&gt;"")*(LEFT(LOWER(TRIM($E16))&amp;" ",LEN(People!$J$6:$J$12)+1)=LOWER(People!$J$6:$J$12)&amp;" "))&gt;0,1,0))))</f>
        <v/>
      </c>
      <c r="Z16" s="32">
        <f>IF($T16=0,0,IF(NOT(ISNUMBER($B16)),1,IF($B16&gt;Summary!$K$3,1,0)))</f>
        <v/>
      </c>
      <c r="AA16" s="32">
        <f>IF($T16=0,0,IF($F16="",IF(SUMPRODUCT(--(LOWER(LEFT($C16,LEN(People!$B$30:$B$36)+1))=LOWER(People!$B$30:$B$36)&amp;":"))&gt;0,3,0),IF(ISNA(MATCH($F16,People!$B$30:$B$36,0)),1,IF(LEN(INDEX(People!$C$30:$C$36,MATCH($F16,People!$B$30:$B$36,0))&amp;"")=0,2,IF(TRIM($D16)&lt;&gt;INDEX(People!$C$30:$C$36,MATCH($F16,People!$B$30:$B$36,0)),1,0)))))</f>
        <v/>
      </c>
      <c r="AB16" s="32">
        <f>IF(OR($T16=0,$I16=""),0,IF(OR($I16=$A16,COUNTIF($A$4:$A$153,$I16)=0),1,IF(INDEX($B$4:$B$153,MATCH($I16,$A$4:$A$153,0))&gt;$B16,1,0)))</f>
        <v/>
      </c>
      <c r="AC16" s="32">
        <f>IF(AND($V16=1,LEN(TRIM($G16))=0),1,0)</f>
        <v/>
      </c>
      <c r="AD16" s="32">
        <f>IF($T16=0,0,IFERROR(VALUE(MID($A16,4,9)),0))</f>
        <v/>
      </c>
    </row>
    <row r="17" ht="18" customHeight="1">
      <c r="A17" s="27" t="n"/>
      <c r="B17" s="28" t="n"/>
      <c r="C17" s="29" t="n"/>
      <c r="D17" s="29" t="n"/>
      <c r="E17" s="29" t="n"/>
      <c r="F17" s="29" t="n"/>
      <c r="G17" s="29" t="n"/>
      <c r="H17" s="29" t="n"/>
      <c r="I17" s="27" t="n"/>
      <c r="J17" s="30">
        <f>IF(OR($T17=0,$U17=0),"",INDEX($A$4:$A$153,MATCH($A17,$I$4:$I$153,0)))</f>
        <v/>
      </c>
      <c r="K17" s="31">
        <f>IF($T17=0,"",IF(COUNTIF($X17:$AC17,"&gt;0")=0,"○ Clear",TRIM("△ "&amp;COUNTIF($X17:$AC17,"&gt;0")&amp;IF(COUNTIF($X17:$AC17,"&gt;0")=1," problem: "," problems: ")&amp;IF($X17&gt;0,"Decided by needs one name from People, and a body needs members and a signer. ","")&amp;IF($Y17&gt;0,"Why or evidence needs the reason itself, in three words or more. ","")&amp;IF($Z17&gt;0,"Date needs the day it was decided, no later than As of. ","")&amp;IF($AA17=1,IF(ISNA(MATCH($F17,People!$B$30:$B$36,0)),"Gate isn't one of the gate names on People. ","People names "&amp;INDEX(People!$C$30:$C$36,MATCH($F17,People!$B$30:$B$36,0))&amp;" to decide "&amp;$F17&amp;". "),IF($AA17=2,"People names nobody to decide "&amp;$F17&amp;". ",IF($AA17=3,"The Decision opens with a gate's name, so pick that gate in Gate. ","")))&amp;IF($AB17&gt;0,"Replaces needs the Id of a row dated no later than this one. ","")&amp;IF($AC17&gt;0,"Record elsewhere needs the name of the record the other file keeps. ",""))))</f>
        <v/>
      </c>
      <c r="T17" s="32">
        <f>IF(COUNTA($A17:$I17)&gt;0,1,0)</f>
        <v/>
      </c>
      <c r="U17" s="32">
        <f>IF(OR($T17=0,$A17=""),0,IF(COUNTIF($I$4:$I$153,$A17)&gt;0,1,0))</f>
        <v/>
      </c>
      <c r="V17" s="32">
        <f>IF(AND($T17=1,$H17&lt;&gt;"",$H17&lt;&gt;"This log"),1,0)</f>
        <v/>
      </c>
      <c r="W17" s="26">
        <f>IF($T17=0,"",","&amp;SUBSTITUTE(SUBSTITUTE($G17&amp;","&amp;$F17," ",""),";",",")&amp;",")</f>
        <v/>
      </c>
      <c r="X17" s="32">
        <f>IF($T17=0,0,IF(LEN(TRIM($D17))=0,1,IF(COUNTIF(People!$D$6:$D$25,TRIM($D17))=0,1,IF(INDEX(People!$E$6:$E$25,MATCH(TRIM($D17),People!$D$6:$D$25,0))&lt;&gt;"Body",0,IF(OR(LEN(TRIM(INDEX(People!$F$6:$F$25,MATCH(TRIM($D17),People!$D$6:$D$25,0))))=0,LEN(TRIM(INDEX(People!$G$6:$G$25,MATCH(TRIM($D17),People!$D$6:$D$25,0))))=0),1,0)))))</f>
        <v/>
      </c>
      <c r="Y17" s="32">
        <f>IF($T17=0,0,IF(LEN(TRIM($E17))=0,1,IF(LEN(TRIM($E17))-LEN(SUBSTITUTE(TRIM($E17)," ",""))+1&lt;3,1,IF(SUMPRODUCT((People!$J$6:$J$12&lt;&gt;"")*(LEFT(LOWER(TRIM($E17))&amp;" ",LEN(People!$J$6:$J$12)+1)=LOWER(People!$J$6:$J$12)&amp;" "))&gt;0,1,0))))</f>
        <v/>
      </c>
      <c r="Z17" s="32">
        <f>IF($T17=0,0,IF(NOT(ISNUMBER($B17)),1,IF($B17&gt;Summary!$K$3,1,0)))</f>
        <v/>
      </c>
      <c r="AA17" s="32">
        <f>IF($T17=0,0,IF($F17="",IF(SUMPRODUCT(--(LOWER(LEFT($C17,LEN(People!$B$30:$B$36)+1))=LOWER(People!$B$30:$B$36)&amp;":"))&gt;0,3,0),IF(ISNA(MATCH($F17,People!$B$30:$B$36,0)),1,IF(LEN(INDEX(People!$C$30:$C$36,MATCH($F17,People!$B$30:$B$36,0))&amp;"")=0,2,IF(TRIM($D17)&lt;&gt;INDEX(People!$C$30:$C$36,MATCH($F17,People!$B$30:$B$36,0)),1,0)))))</f>
        <v/>
      </c>
      <c r="AB17" s="32">
        <f>IF(OR($T17=0,$I17=""),0,IF(OR($I17=$A17,COUNTIF($A$4:$A$153,$I17)=0),1,IF(INDEX($B$4:$B$153,MATCH($I17,$A$4:$A$153,0))&gt;$B17,1,0)))</f>
        <v/>
      </c>
      <c r="AC17" s="32">
        <f>IF(AND($V17=1,LEN(TRIM($G17))=0),1,0)</f>
        <v/>
      </c>
      <c r="AD17" s="32">
        <f>IF($T17=0,0,IFERROR(VALUE(MID($A17,4,9)),0))</f>
        <v/>
      </c>
    </row>
    <row r="18" ht="18" customHeight="1">
      <c r="A18" s="27" t="n"/>
      <c r="B18" s="28" t="n"/>
      <c r="C18" s="29" t="n"/>
      <c r="D18" s="29" t="n"/>
      <c r="E18" s="29" t="n"/>
      <c r="F18" s="29" t="n"/>
      <c r="G18" s="29" t="n"/>
      <c r="H18" s="29" t="n"/>
      <c r="I18" s="27" t="n"/>
      <c r="J18" s="30">
        <f>IF(OR($T18=0,$U18=0),"",INDEX($A$4:$A$153,MATCH($A18,$I$4:$I$153,0)))</f>
        <v/>
      </c>
      <c r="K18" s="31">
        <f>IF($T18=0,"",IF(COUNTIF($X18:$AC18,"&gt;0")=0,"○ Clear",TRIM("△ "&amp;COUNTIF($X18:$AC18,"&gt;0")&amp;IF(COUNTIF($X18:$AC18,"&gt;0")=1," problem: "," problems: ")&amp;IF($X18&gt;0,"Decided by needs one name from People, and a body needs members and a signer. ","")&amp;IF($Y18&gt;0,"Why or evidence needs the reason itself, in three words or more. ","")&amp;IF($Z18&gt;0,"Date needs the day it was decided, no later than As of. ","")&amp;IF($AA18=1,IF(ISNA(MATCH($F18,People!$B$30:$B$36,0)),"Gate isn't one of the gate names on People. ","People names "&amp;INDEX(People!$C$30:$C$36,MATCH($F18,People!$B$30:$B$36,0))&amp;" to decide "&amp;$F18&amp;". "),IF($AA18=2,"People names nobody to decide "&amp;$F18&amp;". ",IF($AA18=3,"The Decision opens with a gate's name, so pick that gate in Gate. ","")))&amp;IF($AB18&gt;0,"Replaces needs the Id of a row dated no later than this one. ","")&amp;IF($AC18&gt;0,"Record elsewhere needs the name of the record the other file keeps. ",""))))</f>
        <v/>
      </c>
      <c r="T18" s="32">
        <f>IF(COUNTA($A18:$I18)&gt;0,1,0)</f>
        <v/>
      </c>
      <c r="U18" s="32">
        <f>IF(OR($T18=0,$A18=""),0,IF(COUNTIF($I$4:$I$153,$A18)&gt;0,1,0))</f>
        <v/>
      </c>
      <c r="V18" s="32">
        <f>IF(AND($T18=1,$H18&lt;&gt;"",$H18&lt;&gt;"This log"),1,0)</f>
        <v/>
      </c>
      <c r="W18" s="26">
        <f>IF($T18=0,"",","&amp;SUBSTITUTE(SUBSTITUTE($G18&amp;","&amp;$F18," ",""),";",",")&amp;",")</f>
        <v/>
      </c>
      <c r="X18" s="32">
        <f>IF($T18=0,0,IF(LEN(TRIM($D18))=0,1,IF(COUNTIF(People!$D$6:$D$25,TRIM($D18))=0,1,IF(INDEX(People!$E$6:$E$25,MATCH(TRIM($D18),People!$D$6:$D$25,0))&lt;&gt;"Body",0,IF(OR(LEN(TRIM(INDEX(People!$F$6:$F$25,MATCH(TRIM($D18),People!$D$6:$D$25,0))))=0,LEN(TRIM(INDEX(People!$G$6:$G$25,MATCH(TRIM($D18),People!$D$6:$D$25,0))))=0),1,0)))))</f>
        <v/>
      </c>
      <c r="Y18" s="32">
        <f>IF($T18=0,0,IF(LEN(TRIM($E18))=0,1,IF(LEN(TRIM($E18))-LEN(SUBSTITUTE(TRIM($E18)," ",""))+1&lt;3,1,IF(SUMPRODUCT((People!$J$6:$J$12&lt;&gt;"")*(LEFT(LOWER(TRIM($E18))&amp;" ",LEN(People!$J$6:$J$12)+1)=LOWER(People!$J$6:$J$12)&amp;" "))&gt;0,1,0))))</f>
        <v/>
      </c>
      <c r="Z18" s="32">
        <f>IF($T18=0,0,IF(NOT(ISNUMBER($B18)),1,IF($B18&gt;Summary!$K$3,1,0)))</f>
        <v/>
      </c>
      <c r="AA18" s="32">
        <f>IF($T18=0,0,IF($F18="",IF(SUMPRODUCT(--(LOWER(LEFT($C18,LEN(People!$B$30:$B$36)+1))=LOWER(People!$B$30:$B$36)&amp;":"))&gt;0,3,0),IF(ISNA(MATCH($F18,People!$B$30:$B$36,0)),1,IF(LEN(INDEX(People!$C$30:$C$36,MATCH($F18,People!$B$30:$B$36,0))&amp;"")=0,2,IF(TRIM($D18)&lt;&gt;INDEX(People!$C$30:$C$36,MATCH($F18,People!$B$30:$B$36,0)),1,0)))))</f>
        <v/>
      </c>
      <c r="AB18" s="32">
        <f>IF(OR($T18=0,$I18=""),0,IF(OR($I18=$A18,COUNTIF($A$4:$A$153,$I18)=0),1,IF(INDEX($B$4:$B$153,MATCH($I18,$A$4:$A$153,0))&gt;$B18,1,0)))</f>
        <v/>
      </c>
      <c r="AC18" s="32">
        <f>IF(AND($V18=1,LEN(TRIM($G18))=0),1,0)</f>
        <v/>
      </c>
      <c r="AD18" s="32">
        <f>IF($T18=0,0,IFERROR(VALUE(MID($A18,4,9)),0))</f>
        <v/>
      </c>
    </row>
    <row r="19" ht="18" customHeight="1">
      <c r="A19" s="27" t="n"/>
      <c r="B19" s="28" t="n"/>
      <c r="C19" s="29" t="n"/>
      <c r="D19" s="29" t="n"/>
      <c r="E19" s="29" t="n"/>
      <c r="F19" s="29" t="n"/>
      <c r="G19" s="29" t="n"/>
      <c r="H19" s="29" t="n"/>
      <c r="I19" s="27" t="n"/>
      <c r="J19" s="30">
        <f>IF(OR($T19=0,$U19=0),"",INDEX($A$4:$A$153,MATCH($A19,$I$4:$I$153,0)))</f>
        <v/>
      </c>
      <c r="K19" s="31">
        <f>IF($T19=0,"",IF(COUNTIF($X19:$AC19,"&gt;0")=0,"○ Clear",TRIM("△ "&amp;COUNTIF($X19:$AC19,"&gt;0")&amp;IF(COUNTIF($X19:$AC19,"&gt;0")=1," problem: "," problems: ")&amp;IF($X19&gt;0,"Decided by needs one name from People, and a body needs members and a signer. ","")&amp;IF($Y19&gt;0,"Why or evidence needs the reason itself, in three words or more. ","")&amp;IF($Z19&gt;0,"Date needs the day it was decided, no later than As of. ","")&amp;IF($AA19=1,IF(ISNA(MATCH($F19,People!$B$30:$B$36,0)),"Gate isn't one of the gate names on People. ","People names "&amp;INDEX(People!$C$30:$C$36,MATCH($F19,People!$B$30:$B$36,0))&amp;" to decide "&amp;$F19&amp;". "),IF($AA19=2,"People names nobody to decide "&amp;$F19&amp;". ",IF($AA19=3,"The Decision opens with a gate's name, so pick that gate in Gate. ","")))&amp;IF($AB19&gt;0,"Replaces needs the Id of a row dated no later than this one. ","")&amp;IF($AC19&gt;0,"Record elsewhere needs the name of the record the other file keeps. ",""))))</f>
        <v/>
      </c>
      <c r="T19" s="32">
        <f>IF(COUNTA($A19:$I19)&gt;0,1,0)</f>
        <v/>
      </c>
      <c r="U19" s="32">
        <f>IF(OR($T19=0,$A19=""),0,IF(COUNTIF($I$4:$I$153,$A19)&gt;0,1,0))</f>
        <v/>
      </c>
      <c r="V19" s="32">
        <f>IF(AND($T19=1,$H19&lt;&gt;"",$H19&lt;&gt;"This log"),1,0)</f>
        <v/>
      </c>
      <c r="W19" s="26">
        <f>IF($T19=0,"",","&amp;SUBSTITUTE(SUBSTITUTE($G19&amp;","&amp;$F19," ",""),";",",")&amp;",")</f>
        <v/>
      </c>
      <c r="X19" s="32">
        <f>IF($T19=0,0,IF(LEN(TRIM($D19))=0,1,IF(COUNTIF(People!$D$6:$D$25,TRIM($D19))=0,1,IF(INDEX(People!$E$6:$E$25,MATCH(TRIM($D19),People!$D$6:$D$25,0))&lt;&gt;"Body",0,IF(OR(LEN(TRIM(INDEX(People!$F$6:$F$25,MATCH(TRIM($D19),People!$D$6:$D$25,0))))=0,LEN(TRIM(INDEX(People!$G$6:$G$25,MATCH(TRIM($D19),People!$D$6:$D$25,0))))=0),1,0)))))</f>
        <v/>
      </c>
      <c r="Y19" s="32">
        <f>IF($T19=0,0,IF(LEN(TRIM($E19))=0,1,IF(LEN(TRIM($E19))-LEN(SUBSTITUTE(TRIM($E19)," ",""))+1&lt;3,1,IF(SUMPRODUCT((People!$J$6:$J$12&lt;&gt;"")*(LEFT(LOWER(TRIM($E19))&amp;" ",LEN(People!$J$6:$J$12)+1)=LOWER(People!$J$6:$J$12)&amp;" "))&gt;0,1,0))))</f>
        <v/>
      </c>
      <c r="Z19" s="32">
        <f>IF($T19=0,0,IF(NOT(ISNUMBER($B19)),1,IF($B19&gt;Summary!$K$3,1,0)))</f>
        <v/>
      </c>
      <c r="AA19" s="32">
        <f>IF($T19=0,0,IF($F19="",IF(SUMPRODUCT(--(LOWER(LEFT($C19,LEN(People!$B$30:$B$36)+1))=LOWER(People!$B$30:$B$36)&amp;":"))&gt;0,3,0),IF(ISNA(MATCH($F19,People!$B$30:$B$36,0)),1,IF(LEN(INDEX(People!$C$30:$C$36,MATCH($F19,People!$B$30:$B$36,0))&amp;"")=0,2,IF(TRIM($D19)&lt;&gt;INDEX(People!$C$30:$C$36,MATCH($F19,People!$B$30:$B$36,0)),1,0)))))</f>
        <v/>
      </c>
      <c r="AB19" s="32">
        <f>IF(OR($T19=0,$I19=""),0,IF(OR($I19=$A19,COUNTIF($A$4:$A$153,$I19)=0),1,IF(INDEX($B$4:$B$153,MATCH($I19,$A$4:$A$153,0))&gt;$B19,1,0)))</f>
        <v/>
      </c>
      <c r="AC19" s="32">
        <f>IF(AND($V19=1,LEN(TRIM($G19))=0),1,0)</f>
        <v/>
      </c>
      <c r="AD19" s="32">
        <f>IF($T19=0,0,IFERROR(VALUE(MID($A19,4,9)),0))</f>
        <v/>
      </c>
    </row>
    <row r="20" ht="18" customHeight="1">
      <c r="A20" s="27" t="n"/>
      <c r="B20" s="28" t="n"/>
      <c r="C20" s="29" t="n"/>
      <c r="D20" s="29" t="n"/>
      <c r="E20" s="29" t="n"/>
      <c r="F20" s="29" t="n"/>
      <c r="G20" s="29" t="n"/>
      <c r="H20" s="29" t="n"/>
      <c r="I20" s="27" t="n"/>
      <c r="J20" s="30">
        <f>IF(OR($T20=0,$U20=0),"",INDEX($A$4:$A$153,MATCH($A20,$I$4:$I$153,0)))</f>
        <v/>
      </c>
      <c r="K20" s="31">
        <f>IF($T20=0,"",IF(COUNTIF($X20:$AC20,"&gt;0")=0,"○ Clear",TRIM("△ "&amp;COUNTIF($X20:$AC20,"&gt;0")&amp;IF(COUNTIF($X20:$AC20,"&gt;0")=1," problem: "," problems: ")&amp;IF($X20&gt;0,"Decided by needs one name from People, and a body needs members and a signer. ","")&amp;IF($Y20&gt;0,"Why or evidence needs the reason itself, in three words or more. ","")&amp;IF($Z20&gt;0,"Date needs the day it was decided, no later than As of. ","")&amp;IF($AA20=1,IF(ISNA(MATCH($F20,People!$B$30:$B$36,0)),"Gate isn't one of the gate names on People. ","People names "&amp;INDEX(People!$C$30:$C$36,MATCH($F20,People!$B$30:$B$36,0))&amp;" to decide "&amp;$F20&amp;". "),IF($AA20=2,"People names nobody to decide "&amp;$F20&amp;". ",IF($AA20=3,"The Decision opens with a gate's name, so pick that gate in Gate. ","")))&amp;IF($AB20&gt;0,"Replaces needs the Id of a row dated no later than this one. ","")&amp;IF($AC20&gt;0,"Record elsewhere needs the name of the record the other file keeps. ",""))))</f>
        <v/>
      </c>
      <c r="T20" s="32">
        <f>IF(COUNTA($A20:$I20)&gt;0,1,0)</f>
        <v/>
      </c>
      <c r="U20" s="32">
        <f>IF(OR($T20=0,$A20=""),0,IF(COUNTIF($I$4:$I$153,$A20)&gt;0,1,0))</f>
        <v/>
      </c>
      <c r="V20" s="32">
        <f>IF(AND($T20=1,$H20&lt;&gt;"",$H20&lt;&gt;"This log"),1,0)</f>
        <v/>
      </c>
      <c r="W20" s="26">
        <f>IF($T20=0,"",","&amp;SUBSTITUTE(SUBSTITUTE($G20&amp;","&amp;$F20," ",""),";",",")&amp;",")</f>
        <v/>
      </c>
      <c r="X20" s="32">
        <f>IF($T20=0,0,IF(LEN(TRIM($D20))=0,1,IF(COUNTIF(People!$D$6:$D$25,TRIM($D20))=0,1,IF(INDEX(People!$E$6:$E$25,MATCH(TRIM($D20),People!$D$6:$D$25,0))&lt;&gt;"Body",0,IF(OR(LEN(TRIM(INDEX(People!$F$6:$F$25,MATCH(TRIM($D20),People!$D$6:$D$25,0))))=0,LEN(TRIM(INDEX(People!$G$6:$G$25,MATCH(TRIM($D20),People!$D$6:$D$25,0))))=0),1,0)))))</f>
        <v/>
      </c>
      <c r="Y20" s="32">
        <f>IF($T20=0,0,IF(LEN(TRIM($E20))=0,1,IF(LEN(TRIM($E20))-LEN(SUBSTITUTE(TRIM($E20)," ",""))+1&lt;3,1,IF(SUMPRODUCT((People!$J$6:$J$12&lt;&gt;"")*(LEFT(LOWER(TRIM($E20))&amp;" ",LEN(People!$J$6:$J$12)+1)=LOWER(People!$J$6:$J$12)&amp;" "))&gt;0,1,0))))</f>
        <v/>
      </c>
      <c r="Z20" s="32">
        <f>IF($T20=0,0,IF(NOT(ISNUMBER($B20)),1,IF($B20&gt;Summary!$K$3,1,0)))</f>
        <v/>
      </c>
      <c r="AA20" s="32">
        <f>IF($T20=0,0,IF($F20="",IF(SUMPRODUCT(--(LOWER(LEFT($C20,LEN(People!$B$30:$B$36)+1))=LOWER(People!$B$30:$B$36)&amp;":"))&gt;0,3,0),IF(ISNA(MATCH($F20,People!$B$30:$B$36,0)),1,IF(LEN(INDEX(People!$C$30:$C$36,MATCH($F20,People!$B$30:$B$36,0))&amp;"")=0,2,IF(TRIM($D20)&lt;&gt;INDEX(People!$C$30:$C$36,MATCH($F20,People!$B$30:$B$36,0)),1,0)))))</f>
        <v/>
      </c>
      <c r="AB20" s="32">
        <f>IF(OR($T20=0,$I20=""),0,IF(OR($I20=$A20,COUNTIF($A$4:$A$153,$I20)=0),1,IF(INDEX($B$4:$B$153,MATCH($I20,$A$4:$A$153,0))&gt;$B20,1,0)))</f>
        <v/>
      </c>
      <c r="AC20" s="32">
        <f>IF(AND($V20=1,LEN(TRIM($G20))=0),1,0)</f>
        <v/>
      </c>
      <c r="AD20" s="32">
        <f>IF($T20=0,0,IFERROR(VALUE(MID($A20,4,9)),0))</f>
        <v/>
      </c>
    </row>
    <row r="21" ht="18" customHeight="1">
      <c r="A21" s="27" t="n"/>
      <c r="B21" s="28" t="n"/>
      <c r="C21" s="29" t="n"/>
      <c r="D21" s="29" t="n"/>
      <c r="E21" s="29" t="n"/>
      <c r="F21" s="29" t="n"/>
      <c r="G21" s="29" t="n"/>
      <c r="H21" s="29" t="n"/>
      <c r="I21" s="27" t="n"/>
      <c r="J21" s="30">
        <f>IF(OR($T21=0,$U21=0),"",INDEX($A$4:$A$153,MATCH($A21,$I$4:$I$153,0)))</f>
        <v/>
      </c>
      <c r="K21" s="31">
        <f>IF($T21=0,"",IF(COUNTIF($X21:$AC21,"&gt;0")=0,"○ Clear",TRIM("△ "&amp;COUNTIF($X21:$AC21,"&gt;0")&amp;IF(COUNTIF($X21:$AC21,"&gt;0")=1," problem: "," problems: ")&amp;IF($X21&gt;0,"Decided by needs one name from People, and a body needs members and a signer. ","")&amp;IF($Y21&gt;0,"Why or evidence needs the reason itself, in three words or more. ","")&amp;IF($Z21&gt;0,"Date needs the day it was decided, no later than As of. ","")&amp;IF($AA21=1,IF(ISNA(MATCH($F21,People!$B$30:$B$36,0)),"Gate isn't one of the gate names on People. ","People names "&amp;INDEX(People!$C$30:$C$36,MATCH($F21,People!$B$30:$B$36,0))&amp;" to decide "&amp;$F21&amp;". "),IF($AA21=2,"People names nobody to decide "&amp;$F21&amp;". ",IF($AA21=3,"The Decision opens with a gate's name, so pick that gate in Gate. ","")))&amp;IF($AB21&gt;0,"Replaces needs the Id of a row dated no later than this one. ","")&amp;IF($AC21&gt;0,"Record elsewhere needs the name of the record the other file keeps. ",""))))</f>
        <v/>
      </c>
      <c r="T21" s="32">
        <f>IF(COUNTA($A21:$I21)&gt;0,1,0)</f>
        <v/>
      </c>
      <c r="U21" s="32">
        <f>IF(OR($T21=0,$A21=""),0,IF(COUNTIF($I$4:$I$153,$A21)&gt;0,1,0))</f>
        <v/>
      </c>
      <c r="V21" s="32">
        <f>IF(AND($T21=1,$H21&lt;&gt;"",$H21&lt;&gt;"This log"),1,0)</f>
        <v/>
      </c>
      <c r="W21" s="26">
        <f>IF($T21=0,"",","&amp;SUBSTITUTE(SUBSTITUTE($G21&amp;","&amp;$F21," ",""),";",",")&amp;",")</f>
        <v/>
      </c>
      <c r="X21" s="32">
        <f>IF($T21=0,0,IF(LEN(TRIM($D21))=0,1,IF(COUNTIF(People!$D$6:$D$25,TRIM($D21))=0,1,IF(INDEX(People!$E$6:$E$25,MATCH(TRIM($D21),People!$D$6:$D$25,0))&lt;&gt;"Body",0,IF(OR(LEN(TRIM(INDEX(People!$F$6:$F$25,MATCH(TRIM($D21),People!$D$6:$D$25,0))))=0,LEN(TRIM(INDEX(People!$G$6:$G$25,MATCH(TRIM($D21),People!$D$6:$D$25,0))))=0),1,0)))))</f>
        <v/>
      </c>
      <c r="Y21" s="32">
        <f>IF($T21=0,0,IF(LEN(TRIM($E21))=0,1,IF(LEN(TRIM($E21))-LEN(SUBSTITUTE(TRIM($E21)," ",""))+1&lt;3,1,IF(SUMPRODUCT((People!$J$6:$J$12&lt;&gt;"")*(LEFT(LOWER(TRIM($E21))&amp;" ",LEN(People!$J$6:$J$12)+1)=LOWER(People!$J$6:$J$12)&amp;" "))&gt;0,1,0))))</f>
        <v/>
      </c>
      <c r="Z21" s="32">
        <f>IF($T21=0,0,IF(NOT(ISNUMBER($B21)),1,IF($B21&gt;Summary!$K$3,1,0)))</f>
        <v/>
      </c>
      <c r="AA21" s="32">
        <f>IF($T21=0,0,IF($F21="",IF(SUMPRODUCT(--(LOWER(LEFT($C21,LEN(People!$B$30:$B$36)+1))=LOWER(People!$B$30:$B$36)&amp;":"))&gt;0,3,0),IF(ISNA(MATCH($F21,People!$B$30:$B$36,0)),1,IF(LEN(INDEX(People!$C$30:$C$36,MATCH($F21,People!$B$30:$B$36,0))&amp;"")=0,2,IF(TRIM($D21)&lt;&gt;INDEX(People!$C$30:$C$36,MATCH($F21,People!$B$30:$B$36,0)),1,0)))))</f>
        <v/>
      </c>
      <c r="AB21" s="32">
        <f>IF(OR($T21=0,$I21=""),0,IF(OR($I21=$A21,COUNTIF($A$4:$A$153,$I21)=0),1,IF(INDEX($B$4:$B$153,MATCH($I21,$A$4:$A$153,0))&gt;$B21,1,0)))</f>
        <v/>
      </c>
      <c r="AC21" s="32">
        <f>IF(AND($V21=1,LEN(TRIM($G21))=0),1,0)</f>
        <v/>
      </c>
      <c r="AD21" s="32">
        <f>IF($T21=0,0,IFERROR(VALUE(MID($A21,4,9)),0))</f>
        <v/>
      </c>
    </row>
    <row r="22" ht="18" customHeight="1">
      <c r="A22" s="27" t="n"/>
      <c r="B22" s="28" t="n"/>
      <c r="C22" s="29" t="n"/>
      <c r="D22" s="29" t="n"/>
      <c r="E22" s="29" t="n"/>
      <c r="F22" s="29" t="n"/>
      <c r="G22" s="29" t="n"/>
      <c r="H22" s="29" t="n"/>
      <c r="I22" s="27" t="n"/>
      <c r="J22" s="30">
        <f>IF(OR($T22=0,$U22=0),"",INDEX($A$4:$A$153,MATCH($A22,$I$4:$I$153,0)))</f>
        <v/>
      </c>
      <c r="K22" s="31">
        <f>IF($T22=0,"",IF(COUNTIF($X22:$AC22,"&gt;0")=0,"○ Clear",TRIM("△ "&amp;COUNTIF($X22:$AC22,"&gt;0")&amp;IF(COUNTIF($X22:$AC22,"&gt;0")=1," problem: "," problems: ")&amp;IF($X22&gt;0,"Decided by needs one name from People, and a body needs members and a signer. ","")&amp;IF($Y22&gt;0,"Why or evidence needs the reason itself, in three words or more. ","")&amp;IF($Z22&gt;0,"Date needs the day it was decided, no later than As of. ","")&amp;IF($AA22=1,IF(ISNA(MATCH($F22,People!$B$30:$B$36,0)),"Gate isn't one of the gate names on People. ","People names "&amp;INDEX(People!$C$30:$C$36,MATCH($F22,People!$B$30:$B$36,0))&amp;" to decide "&amp;$F22&amp;". "),IF($AA22=2,"People names nobody to decide "&amp;$F22&amp;". ",IF($AA22=3,"The Decision opens with a gate's name, so pick that gate in Gate. ","")))&amp;IF($AB22&gt;0,"Replaces needs the Id of a row dated no later than this one. ","")&amp;IF($AC22&gt;0,"Record elsewhere needs the name of the record the other file keeps. ",""))))</f>
        <v/>
      </c>
      <c r="T22" s="32">
        <f>IF(COUNTA($A22:$I22)&gt;0,1,0)</f>
        <v/>
      </c>
      <c r="U22" s="32">
        <f>IF(OR($T22=0,$A22=""),0,IF(COUNTIF($I$4:$I$153,$A22)&gt;0,1,0))</f>
        <v/>
      </c>
      <c r="V22" s="32">
        <f>IF(AND($T22=1,$H22&lt;&gt;"",$H22&lt;&gt;"This log"),1,0)</f>
        <v/>
      </c>
      <c r="W22" s="26">
        <f>IF($T22=0,"",","&amp;SUBSTITUTE(SUBSTITUTE($G22&amp;","&amp;$F22," ",""),";",",")&amp;",")</f>
        <v/>
      </c>
      <c r="X22" s="32">
        <f>IF($T22=0,0,IF(LEN(TRIM($D22))=0,1,IF(COUNTIF(People!$D$6:$D$25,TRIM($D22))=0,1,IF(INDEX(People!$E$6:$E$25,MATCH(TRIM($D22),People!$D$6:$D$25,0))&lt;&gt;"Body",0,IF(OR(LEN(TRIM(INDEX(People!$F$6:$F$25,MATCH(TRIM($D22),People!$D$6:$D$25,0))))=0,LEN(TRIM(INDEX(People!$G$6:$G$25,MATCH(TRIM($D22),People!$D$6:$D$25,0))))=0),1,0)))))</f>
        <v/>
      </c>
      <c r="Y22" s="32">
        <f>IF($T22=0,0,IF(LEN(TRIM($E22))=0,1,IF(LEN(TRIM($E22))-LEN(SUBSTITUTE(TRIM($E22)," ",""))+1&lt;3,1,IF(SUMPRODUCT((People!$J$6:$J$12&lt;&gt;"")*(LEFT(LOWER(TRIM($E22))&amp;" ",LEN(People!$J$6:$J$12)+1)=LOWER(People!$J$6:$J$12)&amp;" "))&gt;0,1,0))))</f>
        <v/>
      </c>
      <c r="Z22" s="32">
        <f>IF($T22=0,0,IF(NOT(ISNUMBER($B22)),1,IF($B22&gt;Summary!$K$3,1,0)))</f>
        <v/>
      </c>
      <c r="AA22" s="32">
        <f>IF($T22=0,0,IF($F22="",IF(SUMPRODUCT(--(LOWER(LEFT($C22,LEN(People!$B$30:$B$36)+1))=LOWER(People!$B$30:$B$36)&amp;":"))&gt;0,3,0),IF(ISNA(MATCH($F22,People!$B$30:$B$36,0)),1,IF(LEN(INDEX(People!$C$30:$C$36,MATCH($F22,People!$B$30:$B$36,0))&amp;"")=0,2,IF(TRIM($D22)&lt;&gt;INDEX(People!$C$30:$C$36,MATCH($F22,People!$B$30:$B$36,0)),1,0)))))</f>
        <v/>
      </c>
      <c r="AB22" s="32">
        <f>IF(OR($T22=0,$I22=""),0,IF(OR($I22=$A22,COUNTIF($A$4:$A$153,$I22)=0),1,IF(INDEX($B$4:$B$153,MATCH($I22,$A$4:$A$153,0))&gt;$B22,1,0)))</f>
        <v/>
      </c>
      <c r="AC22" s="32">
        <f>IF(AND($V22=1,LEN(TRIM($G22))=0),1,0)</f>
        <v/>
      </c>
      <c r="AD22" s="32">
        <f>IF($T22=0,0,IFERROR(VALUE(MID($A22,4,9)),0))</f>
        <v/>
      </c>
    </row>
    <row r="23" ht="18" customHeight="1">
      <c r="A23" s="27" t="n"/>
      <c r="B23" s="28" t="n"/>
      <c r="C23" s="29" t="n"/>
      <c r="D23" s="29" t="n"/>
      <c r="E23" s="29" t="n"/>
      <c r="F23" s="29" t="n"/>
      <c r="G23" s="29" t="n"/>
      <c r="H23" s="29" t="n"/>
      <c r="I23" s="27" t="n"/>
      <c r="J23" s="30">
        <f>IF(OR($T23=0,$U23=0),"",INDEX($A$4:$A$153,MATCH($A23,$I$4:$I$153,0)))</f>
        <v/>
      </c>
      <c r="K23" s="31">
        <f>IF($T23=0,"",IF(COUNTIF($X23:$AC23,"&gt;0")=0,"○ Clear",TRIM("△ "&amp;COUNTIF($X23:$AC23,"&gt;0")&amp;IF(COUNTIF($X23:$AC23,"&gt;0")=1," problem: "," problems: ")&amp;IF($X23&gt;0,"Decided by needs one name from People, and a body needs members and a signer. ","")&amp;IF($Y23&gt;0,"Why or evidence needs the reason itself, in three words or more. ","")&amp;IF($Z23&gt;0,"Date needs the day it was decided, no later than As of. ","")&amp;IF($AA23=1,IF(ISNA(MATCH($F23,People!$B$30:$B$36,0)),"Gate isn't one of the gate names on People. ","People names "&amp;INDEX(People!$C$30:$C$36,MATCH($F23,People!$B$30:$B$36,0))&amp;" to decide "&amp;$F23&amp;". "),IF($AA23=2,"People names nobody to decide "&amp;$F23&amp;". ",IF($AA23=3,"The Decision opens with a gate's name, so pick that gate in Gate. ","")))&amp;IF($AB23&gt;0,"Replaces needs the Id of a row dated no later than this one. ","")&amp;IF($AC23&gt;0,"Record elsewhere needs the name of the record the other file keeps. ",""))))</f>
        <v/>
      </c>
      <c r="T23" s="32">
        <f>IF(COUNTA($A23:$I23)&gt;0,1,0)</f>
        <v/>
      </c>
      <c r="U23" s="32">
        <f>IF(OR($T23=0,$A23=""),0,IF(COUNTIF($I$4:$I$153,$A23)&gt;0,1,0))</f>
        <v/>
      </c>
      <c r="V23" s="32">
        <f>IF(AND($T23=1,$H23&lt;&gt;"",$H23&lt;&gt;"This log"),1,0)</f>
        <v/>
      </c>
      <c r="W23" s="26">
        <f>IF($T23=0,"",","&amp;SUBSTITUTE(SUBSTITUTE($G23&amp;","&amp;$F23," ",""),";",",")&amp;",")</f>
        <v/>
      </c>
      <c r="X23" s="32">
        <f>IF($T23=0,0,IF(LEN(TRIM($D23))=0,1,IF(COUNTIF(People!$D$6:$D$25,TRIM($D23))=0,1,IF(INDEX(People!$E$6:$E$25,MATCH(TRIM($D23),People!$D$6:$D$25,0))&lt;&gt;"Body",0,IF(OR(LEN(TRIM(INDEX(People!$F$6:$F$25,MATCH(TRIM($D23),People!$D$6:$D$25,0))))=0,LEN(TRIM(INDEX(People!$G$6:$G$25,MATCH(TRIM($D23),People!$D$6:$D$25,0))))=0),1,0)))))</f>
        <v/>
      </c>
      <c r="Y23" s="32">
        <f>IF($T23=0,0,IF(LEN(TRIM($E23))=0,1,IF(LEN(TRIM($E23))-LEN(SUBSTITUTE(TRIM($E23)," ",""))+1&lt;3,1,IF(SUMPRODUCT((People!$J$6:$J$12&lt;&gt;"")*(LEFT(LOWER(TRIM($E23))&amp;" ",LEN(People!$J$6:$J$12)+1)=LOWER(People!$J$6:$J$12)&amp;" "))&gt;0,1,0))))</f>
        <v/>
      </c>
      <c r="Z23" s="32">
        <f>IF($T23=0,0,IF(NOT(ISNUMBER($B23)),1,IF($B23&gt;Summary!$K$3,1,0)))</f>
        <v/>
      </c>
      <c r="AA23" s="32">
        <f>IF($T23=0,0,IF($F23="",IF(SUMPRODUCT(--(LOWER(LEFT($C23,LEN(People!$B$30:$B$36)+1))=LOWER(People!$B$30:$B$36)&amp;":"))&gt;0,3,0),IF(ISNA(MATCH($F23,People!$B$30:$B$36,0)),1,IF(LEN(INDEX(People!$C$30:$C$36,MATCH($F23,People!$B$30:$B$36,0))&amp;"")=0,2,IF(TRIM($D23)&lt;&gt;INDEX(People!$C$30:$C$36,MATCH($F23,People!$B$30:$B$36,0)),1,0)))))</f>
        <v/>
      </c>
      <c r="AB23" s="32">
        <f>IF(OR($T23=0,$I23=""),0,IF(OR($I23=$A23,COUNTIF($A$4:$A$153,$I23)=0),1,IF(INDEX($B$4:$B$153,MATCH($I23,$A$4:$A$153,0))&gt;$B23,1,0)))</f>
        <v/>
      </c>
      <c r="AC23" s="32">
        <f>IF(AND($V23=1,LEN(TRIM($G23))=0),1,0)</f>
        <v/>
      </c>
      <c r="AD23" s="32">
        <f>IF($T23=0,0,IFERROR(VALUE(MID($A23,4,9)),0))</f>
        <v/>
      </c>
    </row>
    <row r="24" ht="18" customHeight="1">
      <c r="A24" s="27" t="n"/>
      <c r="B24" s="28" t="n"/>
      <c r="C24" s="29" t="n"/>
      <c r="D24" s="29" t="n"/>
      <c r="E24" s="29" t="n"/>
      <c r="F24" s="29" t="n"/>
      <c r="G24" s="29" t="n"/>
      <c r="H24" s="29" t="n"/>
      <c r="I24" s="27" t="n"/>
      <c r="J24" s="30">
        <f>IF(OR($T24=0,$U24=0),"",INDEX($A$4:$A$153,MATCH($A24,$I$4:$I$153,0)))</f>
        <v/>
      </c>
      <c r="K24" s="31">
        <f>IF($T24=0,"",IF(COUNTIF($X24:$AC24,"&gt;0")=0,"○ Clear",TRIM("△ "&amp;COUNTIF($X24:$AC24,"&gt;0")&amp;IF(COUNTIF($X24:$AC24,"&gt;0")=1," problem: "," problems: ")&amp;IF($X24&gt;0,"Decided by needs one name from People, and a body needs members and a signer. ","")&amp;IF($Y24&gt;0,"Why or evidence needs the reason itself, in three words or more. ","")&amp;IF($Z24&gt;0,"Date needs the day it was decided, no later than As of. ","")&amp;IF($AA24=1,IF(ISNA(MATCH($F24,People!$B$30:$B$36,0)),"Gate isn't one of the gate names on People. ","People names "&amp;INDEX(People!$C$30:$C$36,MATCH($F24,People!$B$30:$B$36,0))&amp;" to decide "&amp;$F24&amp;". "),IF($AA24=2,"People names nobody to decide "&amp;$F24&amp;". ",IF($AA24=3,"The Decision opens with a gate's name, so pick that gate in Gate. ","")))&amp;IF($AB24&gt;0,"Replaces needs the Id of a row dated no later than this one. ","")&amp;IF($AC24&gt;0,"Record elsewhere needs the name of the record the other file keeps. ",""))))</f>
        <v/>
      </c>
      <c r="T24" s="32">
        <f>IF(COUNTA($A24:$I24)&gt;0,1,0)</f>
        <v/>
      </c>
      <c r="U24" s="32">
        <f>IF(OR($T24=0,$A24=""),0,IF(COUNTIF($I$4:$I$153,$A24)&gt;0,1,0))</f>
        <v/>
      </c>
      <c r="V24" s="32">
        <f>IF(AND($T24=1,$H24&lt;&gt;"",$H24&lt;&gt;"This log"),1,0)</f>
        <v/>
      </c>
      <c r="W24" s="26">
        <f>IF($T24=0,"",","&amp;SUBSTITUTE(SUBSTITUTE($G24&amp;","&amp;$F24," ",""),";",",")&amp;",")</f>
        <v/>
      </c>
      <c r="X24" s="32">
        <f>IF($T24=0,0,IF(LEN(TRIM($D24))=0,1,IF(COUNTIF(People!$D$6:$D$25,TRIM($D24))=0,1,IF(INDEX(People!$E$6:$E$25,MATCH(TRIM($D24),People!$D$6:$D$25,0))&lt;&gt;"Body",0,IF(OR(LEN(TRIM(INDEX(People!$F$6:$F$25,MATCH(TRIM($D24),People!$D$6:$D$25,0))))=0,LEN(TRIM(INDEX(People!$G$6:$G$25,MATCH(TRIM($D24),People!$D$6:$D$25,0))))=0),1,0)))))</f>
        <v/>
      </c>
      <c r="Y24" s="32">
        <f>IF($T24=0,0,IF(LEN(TRIM($E24))=0,1,IF(LEN(TRIM($E24))-LEN(SUBSTITUTE(TRIM($E24)," ",""))+1&lt;3,1,IF(SUMPRODUCT((People!$J$6:$J$12&lt;&gt;"")*(LEFT(LOWER(TRIM($E24))&amp;" ",LEN(People!$J$6:$J$12)+1)=LOWER(People!$J$6:$J$12)&amp;" "))&gt;0,1,0))))</f>
        <v/>
      </c>
      <c r="Z24" s="32">
        <f>IF($T24=0,0,IF(NOT(ISNUMBER($B24)),1,IF($B24&gt;Summary!$K$3,1,0)))</f>
        <v/>
      </c>
      <c r="AA24" s="32">
        <f>IF($T24=0,0,IF($F24="",IF(SUMPRODUCT(--(LOWER(LEFT($C24,LEN(People!$B$30:$B$36)+1))=LOWER(People!$B$30:$B$36)&amp;":"))&gt;0,3,0),IF(ISNA(MATCH($F24,People!$B$30:$B$36,0)),1,IF(LEN(INDEX(People!$C$30:$C$36,MATCH($F24,People!$B$30:$B$36,0))&amp;"")=0,2,IF(TRIM($D24)&lt;&gt;INDEX(People!$C$30:$C$36,MATCH($F24,People!$B$30:$B$36,0)),1,0)))))</f>
        <v/>
      </c>
      <c r="AB24" s="32">
        <f>IF(OR($T24=0,$I24=""),0,IF(OR($I24=$A24,COUNTIF($A$4:$A$153,$I24)=0),1,IF(INDEX($B$4:$B$153,MATCH($I24,$A$4:$A$153,0))&gt;$B24,1,0)))</f>
        <v/>
      </c>
      <c r="AC24" s="32">
        <f>IF(AND($V24=1,LEN(TRIM($G24))=0),1,0)</f>
        <v/>
      </c>
      <c r="AD24" s="32">
        <f>IF($T24=0,0,IFERROR(VALUE(MID($A24,4,9)),0))</f>
        <v/>
      </c>
    </row>
    <row r="25" ht="18" customHeight="1">
      <c r="A25" s="27" t="n"/>
      <c r="B25" s="28" t="n"/>
      <c r="C25" s="29" t="n"/>
      <c r="D25" s="29" t="n"/>
      <c r="E25" s="29" t="n"/>
      <c r="F25" s="29" t="n"/>
      <c r="G25" s="29" t="n"/>
      <c r="H25" s="29" t="n"/>
      <c r="I25" s="27" t="n"/>
      <c r="J25" s="30">
        <f>IF(OR($T25=0,$U25=0),"",INDEX($A$4:$A$153,MATCH($A25,$I$4:$I$153,0)))</f>
        <v/>
      </c>
      <c r="K25" s="31">
        <f>IF($T25=0,"",IF(COUNTIF($X25:$AC25,"&gt;0")=0,"○ Clear",TRIM("△ "&amp;COUNTIF($X25:$AC25,"&gt;0")&amp;IF(COUNTIF($X25:$AC25,"&gt;0")=1," problem: "," problems: ")&amp;IF($X25&gt;0,"Decided by needs one name from People, and a body needs members and a signer. ","")&amp;IF($Y25&gt;0,"Why or evidence needs the reason itself, in three words or more. ","")&amp;IF($Z25&gt;0,"Date needs the day it was decided, no later than As of. ","")&amp;IF($AA25=1,IF(ISNA(MATCH($F25,People!$B$30:$B$36,0)),"Gate isn't one of the gate names on People. ","People names "&amp;INDEX(People!$C$30:$C$36,MATCH($F25,People!$B$30:$B$36,0))&amp;" to decide "&amp;$F25&amp;". "),IF($AA25=2,"People names nobody to decide "&amp;$F25&amp;". ",IF($AA25=3,"The Decision opens with a gate's name, so pick that gate in Gate. ","")))&amp;IF($AB25&gt;0,"Replaces needs the Id of a row dated no later than this one. ","")&amp;IF($AC25&gt;0,"Record elsewhere needs the name of the record the other file keeps. ",""))))</f>
        <v/>
      </c>
      <c r="T25" s="32">
        <f>IF(COUNTA($A25:$I25)&gt;0,1,0)</f>
        <v/>
      </c>
      <c r="U25" s="32">
        <f>IF(OR($T25=0,$A25=""),0,IF(COUNTIF($I$4:$I$153,$A25)&gt;0,1,0))</f>
        <v/>
      </c>
      <c r="V25" s="32">
        <f>IF(AND($T25=1,$H25&lt;&gt;"",$H25&lt;&gt;"This log"),1,0)</f>
        <v/>
      </c>
      <c r="W25" s="26">
        <f>IF($T25=0,"",","&amp;SUBSTITUTE(SUBSTITUTE($G25&amp;","&amp;$F25," ",""),";",",")&amp;",")</f>
        <v/>
      </c>
      <c r="X25" s="32">
        <f>IF($T25=0,0,IF(LEN(TRIM($D25))=0,1,IF(COUNTIF(People!$D$6:$D$25,TRIM($D25))=0,1,IF(INDEX(People!$E$6:$E$25,MATCH(TRIM($D25),People!$D$6:$D$25,0))&lt;&gt;"Body",0,IF(OR(LEN(TRIM(INDEX(People!$F$6:$F$25,MATCH(TRIM($D25),People!$D$6:$D$25,0))))=0,LEN(TRIM(INDEX(People!$G$6:$G$25,MATCH(TRIM($D25),People!$D$6:$D$25,0))))=0),1,0)))))</f>
        <v/>
      </c>
      <c r="Y25" s="32">
        <f>IF($T25=0,0,IF(LEN(TRIM($E25))=0,1,IF(LEN(TRIM($E25))-LEN(SUBSTITUTE(TRIM($E25)," ",""))+1&lt;3,1,IF(SUMPRODUCT((People!$J$6:$J$12&lt;&gt;"")*(LEFT(LOWER(TRIM($E25))&amp;" ",LEN(People!$J$6:$J$12)+1)=LOWER(People!$J$6:$J$12)&amp;" "))&gt;0,1,0))))</f>
        <v/>
      </c>
      <c r="Z25" s="32">
        <f>IF($T25=0,0,IF(NOT(ISNUMBER($B25)),1,IF($B25&gt;Summary!$K$3,1,0)))</f>
        <v/>
      </c>
      <c r="AA25" s="32">
        <f>IF($T25=0,0,IF($F25="",IF(SUMPRODUCT(--(LOWER(LEFT($C25,LEN(People!$B$30:$B$36)+1))=LOWER(People!$B$30:$B$36)&amp;":"))&gt;0,3,0),IF(ISNA(MATCH($F25,People!$B$30:$B$36,0)),1,IF(LEN(INDEX(People!$C$30:$C$36,MATCH($F25,People!$B$30:$B$36,0))&amp;"")=0,2,IF(TRIM($D25)&lt;&gt;INDEX(People!$C$30:$C$36,MATCH($F25,People!$B$30:$B$36,0)),1,0)))))</f>
        <v/>
      </c>
      <c r="AB25" s="32">
        <f>IF(OR($T25=0,$I25=""),0,IF(OR($I25=$A25,COUNTIF($A$4:$A$153,$I25)=0),1,IF(INDEX($B$4:$B$153,MATCH($I25,$A$4:$A$153,0))&gt;$B25,1,0)))</f>
        <v/>
      </c>
      <c r="AC25" s="32">
        <f>IF(AND($V25=1,LEN(TRIM($G25))=0),1,0)</f>
        <v/>
      </c>
      <c r="AD25" s="32">
        <f>IF($T25=0,0,IFERROR(VALUE(MID($A25,4,9)),0))</f>
        <v/>
      </c>
    </row>
    <row r="26" ht="18" customHeight="1">
      <c r="A26" s="27" t="n"/>
      <c r="B26" s="28" t="n"/>
      <c r="C26" s="29" t="n"/>
      <c r="D26" s="29" t="n"/>
      <c r="E26" s="29" t="n"/>
      <c r="F26" s="29" t="n"/>
      <c r="G26" s="29" t="n"/>
      <c r="H26" s="29" t="n"/>
      <c r="I26" s="27" t="n"/>
      <c r="J26" s="30">
        <f>IF(OR($T26=0,$U26=0),"",INDEX($A$4:$A$153,MATCH($A26,$I$4:$I$153,0)))</f>
        <v/>
      </c>
      <c r="K26" s="31">
        <f>IF($T26=0,"",IF(COUNTIF($X26:$AC26,"&gt;0")=0,"○ Clear",TRIM("△ "&amp;COUNTIF($X26:$AC26,"&gt;0")&amp;IF(COUNTIF($X26:$AC26,"&gt;0")=1," problem: "," problems: ")&amp;IF($X26&gt;0,"Decided by needs one name from People, and a body needs members and a signer. ","")&amp;IF($Y26&gt;0,"Why or evidence needs the reason itself, in three words or more. ","")&amp;IF($Z26&gt;0,"Date needs the day it was decided, no later than As of. ","")&amp;IF($AA26=1,IF(ISNA(MATCH($F26,People!$B$30:$B$36,0)),"Gate isn't one of the gate names on People. ","People names "&amp;INDEX(People!$C$30:$C$36,MATCH($F26,People!$B$30:$B$36,0))&amp;" to decide "&amp;$F26&amp;". "),IF($AA26=2,"People names nobody to decide "&amp;$F26&amp;". ",IF($AA26=3,"The Decision opens with a gate's name, so pick that gate in Gate. ","")))&amp;IF($AB26&gt;0,"Replaces needs the Id of a row dated no later than this one. ","")&amp;IF($AC26&gt;0,"Record elsewhere needs the name of the record the other file keeps. ",""))))</f>
        <v/>
      </c>
      <c r="T26" s="32">
        <f>IF(COUNTA($A26:$I26)&gt;0,1,0)</f>
        <v/>
      </c>
      <c r="U26" s="32">
        <f>IF(OR($T26=0,$A26=""),0,IF(COUNTIF($I$4:$I$153,$A26)&gt;0,1,0))</f>
        <v/>
      </c>
      <c r="V26" s="32">
        <f>IF(AND($T26=1,$H26&lt;&gt;"",$H26&lt;&gt;"This log"),1,0)</f>
        <v/>
      </c>
      <c r="W26" s="26">
        <f>IF($T26=0,"",","&amp;SUBSTITUTE(SUBSTITUTE($G26&amp;","&amp;$F26," ",""),";",",")&amp;",")</f>
        <v/>
      </c>
      <c r="X26" s="32">
        <f>IF($T26=0,0,IF(LEN(TRIM($D26))=0,1,IF(COUNTIF(People!$D$6:$D$25,TRIM($D26))=0,1,IF(INDEX(People!$E$6:$E$25,MATCH(TRIM($D26),People!$D$6:$D$25,0))&lt;&gt;"Body",0,IF(OR(LEN(TRIM(INDEX(People!$F$6:$F$25,MATCH(TRIM($D26),People!$D$6:$D$25,0))))=0,LEN(TRIM(INDEX(People!$G$6:$G$25,MATCH(TRIM($D26),People!$D$6:$D$25,0))))=0),1,0)))))</f>
        <v/>
      </c>
      <c r="Y26" s="32">
        <f>IF($T26=0,0,IF(LEN(TRIM($E26))=0,1,IF(LEN(TRIM($E26))-LEN(SUBSTITUTE(TRIM($E26)," ",""))+1&lt;3,1,IF(SUMPRODUCT((People!$J$6:$J$12&lt;&gt;"")*(LEFT(LOWER(TRIM($E26))&amp;" ",LEN(People!$J$6:$J$12)+1)=LOWER(People!$J$6:$J$12)&amp;" "))&gt;0,1,0))))</f>
        <v/>
      </c>
      <c r="Z26" s="32">
        <f>IF($T26=0,0,IF(NOT(ISNUMBER($B26)),1,IF($B26&gt;Summary!$K$3,1,0)))</f>
        <v/>
      </c>
      <c r="AA26" s="32">
        <f>IF($T26=0,0,IF($F26="",IF(SUMPRODUCT(--(LOWER(LEFT($C26,LEN(People!$B$30:$B$36)+1))=LOWER(People!$B$30:$B$36)&amp;":"))&gt;0,3,0),IF(ISNA(MATCH($F26,People!$B$30:$B$36,0)),1,IF(LEN(INDEX(People!$C$30:$C$36,MATCH($F26,People!$B$30:$B$36,0))&amp;"")=0,2,IF(TRIM($D26)&lt;&gt;INDEX(People!$C$30:$C$36,MATCH($F26,People!$B$30:$B$36,0)),1,0)))))</f>
        <v/>
      </c>
      <c r="AB26" s="32">
        <f>IF(OR($T26=0,$I26=""),0,IF(OR($I26=$A26,COUNTIF($A$4:$A$153,$I26)=0),1,IF(INDEX($B$4:$B$153,MATCH($I26,$A$4:$A$153,0))&gt;$B26,1,0)))</f>
        <v/>
      </c>
      <c r="AC26" s="32">
        <f>IF(AND($V26=1,LEN(TRIM($G26))=0),1,0)</f>
        <v/>
      </c>
      <c r="AD26" s="32">
        <f>IF($T26=0,0,IFERROR(VALUE(MID($A26,4,9)),0))</f>
        <v/>
      </c>
    </row>
    <row r="27" ht="18" customHeight="1">
      <c r="A27" s="27" t="n"/>
      <c r="B27" s="28" t="n"/>
      <c r="C27" s="29" t="n"/>
      <c r="D27" s="29" t="n"/>
      <c r="E27" s="29" t="n"/>
      <c r="F27" s="29" t="n"/>
      <c r="G27" s="29" t="n"/>
      <c r="H27" s="29" t="n"/>
      <c r="I27" s="27" t="n"/>
      <c r="J27" s="30">
        <f>IF(OR($T27=0,$U27=0),"",INDEX($A$4:$A$153,MATCH($A27,$I$4:$I$153,0)))</f>
        <v/>
      </c>
      <c r="K27" s="31">
        <f>IF($T27=0,"",IF(COUNTIF($X27:$AC27,"&gt;0")=0,"○ Clear",TRIM("△ "&amp;COUNTIF($X27:$AC27,"&gt;0")&amp;IF(COUNTIF($X27:$AC27,"&gt;0")=1," problem: "," problems: ")&amp;IF($X27&gt;0,"Decided by needs one name from People, and a body needs members and a signer. ","")&amp;IF($Y27&gt;0,"Why or evidence needs the reason itself, in three words or more. ","")&amp;IF($Z27&gt;0,"Date needs the day it was decided, no later than As of. ","")&amp;IF($AA27=1,IF(ISNA(MATCH($F27,People!$B$30:$B$36,0)),"Gate isn't one of the gate names on People. ","People names "&amp;INDEX(People!$C$30:$C$36,MATCH($F27,People!$B$30:$B$36,0))&amp;" to decide "&amp;$F27&amp;". "),IF($AA27=2,"People names nobody to decide "&amp;$F27&amp;". ",IF($AA27=3,"The Decision opens with a gate's name, so pick that gate in Gate. ","")))&amp;IF($AB27&gt;0,"Replaces needs the Id of a row dated no later than this one. ","")&amp;IF($AC27&gt;0,"Record elsewhere needs the name of the record the other file keeps. ",""))))</f>
        <v/>
      </c>
      <c r="T27" s="32">
        <f>IF(COUNTA($A27:$I27)&gt;0,1,0)</f>
        <v/>
      </c>
      <c r="U27" s="32">
        <f>IF(OR($T27=0,$A27=""),0,IF(COUNTIF($I$4:$I$153,$A27)&gt;0,1,0))</f>
        <v/>
      </c>
      <c r="V27" s="32">
        <f>IF(AND($T27=1,$H27&lt;&gt;"",$H27&lt;&gt;"This log"),1,0)</f>
        <v/>
      </c>
      <c r="W27" s="26">
        <f>IF($T27=0,"",","&amp;SUBSTITUTE(SUBSTITUTE($G27&amp;","&amp;$F27," ",""),";",",")&amp;",")</f>
        <v/>
      </c>
      <c r="X27" s="32">
        <f>IF($T27=0,0,IF(LEN(TRIM($D27))=0,1,IF(COUNTIF(People!$D$6:$D$25,TRIM($D27))=0,1,IF(INDEX(People!$E$6:$E$25,MATCH(TRIM($D27),People!$D$6:$D$25,0))&lt;&gt;"Body",0,IF(OR(LEN(TRIM(INDEX(People!$F$6:$F$25,MATCH(TRIM($D27),People!$D$6:$D$25,0))))=0,LEN(TRIM(INDEX(People!$G$6:$G$25,MATCH(TRIM($D27),People!$D$6:$D$25,0))))=0),1,0)))))</f>
        <v/>
      </c>
      <c r="Y27" s="32">
        <f>IF($T27=0,0,IF(LEN(TRIM($E27))=0,1,IF(LEN(TRIM($E27))-LEN(SUBSTITUTE(TRIM($E27)," ",""))+1&lt;3,1,IF(SUMPRODUCT((People!$J$6:$J$12&lt;&gt;"")*(LEFT(LOWER(TRIM($E27))&amp;" ",LEN(People!$J$6:$J$12)+1)=LOWER(People!$J$6:$J$12)&amp;" "))&gt;0,1,0))))</f>
        <v/>
      </c>
      <c r="Z27" s="32">
        <f>IF($T27=0,0,IF(NOT(ISNUMBER($B27)),1,IF($B27&gt;Summary!$K$3,1,0)))</f>
        <v/>
      </c>
      <c r="AA27" s="32">
        <f>IF($T27=0,0,IF($F27="",IF(SUMPRODUCT(--(LOWER(LEFT($C27,LEN(People!$B$30:$B$36)+1))=LOWER(People!$B$30:$B$36)&amp;":"))&gt;0,3,0),IF(ISNA(MATCH($F27,People!$B$30:$B$36,0)),1,IF(LEN(INDEX(People!$C$30:$C$36,MATCH($F27,People!$B$30:$B$36,0))&amp;"")=0,2,IF(TRIM($D27)&lt;&gt;INDEX(People!$C$30:$C$36,MATCH($F27,People!$B$30:$B$36,0)),1,0)))))</f>
        <v/>
      </c>
      <c r="AB27" s="32">
        <f>IF(OR($T27=0,$I27=""),0,IF(OR($I27=$A27,COUNTIF($A$4:$A$153,$I27)=0),1,IF(INDEX($B$4:$B$153,MATCH($I27,$A$4:$A$153,0))&gt;$B27,1,0)))</f>
        <v/>
      </c>
      <c r="AC27" s="32">
        <f>IF(AND($V27=1,LEN(TRIM($G27))=0),1,0)</f>
        <v/>
      </c>
      <c r="AD27" s="32">
        <f>IF($T27=0,0,IFERROR(VALUE(MID($A27,4,9)),0))</f>
        <v/>
      </c>
    </row>
    <row r="28" ht="18" customHeight="1">
      <c r="A28" s="27" t="n"/>
      <c r="B28" s="28" t="n"/>
      <c r="C28" s="29" t="n"/>
      <c r="D28" s="29" t="n"/>
      <c r="E28" s="29" t="n"/>
      <c r="F28" s="29" t="n"/>
      <c r="G28" s="29" t="n"/>
      <c r="H28" s="29" t="n"/>
      <c r="I28" s="27" t="n"/>
      <c r="J28" s="30">
        <f>IF(OR($T28=0,$U28=0),"",INDEX($A$4:$A$153,MATCH($A28,$I$4:$I$153,0)))</f>
        <v/>
      </c>
      <c r="K28" s="31">
        <f>IF($T28=0,"",IF(COUNTIF($X28:$AC28,"&gt;0")=0,"○ Clear",TRIM("△ "&amp;COUNTIF($X28:$AC28,"&gt;0")&amp;IF(COUNTIF($X28:$AC28,"&gt;0")=1," problem: "," problems: ")&amp;IF($X28&gt;0,"Decided by needs one name from People, and a body needs members and a signer. ","")&amp;IF($Y28&gt;0,"Why or evidence needs the reason itself, in three words or more. ","")&amp;IF($Z28&gt;0,"Date needs the day it was decided, no later than As of. ","")&amp;IF($AA28=1,IF(ISNA(MATCH($F28,People!$B$30:$B$36,0)),"Gate isn't one of the gate names on People. ","People names "&amp;INDEX(People!$C$30:$C$36,MATCH($F28,People!$B$30:$B$36,0))&amp;" to decide "&amp;$F28&amp;". "),IF($AA28=2,"People names nobody to decide "&amp;$F28&amp;". ",IF($AA28=3,"The Decision opens with a gate's name, so pick that gate in Gate. ","")))&amp;IF($AB28&gt;0,"Replaces needs the Id of a row dated no later than this one. ","")&amp;IF($AC28&gt;0,"Record elsewhere needs the name of the record the other file keeps. ",""))))</f>
        <v/>
      </c>
      <c r="T28" s="32">
        <f>IF(COUNTA($A28:$I28)&gt;0,1,0)</f>
        <v/>
      </c>
      <c r="U28" s="32">
        <f>IF(OR($T28=0,$A28=""),0,IF(COUNTIF($I$4:$I$153,$A28)&gt;0,1,0))</f>
        <v/>
      </c>
      <c r="V28" s="32">
        <f>IF(AND($T28=1,$H28&lt;&gt;"",$H28&lt;&gt;"This log"),1,0)</f>
        <v/>
      </c>
      <c r="W28" s="26">
        <f>IF($T28=0,"",","&amp;SUBSTITUTE(SUBSTITUTE($G28&amp;","&amp;$F28," ",""),";",",")&amp;",")</f>
        <v/>
      </c>
      <c r="X28" s="32">
        <f>IF($T28=0,0,IF(LEN(TRIM($D28))=0,1,IF(COUNTIF(People!$D$6:$D$25,TRIM($D28))=0,1,IF(INDEX(People!$E$6:$E$25,MATCH(TRIM($D28),People!$D$6:$D$25,0))&lt;&gt;"Body",0,IF(OR(LEN(TRIM(INDEX(People!$F$6:$F$25,MATCH(TRIM($D28),People!$D$6:$D$25,0))))=0,LEN(TRIM(INDEX(People!$G$6:$G$25,MATCH(TRIM($D28),People!$D$6:$D$25,0))))=0),1,0)))))</f>
        <v/>
      </c>
      <c r="Y28" s="32">
        <f>IF($T28=0,0,IF(LEN(TRIM($E28))=0,1,IF(LEN(TRIM($E28))-LEN(SUBSTITUTE(TRIM($E28)," ",""))+1&lt;3,1,IF(SUMPRODUCT((People!$J$6:$J$12&lt;&gt;"")*(LEFT(LOWER(TRIM($E28))&amp;" ",LEN(People!$J$6:$J$12)+1)=LOWER(People!$J$6:$J$12)&amp;" "))&gt;0,1,0))))</f>
        <v/>
      </c>
      <c r="Z28" s="32">
        <f>IF($T28=0,0,IF(NOT(ISNUMBER($B28)),1,IF($B28&gt;Summary!$K$3,1,0)))</f>
        <v/>
      </c>
      <c r="AA28" s="32">
        <f>IF($T28=0,0,IF($F28="",IF(SUMPRODUCT(--(LOWER(LEFT($C28,LEN(People!$B$30:$B$36)+1))=LOWER(People!$B$30:$B$36)&amp;":"))&gt;0,3,0),IF(ISNA(MATCH($F28,People!$B$30:$B$36,0)),1,IF(LEN(INDEX(People!$C$30:$C$36,MATCH($F28,People!$B$30:$B$36,0))&amp;"")=0,2,IF(TRIM($D28)&lt;&gt;INDEX(People!$C$30:$C$36,MATCH($F28,People!$B$30:$B$36,0)),1,0)))))</f>
        <v/>
      </c>
      <c r="AB28" s="32">
        <f>IF(OR($T28=0,$I28=""),0,IF(OR($I28=$A28,COUNTIF($A$4:$A$153,$I28)=0),1,IF(INDEX($B$4:$B$153,MATCH($I28,$A$4:$A$153,0))&gt;$B28,1,0)))</f>
        <v/>
      </c>
      <c r="AC28" s="32">
        <f>IF(AND($V28=1,LEN(TRIM($G28))=0),1,0)</f>
        <v/>
      </c>
      <c r="AD28" s="32">
        <f>IF($T28=0,0,IFERROR(VALUE(MID($A28,4,9)),0))</f>
        <v/>
      </c>
    </row>
    <row r="29" ht="18" customHeight="1">
      <c r="A29" s="27" t="n"/>
      <c r="B29" s="28" t="n"/>
      <c r="C29" s="29" t="n"/>
      <c r="D29" s="29" t="n"/>
      <c r="E29" s="29" t="n"/>
      <c r="F29" s="29" t="n"/>
      <c r="G29" s="29" t="n"/>
      <c r="H29" s="29" t="n"/>
      <c r="I29" s="27" t="n"/>
      <c r="J29" s="30">
        <f>IF(OR($T29=0,$U29=0),"",INDEX($A$4:$A$153,MATCH($A29,$I$4:$I$153,0)))</f>
        <v/>
      </c>
      <c r="K29" s="31">
        <f>IF($T29=0,"",IF(COUNTIF($X29:$AC29,"&gt;0")=0,"○ Clear",TRIM("△ "&amp;COUNTIF($X29:$AC29,"&gt;0")&amp;IF(COUNTIF($X29:$AC29,"&gt;0")=1," problem: "," problems: ")&amp;IF($X29&gt;0,"Decided by needs one name from People, and a body needs members and a signer. ","")&amp;IF($Y29&gt;0,"Why or evidence needs the reason itself, in three words or more. ","")&amp;IF($Z29&gt;0,"Date needs the day it was decided, no later than As of. ","")&amp;IF($AA29=1,IF(ISNA(MATCH($F29,People!$B$30:$B$36,0)),"Gate isn't one of the gate names on People. ","People names "&amp;INDEX(People!$C$30:$C$36,MATCH($F29,People!$B$30:$B$36,0))&amp;" to decide "&amp;$F29&amp;". "),IF($AA29=2,"People names nobody to decide "&amp;$F29&amp;". ",IF($AA29=3,"The Decision opens with a gate's name, so pick that gate in Gate. ","")))&amp;IF($AB29&gt;0,"Replaces needs the Id of a row dated no later than this one. ","")&amp;IF($AC29&gt;0,"Record elsewhere needs the name of the record the other file keeps. ",""))))</f>
        <v/>
      </c>
      <c r="T29" s="32">
        <f>IF(COUNTA($A29:$I29)&gt;0,1,0)</f>
        <v/>
      </c>
      <c r="U29" s="32">
        <f>IF(OR($T29=0,$A29=""),0,IF(COUNTIF($I$4:$I$153,$A29)&gt;0,1,0))</f>
        <v/>
      </c>
      <c r="V29" s="32">
        <f>IF(AND($T29=1,$H29&lt;&gt;"",$H29&lt;&gt;"This log"),1,0)</f>
        <v/>
      </c>
      <c r="W29" s="26">
        <f>IF($T29=0,"",","&amp;SUBSTITUTE(SUBSTITUTE($G29&amp;","&amp;$F29," ",""),";",",")&amp;",")</f>
        <v/>
      </c>
      <c r="X29" s="32">
        <f>IF($T29=0,0,IF(LEN(TRIM($D29))=0,1,IF(COUNTIF(People!$D$6:$D$25,TRIM($D29))=0,1,IF(INDEX(People!$E$6:$E$25,MATCH(TRIM($D29),People!$D$6:$D$25,0))&lt;&gt;"Body",0,IF(OR(LEN(TRIM(INDEX(People!$F$6:$F$25,MATCH(TRIM($D29),People!$D$6:$D$25,0))))=0,LEN(TRIM(INDEX(People!$G$6:$G$25,MATCH(TRIM($D29),People!$D$6:$D$25,0))))=0),1,0)))))</f>
        <v/>
      </c>
      <c r="Y29" s="32">
        <f>IF($T29=0,0,IF(LEN(TRIM($E29))=0,1,IF(LEN(TRIM($E29))-LEN(SUBSTITUTE(TRIM($E29)," ",""))+1&lt;3,1,IF(SUMPRODUCT((People!$J$6:$J$12&lt;&gt;"")*(LEFT(LOWER(TRIM($E29))&amp;" ",LEN(People!$J$6:$J$12)+1)=LOWER(People!$J$6:$J$12)&amp;" "))&gt;0,1,0))))</f>
        <v/>
      </c>
      <c r="Z29" s="32">
        <f>IF($T29=0,0,IF(NOT(ISNUMBER($B29)),1,IF($B29&gt;Summary!$K$3,1,0)))</f>
        <v/>
      </c>
      <c r="AA29" s="32">
        <f>IF($T29=0,0,IF($F29="",IF(SUMPRODUCT(--(LOWER(LEFT($C29,LEN(People!$B$30:$B$36)+1))=LOWER(People!$B$30:$B$36)&amp;":"))&gt;0,3,0),IF(ISNA(MATCH($F29,People!$B$30:$B$36,0)),1,IF(LEN(INDEX(People!$C$30:$C$36,MATCH($F29,People!$B$30:$B$36,0))&amp;"")=0,2,IF(TRIM($D29)&lt;&gt;INDEX(People!$C$30:$C$36,MATCH($F29,People!$B$30:$B$36,0)),1,0)))))</f>
        <v/>
      </c>
      <c r="AB29" s="32">
        <f>IF(OR($T29=0,$I29=""),0,IF(OR($I29=$A29,COUNTIF($A$4:$A$153,$I29)=0),1,IF(INDEX($B$4:$B$153,MATCH($I29,$A$4:$A$153,0))&gt;$B29,1,0)))</f>
        <v/>
      </c>
      <c r="AC29" s="32">
        <f>IF(AND($V29=1,LEN(TRIM($G29))=0),1,0)</f>
        <v/>
      </c>
      <c r="AD29" s="32">
        <f>IF($T29=0,0,IFERROR(VALUE(MID($A29,4,9)),0))</f>
        <v/>
      </c>
    </row>
    <row r="30" ht="18" customHeight="1">
      <c r="A30" s="27" t="n"/>
      <c r="B30" s="28" t="n"/>
      <c r="C30" s="29" t="n"/>
      <c r="D30" s="29" t="n"/>
      <c r="E30" s="29" t="n"/>
      <c r="F30" s="29" t="n"/>
      <c r="G30" s="29" t="n"/>
      <c r="H30" s="29" t="n"/>
      <c r="I30" s="27" t="n"/>
      <c r="J30" s="30">
        <f>IF(OR($T30=0,$U30=0),"",INDEX($A$4:$A$153,MATCH($A30,$I$4:$I$153,0)))</f>
        <v/>
      </c>
      <c r="K30" s="31">
        <f>IF($T30=0,"",IF(COUNTIF($X30:$AC30,"&gt;0")=0,"○ Clear",TRIM("△ "&amp;COUNTIF($X30:$AC30,"&gt;0")&amp;IF(COUNTIF($X30:$AC30,"&gt;0")=1," problem: "," problems: ")&amp;IF($X30&gt;0,"Decided by needs one name from People, and a body needs members and a signer. ","")&amp;IF($Y30&gt;0,"Why or evidence needs the reason itself, in three words or more. ","")&amp;IF($Z30&gt;0,"Date needs the day it was decided, no later than As of. ","")&amp;IF($AA30=1,IF(ISNA(MATCH($F30,People!$B$30:$B$36,0)),"Gate isn't one of the gate names on People. ","People names "&amp;INDEX(People!$C$30:$C$36,MATCH($F30,People!$B$30:$B$36,0))&amp;" to decide "&amp;$F30&amp;". "),IF($AA30=2,"People names nobody to decide "&amp;$F30&amp;". ",IF($AA30=3,"The Decision opens with a gate's name, so pick that gate in Gate. ","")))&amp;IF($AB30&gt;0,"Replaces needs the Id of a row dated no later than this one. ","")&amp;IF($AC30&gt;0,"Record elsewhere needs the name of the record the other file keeps. ",""))))</f>
        <v/>
      </c>
      <c r="T30" s="32">
        <f>IF(COUNTA($A30:$I30)&gt;0,1,0)</f>
        <v/>
      </c>
      <c r="U30" s="32">
        <f>IF(OR($T30=0,$A30=""),0,IF(COUNTIF($I$4:$I$153,$A30)&gt;0,1,0))</f>
        <v/>
      </c>
      <c r="V30" s="32">
        <f>IF(AND($T30=1,$H30&lt;&gt;"",$H30&lt;&gt;"This log"),1,0)</f>
        <v/>
      </c>
      <c r="W30" s="26">
        <f>IF($T30=0,"",","&amp;SUBSTITUTE(SUBSTITUTE($G30&amp;","&amp;$F30," ",""),";",",")&amp;",")</f>
        <v/>
      </c>
      <c r="X30" s="32">
        <f>IF($T30=0,0,IF(LEN(TRIM($D30))=0,1,IF(COUNTIF(People!$D$6:$D$25,TRIM($D30))=0,1,IF(INDEX(People!$E$6:$E$25,MATCH(TRIM($D30),People!$D$6:$D$25,0))&lt;&gt;"Body",0,IF(OR(LEN(TRIM(INDEX(People!$F$6:$F$25,MATCH(TRIM($D30),People!$D$6:$D$25,0))))=0,LEN(TRIM(INDEX(People!$G$6:$G$25,MATCH(TRIM($D30),People!$D$6:$D$25,0))))=0),1,0)))))</f>
        <v/>
      </c>
      <c r="Y30" s="32">
        <f>IF($T30=0,0,IF(LEN(TRIM($E30))=0,1,IF(LEN(TRIM($E30))-LEN(SUBSTITUTE(TRIM($E30)," ",""))+1&lt;3,1,IF(SUMPRODUCT((People!$J$6:$J$12&lt;&gt;"")*(LEFT(LOWER(TRIM($E30))&amp;" ",LEN(People!$J$6:$J$12)+1)=LOWER(People!$J$6:$J$12)&amp;" "))&gt;0,1,0))))</f>
        <v/>
      </c>
      <c r="Z30" s="32">
        <f>IF($T30=0,0,IF(NOT(ISNUMBER($B30)),1,IF($B30&gt;Summary!$K$3,1,0)))</f>
        <v/>
      </c>
      <c r="AA30" s="32">
        <f>IF($T30=0,0,IF($F30="",IF(SUMPRODUCT(--(LOWER(LEFT($C30,LEN(People!$B$30:$B$36)+1))=LOWER(People!$B$30:$B$36)&amp;":"))&gt;0,3,0),IF(ISNA(MATCH($F30,People!$B$30:$B$36,0)),1,IF(LEN(INDEX(People!$C$30:$C$36,MATCH($F30,People!$B$30:$B$36,0))&amp;"")=0,2,IF(TRIM($D30)&lt;&gt;INDEX(People!$C$30:$C$36,MATCH($F30,People!$B$30:$B$36,0)),1,0)))))</f>
        <v/>
      </c>
      <c r="AB30" s="32">
        <f>IF(OR($T30=0,$I30=""),0,IF(OR($I30=$A30,COUNTIF($A$4:$A$153,$I30)=0),1,IF(INDEX($B$4:$B$153,MATCH($I30,$A$4:$A$153,0))&gt;$B30,1,0)))</f>
        <v/>
      </c>
      <c r="AC30" s="32">
        <f>IF(AND($V30=1,LEN(TRIM($G30))=0),1,0)</f>
        <v/>
      </c>
      <c r="AD30" s="32">
        <f>IF($T30=0,0,IFERROR(VALUE(MID($A30,4,9)),0))</f>
        <v/>
      </c>
    </row>
    <row r="31" ht="18" customHeight="1">
      <c r="A31" s="27" t="n"/>
      <c r="B31" s="28" t="n"/>
      <c r="C31" s="29" t="n"/>
      <c r="D31" s="29" t="n"/>
      <c r="E31" s="29" t="n"/>
      <c r="F31" s="29" t="n"/>
      <c r="G31" s="29" t="n"/>
      <c r="H31" s="29" t="n"/>
      <c r="I31" s="27" t="n"/>
      <c r="J31" s="30">
        <f>IF(OR($T31=0,$U31=0),"",INDEX($A$4:$A$153,MATCH($A31,$I$4:$I$153,0)))</f>
        <v/>
      </c>
      <c r="K31" s="31">
        <f>IF($T31=0,"",IF(COUNTIF($X31:$AC31,"&gt;0")=0,"○ Clear",TRIM("△ "&amp;COUNTIF($X31:$AC31,"&gt;0")&amp;IF(COUNTIF($X31:$AC31,"&gt;0")=1," problem: "," problems: ")&amp;IF($X31&gt;0,"Decided by needs one name from People, and a body needs members and a signer. ","")&amp;IF($Y31&gt;0,"Why or evidence needs the reason itself, in three words or more. ","")&amp;IF($Z31&gt;0,"Date needs the day it was decided, no later than As of. ","")&amp;IF($AA31=1,IF(ISNA(MATCH($F31,People!$B$30:$B$36,0)),"Gate isn't one of the gate names on People. ","People names "&amp;INDEX(People!$C$30:$C$36,MATCH($F31,People!$B$30:$B$36,0))&amp;" to decide "&amp;$F31&amp;". "),IF($AA31=2,"People names nobody to decide "&amp;$F31&amp;". ",IF($AA31=3,"The Decision opens with a gate's name, so pick that gate in Gate. ","")))&amp;IF($AB31&gt;0,"Replaces needs the Id of a row dated no later than this one. ","")&amp;IF($AC31&gt;0,"Record elsewhere needs the name of the record the other file keeps. ",""))))</f>
        <v/>
      </c>
      <c r="T31" s="32">
        <f>IF(COUNTA($A31:$I31)&gt;0,1,0)</f>
        <v/>
      </c>
      <c r="U31" s="32">
        <f>IF(OR($T31=0,$A31=""),0,IF(COUNTIF($I$4:$I$153,$A31)&gt;0,1,0))</f>
        <v/>
      </c>
      <c r="V31" s="32">
        <f>IF(AND($T31=1,$H31&lt;&gt;"",$H31&lt;&gt;"This log"),1,0)</f>
        <v/>
      </c>
      <c r="W31" s="26">
        <f>IF($T31=0,"",","&amp;SUBSTITUTE(SUBSTITUTE($G31&amp;","&amp;$F31," ",""),";",",")&amp;",")</f>
        <v/>
      </c>
      <c r="X31" s="32">
        <f>IF($T31=0,0,IF(LEN(TRIM($D31))=0,1,IF(COUNTIF(People!$D$6:$D$25,TRIM($D31))=0,1,IF(INDEX(People!$E$6:$E$25,MATCH(TRIM($D31),People!$D$6:$D$25,0))&lt;&gt;"Body",0,IF(OR(LEN(TRIM(INDEX(People!$F$6:$F$25,MATCH(TRIM($D31),People!$D$6:$D$25,0))))=0,LEN(TRIM(INDEX(People!$G$6:$G$25,MATCH(TRIM($D31),People!$D$6:$D$25,0))))=0),1,0)))))</f>
        <v/>
      </c>
      <c r="Y31" s="32">
        <f>IF($T31=0,0,IF(LEN(TRIM($E31))=0,1,IF(LEN(TRIM($E31))-LEN(SUBSTITUTE(TRIM($E31)," ",""))+1&lt;3,1,IF(SUMPRODUCT((People!$J$6:$J$12&lt;&gt;"")*(LEFT(LOWER(TRIM($E31))&amp;" ",LEN(People!$J$6:$J$12)+1)=LOWER(People!$J$6:$J$12)&amp;" "))&gt;0,1,0))))</f>
        <v/>
      </c>
      <c r="Z31" s="32">
        <f>IF($T31=0,0,IF(NOT(ISNUMBER($B31)),1,IF($B31&gt;Summary!$K$3,1,0)))</f>
        <v/>
      </c>
      <c r="AA31" s="32">
        <f>IF($T31=0,0,IF($F31="",IF(SUMPRODUCT(--(LOWER(LEFT($C31,LEN(People!$B$30:$B$36)+1))=LOWER(People!$B$30:$B$36)&amp;":"))&gt;0,3,0),IF(ISNA(MATCH($F31,People!$B$30:$B$36,0)),1,IF(LEN(INDEX(People!$C$30:$C$36,MATCH($F31,People!$B$30:$B$36,0))&amp;"")=0,2,IF(TRIM($D31)&lt;&gt;INDEX(People!$C$30:$C$36,MATCH($F31,People!$B$30:$B$36,0)),1,0)))))</f>
        <v/>
      </c>
      <c r="AB31" s="32">
        <f>IF(OR($T31=0,$I31=""),0,IF(OR($I31=$A31,COUNTIF($A$4:$A$153,$I31)=0),1,IF(INDEX($B$4:$B$153,MATCH($I31,$A$4:$A$153,0))&gt;$B31,1,0)))</f>
        <v/>
      </c>
      <c r="AC31" s="32">
        <f>IF(AND($V31=1,LEN(TRIM($G31))=0),1,0)</f>
        <v/>
      </c>
      <c r="AD31" s="32">
        <f>IF($T31=0,0,IFERROR(VALUE(MID($A31,4,9)),0))</f>
        <v/>
      </c>
    </row>
    <row r="32" ht="18" customHeight="1">
      <c r="A32" s="27" t="n"/>
      <c r="B32" s="28" t="n"/>
      <c r="C32" s="29" t="n"/>
      <c r="D32" s="29" t="n"/>
      <c r="E32" s="29" t="n"/>
      <c r="F32" s="29" t="n"/>
      <c r="G32" s="29" t="n"/>
      <c r="H32" s="29" t="n"/>
      <c r="I32" s="27" t="n"/>
      <c r="J32" s="30">
        <f>IF(OR($T32=0,$U32=0),"",INDEX($A$4:$A$153,MATCH($A32,$I$4:$I$153,0)))</f>
        <v/>
      </c>
      <c r="K32" s="31">
        <f>IF($T32=0,"",IF(COUNTIF($X32:$AC32,"&gt;0")=0,"○ Clear",TRIM("△ "&amp;COUNTIF($X32:$AC32,"&gt;0")&amp;IF(COUNTIF($X32:$AC32,"&gt;0")=1," problem: "," problems: ")&amp;IF($X32&gt;0,"Decided by needs one name from People, and a body needs members and a signer. ","")&amp;IF($Y32&gt;0,"Why or evidence needs the reason itself, in three words or more. ","")&amp;IF($Z32&gt;0,"Date needs the day it was decided, no later than As of. ","")&amp;IF($AA32=1,IF(ISNA(MATCH($F32,People!$B$30:$B$36,0)),"Gate isn't one of the gate names on People. ","People names "&amp;INDEX(People!$C$30:$C$36,MATCH($F32,People!$B$30:$B$36,0))&amp;" to decide "&amp;$F32&amp;". "),IF($AA32=2,"People names nobody to decide "&amp;$F32&amp;". ",IF($AA32=3,"The Decision opens with a gate's name, so pick that gate in Gate. ","")))&amp;IF($AB32&gt;0,"Replaces needs the Id of a row dated no later than this one. ","")&amp;IF($AC32&gt;0,"Record elsewhere needs the name of the record the other file keeps. ",""))))</f>
        <v/>
      </c>
      <c r="T32" s="32">
        <f>IF(COUNTA($A32:$I32)&gt;0,1,0)</f>
        <v/>
      </c>
      <c r="U32" s="32">
        <f>IF(OR($T32=0,$A32=""),0,IF(COUNTIF($I$4:$I$153,$A32)&gt;0,1,0))</f>
        <v/>
      </c>
      <c r="V32" s="32">
        <f>IF(AND($T32=1,$H32&lt;&gt;"",$H32&lt;&gt;"This log"),1,0)</f>
        <v/>
      </c>
      <c r="W32" s="26">
        <f>IF($T32=0,"",","&amp;SUBSTITUTE(SUBSTITUTE($G32&amp;","&amp;$F32," ",""),";",",")&amp;",")</f>
        <v/>
      </c>
      <c r="X32" s="32">
        <f>IF($T32=0,0,IF(LEN(TRIM($D32))=0,1,IF(COUNTIF(People!$D$6:$D$25,TRIM($D32))=0,1,IF(INDEX(People!$E$6:$E$25,MATCH(TRIM($D32),People!$D$6:$D$25,0))&lt;&gt;"Body",0,IF(OR(LEN(TRIM(INDEX(People!$F$6:$F$25,MATCH(TRIM($D32),People!$D$6:$D$25,0))))=0,LEN(TRIM(INDEX(People!$G$6:$G$25,MATCH(TRIM($D32),People!$D$6:$D$25,0))))=0),1,0)))))</f>
        <v/>
      </c>
      <c r="Y32" s="32">
        <f>IF($T32=0,0,IF(LEN(TRIM($E32))=0,1,IF(LEN(TRIM($E32))-LEN(SUBSTITUTE(TRIM($E32)," ",""))+1&lt;3,1,IF(SUMPRODUCT((People!$J$6:$J$12&lt;&gt;"")*(LEFT(LOWER(TRIM($E32))&amp;" ",LEN(People!$J$6:$J$12)+1)=LOWER(People!$J$6:$J$12)&amp;" "))&gt;0,1,0))))</f>
        <v/>
      </c>
      <c r="Z32" s="32">
        <f>IF($T32=0,0,IF(NOT(ISNUMBER($B32)),1,IF($B32&gt;Summary!$K$3,1,0)))</f>
        <v/>
      </c>
      <c r="AA32" s="32">
        <f>IF($T32=0,0,IF($F32="",IF(SUMPRODUCT(--(LOWER(LEFT($C32,LEN(People!$B$30:$B$36)+1))=LOWER(People!$B$30:$B$36)&amp;":"))&gt;0,3,0),IF(ISNA(MATCH($F32,People!$B$30:$B$36,0)),1,IF(LEN(INDEX(People!$C$30:$C$36,MATCH($F32,People!$B$30:$B$36,0))&amp;"")=0,2,IF(TRIM($D32)&lt;&gt;INDEX(People!$C$30:$C$36,MATCH($F32,People!$B$30:$B$36,0)),1,0)))))</f>
        <v/>
      </c>
      <c r="AB32" s="32">
        <f>IF(OR($T32=0,$I32=""),0,IF(OR($I32=$A32,COUNTIF($A$4:$A$153,$I32)=0),1,IF(INDEX($B$4:$B$153,MATCH($I32,$A$4:$A$153,0))&gt;$B32,1,0)))</f>
        <v/>
      </c>
      <c r="AC32" s="32">
        <f>IF(AND($V32=1,LEN(TRIM($G32))=0),1,0)</f>
        <v/>
      </c>
      <c r="AD32" s="32">
        <f>IF($T32=0,0,IFERROR(VALUE(MID($A32,4,9)),0))</f>
        <v/>
      </c>
    </row>
    <row r="33" ht="18" customHeight="1">
      <c r="A33" s="27" t="n"/>
      <c r="B33" s="28" t="n"/>
      <c r="C33" s="29" t="n"/>
      <c r="D33" s="29" t="n"/>
      <c r="E33" s="29" t="n"/>
      <c r="F33" s="29" t="n"/>
      <c r="G33" s="29" t="n"/>
      <c r="H33" s="29" t="n"/>
      <c r="I33" s="27" t="n"/>
      <c r="J33" s="30">
        <f>IF(OR($T33=0,$U33=0),"",INDEX($A$4:$A$153,MATCH($A33,$I$4:$I$153,0)))</f>
        <v/>
      </c>
      <c r="K33" s="31">
        <f>IF($T33=0,"",IF(COUNTIF($X33:$AC33,"&gt;0")=0,"○ Clear",TRIM("△ "&amp;COUNTIF($X33:$AC33,"&gt;0")&amp;IF(COUNTIF($X33:$AC33,"&gt;0")=1," problem: "," problems: ")&amp;IF($X33&gt;0,"Decided by needs one name from People, and a body needs members and a signer. ","")&amp;IF($Y33&gt;0,"Why or evidence needs the reason itself, in three words or more. ","")&amp;IF($Z33&gt;0,"Date needs the day it was decided, no later than As of. ","")&amp;IF($AA33=1,IF(ISNA(MATCH($F33,People!$B$30:$B$36,0)),"Gate isn't one of the gate names on People. ","People names "&amp;INDEX(People!$C$30:$C$36,MATCH($F33,People!$B$30:$B$36,0))&amp;" to decide "&amp;$F33&amp;". "),IF($AA33=2,"People names nobody to decide "&amp;$F33&amp;". ",IF($AA33=3,"The Decision opens with a gate's name, so pick that gate in Gate. ","")))&amp;IF($AB33&gt;0,"Replaces needs the Id of a row dated no later than this one. ","")&amp;IF($AC33&gt;0,"Record elsewhere needs the name of the record the other file keeps. ",""))))</f>
        <v/>
      </c>
      <c r="T33" s="32">
        <f>IF(COUNTA($A33:$I33)&gt;0,1,0)</f>
        <v/>
      </c>
      <c r="U33" s="32">
        <f>IF(OR($T33=0,$A33=""),0,IF(COUNTIF($I$4:$I$153,$A33)&gt;0,1,0))</f>
        <v/>
      </c>
      <c r="V33" s="32">
        <f>IF(AND($T33=1,$H33&lt;&gt;"",$H33&lt;&gt;"This log"),1,0)</f>
        <v/>
      </c>
      <c r="W33" s="26">
        <f>IF($T33=0,"",","&amp;SUBSTITUTE(SUBSTITUTE($G33&amp;","&amp;$F33," ",""),";",",")&amp;",")</f>
        <v/>
      </c>
      <c r="X33" s="32">
        <f>IF($T33=0,0,IF(LEN(TRIM($D33))=0,1,IF(COUNTIF(People!$D$6:$D$25,TRIM($D33))=0,1,IF(INDEX(People!$E$6:$E$25,MATCH(TRIM($D33),People!$D$6:$D$25,0))&lt;&gt;"Body",0,IF(OR(LEN(TRIM(INDEX(People!$F$6:$F$25,MATCH(TRIM($D33),People!$D$6:$D$25,0))))=0,LEN(TRIM(INDEX(People!$G$6:$G$25,MATCH(TRIM($D33),People!$D$6:$D$25,0))))=0),1,0)))))</f>
        <v/>
      </c>
      <c r="Y33" s="32">
        <f>IF($T33=0,0,IF(LEN(TRIM($E33))=0,1,IF(LEN(TRIM($E33))-LEN(SUBSTITUTE(TRIM($E33)," ",""))+1&lt;3,1,IF(SUMPRODUCT((People!$J$6:$J$12&lt;&gt;"")*(LEFT(LOWER(TRIM($E33))&amp;" ",LEN(People!$J$6:$J$12)+1)=LOWER(People!$J$6:$J$12)&amp;" "))&gt;0,1,0))))</f>
        <v/>
      </c>
      <c r="Z33" s="32">
        <f>IF($T33=0,0,IF(NOT(ISNUMBER($B33)),1,IF($B33&gt;Summary!$K$3,1,0)))</f>
        <v/>
      </c>
      <c r="AA33" s="32">
        <f>IF($T33=0,0,IF($F33="",IF(SUMPRODUCT(--(LOWER(LEFT($C33,LEN(People!$B$30:$B$36)+1))=LOWER(People!$B$30:$B$36)&amp;":"))&gt;0,3,0),IF(ISNA(MATCH($F33,People!$B$30:$B$36,0)),1,IF(LEN(INDEX(People!$C$30:$C$36,MATCH($F33,People!$B$30:$B$36,0))&amp;"")=0,2,IF(TRIM($D33)&lt;&gt;INDEX(People!$C$30:$C$36,MATCH($F33,People!$B$30:$B$36,0)),1,0)))))</f>
        <v/>
      </c>
      <c r="AB33" s="32">
        <f>IF(OR($T33=0,$I33=""),0,IF(OR($I33=$A33,COUNTIF($A$4:$A$153,$I33)=0),1,IF(INDEX($B$4:$B$153,MATCH($I33,$A$4:$A$153,0))&gt;$B33,1,0)))</f>
        <v/>
      </c>
      <c r="AC33" s="32">
        <f>IF(AND($V33=1,LEN(TRIM($G33))=0),1,0)</f>
        <v/>
      </c>
      <c r="AD33" s="32">
        <f>IF($T33=0,0,IFERROR(VALUE(MID($A33,4,9)),0))</f>
        <v/>
      </c>
    </row>
    <row r="34" ht="18" customHeight="1">
      <c r="A34" s="27" t="n"/>
      <c r="B34" s="28" t="n"/>
      <c r="C34" s="29" t="n"/>
      <c r="D34" s="29" t="n"/>
      <c r="E34" s="29" t="n"/>
      <c r="F34" s="29" t="n"/>
      <c r="G34" s="29" t="n"/>
      <c r="H34" s="29" t="n"/>
      <c r="I34" s="27" t="n"/>
      <c r="J34" s="30">
        <f>IF(OR($T34=0,$U34=0),"",INDEX($A$4:$A$153,MATCH($A34,$I$4:$I$153,0)))</f>
        <v/>
      </c>
      <c r="K34" s="31">
        <f>IF($T34=0,"",IF(COUNTIF($X34:$AC34,"&gt;0")=0,"○ Clear",TRIM("△ "&amp;COUNTIF($X34:$AC34,"&gt;0")&amp;IF(COUNTIF($X34:$AC34,"&gt;0")=1," problem: "," problems: ")&amp;IF($X34&gt;0,"Decided by needs one name from People, and a body needs members and a signer. ","")&amp;IF($Y34&gt;0,"Why or evidence needs the reason itself, in three words or more. ","")&amp;IF($Z34&gt;0,"Date needs the day it was decided, no later than As of. ","")&amp;IF($AA34=1,IF(ISNA(MATCH($F34,People!$B$30:$B$36,0)),"Gate isn't one of the gate names on People. ","People names "&amp;INDEX(People!$C$30:$C$36,MATCH($F34,People!$B$30:$B$36,0))&amp;" to decide "&amp;$F34&amp;". "),IF($AA34=2,"People names nobody to decide "&amp;$F34&amp;". ",IF($AA34=3,"The Decision opens with a gate's name, so pick that gate in Gate. ","")))&amp;IF($AB34&gt;0,"Replaces needs the Id of a row dated no later than this one. ","")&amp;IF($AC34&gt;0,"Record elsewhere needs the name of the record the other file keeps. ",""))))</f>
        <v/>
      </c>
      <c r="T34" s="32">
        <f>IF(COUNTA($A34:$I34)&gt;0,1,0)</f>
        <v/>
      </c>
      <c r="U34" s="32">
        <f>IF(OR($T34=0,$A34=""),0,IF(COUNTIF($I$4:$I$153,$A34)&gt;0,1,0))</f>
        <v/>
      </c>
      <c r="V34" s="32">
        <f>IF(AND($T34=1,$H34&lt;&gt;"",$H34&lt;&gt;"This log"),1,0)</f>
        <v/>
      </c>
      <c r="W34" s="26">
        <f>IF($T34=0,"",","&amp;SUBSTITUTE(SUBSTITUTE($G34&amp;","&amp;$F34," ",""),";",",")&amp;",")</f>
        <v/>
      </c>
      <c r="X34" s="32">
        <f>IF($T34=0,0,IF(LEN(TRIM($D34))=0,1,IF(COUNTIF(People!$D$6:$D$25,TRIM($D34))=0,1,IF(INDEX(People!$E$6:$E$25,MATCH(TRIM($D34),People!$D$6:$D$25,0))&lt;&gt;"Body",0,IF(OR(LEN(TRIM(INDEX(People!$F$6:$F$25,MATCH(TRIM($D34),People!$D$6:$D$25,0))))=0,LEN(TRIM(INDEX(People!$G$6:$G$25,MATCH(TRIM($D34),People!$D$6:$D$25,0))))=0),1,0)))))</f>
        <v/>
      </c>
      <c r="Y34" s="32">
        <f>IF($T34=0,0,IF(LEN(TRIM($E34))=0,1,IF(LEN(TRIM($E34))-LEN(SUBSTITUTE(TRIM($E34)," ",""))+1&lt;3,1,IF(SUMPRODUCT((People!$J$6:$J$12&lt;&gt;"")*(LEFT(LOWER(TRIM($E34))&amp;" ",LEN(People!$J$6:$J$12)+1)=LOWER(People!$J$6:$J$12)&amp;" "))&gt;0,1,0))))</f>
        <v/>
      </c>
      <c r="Z34" s="32">
        <f>IF($T34=0,0,IF(NOT(ISNUMBER($B34)),1,IF($B34&gt;Summary!$K$3,1,0)))</f>
        <v/>
      </c>
      <c r="AA34" s="32">
        <f>IF($T34=0,0,IF($F34="",IF(SUMPRODUCT(--(LOWER(LEFT($C34,LEN(People!$B$30:$B$36)+1))=LOWER(People!$B$30:$B$36)&amp;":"))&gt;0,3,0),IF(ISNA(MATCH($F34,People!$B$30:$B$36,0)),1,IF(LEN(INDEX(People!$C$30:$C$36,MATCH($F34,People!$B$30:$B$36,0))&amp;"")=0,2,IF(TRIM($D34)&lt;&gt;INDEX(People!$C$30:$C$36,MATCH($F34,People!$B$30:$B$36,0)),1,0)))))</f>
        <v/>
      </c>
      <c r="AB34" s="32">
        <f>IF(OR($T34=0,$I34=""),0,IF(OR($I34=$A34,COUNTIF($A$4:$A$153,$I34)=0),1,IF(INDEX($B$4:$B$153,MATCH($I34,$A$4:$A$153,0))&gt;$B34,1,0)))</f>
        <v/>
      </c>
      <c r="AC34" s="32">
        <f>IF(AND($V34=1,LEN(TRIM($G34))=0),1,0)</f>
        <v/>
      </c>
      <c r="AD34" s="32">
        <f>IF($T34=0,0,IFERROR(VALUE(MID($A34,4,9)),0))</f>
        <v/>
      </c>
    </row>
    <row r="35" ht="18" customHeight="1">
      <c r="A35" s="27" t="n"/>
      <c r="B35" s="28" t="n"/>
      <c r="C35" s="29" t="n"/>
      <c r="D35" s="29" t="n"/>
      <c r="E35" s="29" t="n"/>
      <c r="F35" s="29" t="n"/>
      <c r="G35" s="29" t="n"/>
      <c r="H35" s="29" t="n"/>
      <c r="I35" s="27" t="n"/>
      <c r="J35" s="30">
        <f>IF(OR($T35=0,$U35=0),"",INDEX($A$4:$A$153,MATCH($A35,$I$4:$I$153,0)))</f>
        <v/>
      </c>
      <c r="K35" s="31">
        <f>IF($T35=0,"",IF(COUNTIF($X35:$AC35,"&gt;0")=0,"○ Clear",TRIM("△ "&amp;COUNTIF($X35:$AC35,"&gt;0")&amp;IF(COUNTIF($X35:$AC35,"&gt;0")=1," problem: "," problems: ")&amp;IF($X35&gt;0,"Decided by needs one name from People, and a body needs members and a signer. ","")&amp;IF($Y35&gt;0,"Why or evidence needs the reason itself, in three words or more. ","")&amp;IF($Z35&gt;0,"Date needs the day it was decided, no later than As of. ","")&amp;IF($AA35=1,IF(ISNA(MATCH($F35,People!$B$30:$B$36,0)),"Gate isn't one of the gate names on People. ","People names "&amp;INDEX(People!$C$30:$C$36,MATCH($F35,People!$B$30:$B$36,0))&amp;" to decide "&amp;$F35&amp;". "),IF($AA35=2,"People names nobody to decide "&amp;$F35&amp;". ",IF($AA35=3,"The Decision opens with a gate's name, so pick that gate in Gate. ","")))&amp;IF($AB35&gt;0,"Replaces needs the Id of a row dated no later than this one. ","")&amp;IF($AC35&gt;0,"Record elsewhere needs the name of the record the other file keeps. ",""))))</f>
        <v/>
      </c>
      <c r="T35" s="32">
        <f>IF(COUNTA($A35:$I35)&gt;0,1,0)</f>
        <v/>
      </c>
      <c r="U35" s="32">
        <f>IF(OR($T35=0,$A35=""),0,IF(COUNTIF($I$4:$I$153,$A35)&gt;0,1,0))</f>
        <v/>
      </c>
      <c r="V35" s="32">
        <f>IF(AND($T35=1,$H35&lt;&gt;"",$H35&lt;&gt;"This log"),1,0)</f>
        <v/>
      </c>
      <c r="W35" s="26">
        <f>IF($T35=0,"",","&amp;SUBSTITUTE(SUBSTITUTE($G35&amp;","&amp;$F35," ",""),";",",")&amp;",")</f>
        <v/>
      </c>
      <c r="X35" s="32">
        <f>IF($T35=0,0,IF(LEN(TRIM($D35))=0,1,IF(COUNTIF(People!$D$6:$D$25,TRIM($D35))=0,1,IF(INDEX(People!$E$6:$E$25,MATCH(TRIM($D35),People!$D$6:$D$25,0))&lt;&gt;"Body",0,IF(OR(LEN(TRIM(INDEX(People!$F$6:$F$25,MATCH(TRIM($D35),People!$D$6:$D$25,0))))=0,LEN(TRIM(INDEX(People!$G$6:$G$25,MATCH(TRIM($D35),People!$D$6:$D$25,0))))=0),1,0)))))</f>
        <v/>
      </c>
      <c r="Y35" s="32">
        <f>IF($T35=0,0,IF(LEN(TRIM($E35))=0,1,IF(LEN(TRIM($E35))-LEN(SUBSTITUTE(TRIM($E35)," ",""))+1&lt;3,1,IF(SUMPRODUCT((People!$J$6:$J$12&lt;&gt;"")*(LEFT(LOWER(TRIM($E35))&amp;" ",LEN(People!$J$6:$J$12)+1)=LOWER(People!$J$6:$J$12)&amp;" "))&gt;0,1,0))))</f>
        <v/>
      </c>
      <c r="Z35" s="32">
        <f>IF($T35=0,0,IF(NOT(ISNUMBER($B35)),1,IF($B35&gt;Summary!$K$3,1,0)))</f>
        <v/>
      </c>
      <c r="AA35" s="32">
        <f>IF($T35=0,0,IF($F35="",IF(SUMPRODUCT(--(LOWER(LEFT($C35,LEN(People!$B$30:$B$36)+1))=LOWER(People!$B$30:$B$36)&amp;":"))&gt;0,3,0),IF(ISNA(MATCH($F35,People!$B$30:$B$36,0)),1,IF(LEN(INDEX(People!$C$30:$C$36,MATCH($F35,People!$B$30:$B$36,0))&amp;"")=0,2,IF(TRIM($D35)&lt;&gt;INDEX(People!$C$30:$C$36,MATCH($F35,People!$B$30:$B$36,0)),1,0)))))</f>
        <v/>
      </c>
      <c r="AB35" s="32">
        <f>IF(OR($T35=0,$I35=""),0,IF(OR($I35=$A35,COUNTIF($A$4:$A$153,$I35)=0),1,IF(INDEX($B$4:$B$153,MATCH($I35,$A$4:$A$153,0))&gt;$B35,1,0)))</f>
        <v/>
      </c>
      <c r="AC35" s="32">
        <f>IF(AND($V35=1,LEN(TRIM($G35))=0),1,0)</f>
        <v/>
      </c>
      <c r="AD35" s="32">
        <f>IF($T35=0,0,IFERROR(VALUE(MID($A35,4,9)),0))</f>
        <v/>
      </c>
    </row>
    <row r="36" ht="18" customHeight="1">
      <c r="A36" s="27" t="n"/>
      <c r="B36" s="28" t="n"/>
      <c r="C36" s="29" t="n"/>
      <c r="D36" s="29" t="n"/>
      <c r="E36" s="29" t="n"/>
      <c r="F36" s="29" t="n"/>
      <c r="G36" s="29" t="n"/>
      <c r="H36" s="29" t="n"/>
      <c r="I36" s="27" t="n"/>
      <c r="J36" s="30">
        <f>IF(OR($T36=0,$U36=0),"",INDEX($A$4:$A$153,MATCH($A36,$I$4:$I$153,0)))</f>
        <v/>
      </c>
      <c r="K36" s="31">
        <f>IF($T36=0,"",IF(COUNTIF($X36:$AC36,"&gt;0")=0,"○ Clear",TRIM("△ "&amp;COUNTIF($X36:$AC36,"&gt;0")&amp;IF(COUNTIF($X36:$AC36,"&gt;0")=1," problem: "," problems: ")&amp;IF($X36&gt;0,"Decided by needs one name from People, and a body needs members and a signer. ","")&amp;IF($Y36&gt;0,"Why or evidence needs the reason itself, in three words or more. ","")&amp;IF($Z36&gt;0,"Date needs the day it was decided, no later than As of. ","")&amp;IF($AA36=1,IF(ISNA(MATCH($F36,People!$B$30:$B$36,0)),"Gate isn't one of the gate names on People. ","People names "&amp;INDEX(People!$C$30:$C$36,MATCH($F36,People!$B$30:$B$36,0))&amp;" to decide "&amp;$F36&amp;". "),IF($AA36=2,"People names nobody to decide "&amp;$F36&amp;". ",IF($AA36=3,"The Decision opens with a gate's name, so pick that gate in Gate. ","")))&amp;IF($AB36&gt;0,"Replaces needs the Id of a row dated no later than this one. ","")&amp;IF($AC36&gt;0,"Record elsewhere needs the name of the record the other file keeps. ",""))))</f>
        <v/>
      </c>
      <c r="T36" s="32">
        <f>IF(COUNTA($A36:$I36)&gt;0,1,0)</f>
        <v/>
      </c>
      <c r="U36" s="32">
        <f>IF(OR($T36=0,$A36=""),0,IF(COUNTIF($I$4:$I$153,$A36)&gt;0,1,0))</f>
        <v/>
      </c>
      <c r="V36" s="32">
        <f>IF(AND($T36=1,$H36&lt;&gt;"",$H36&lt;&gt;"This log"),1,0)</f>
        <v/>
      </c>
      <c r="W36" s="26">
        <f>IF($T36=0,"",","&amp;SUBSTITUTE(SUBSTITUTE($G36&amp;","&amp;$F36," ",""),";",",")&amp;",")</f>
        <v/>
      </c>
      <c r="X36" s="32">
        <f>IF($T36=0,0,IF(LEN(TRIM($D36))=0,1,IF(COUNTIF(People!$D$6:$D$25,TRIM($D36))=0,1,IF(INDEX(People!$E$6:$E$25,MATCH(TRIM($D36),People!$D$6:$D$25,0))&lt;&gt;"Body",0,IF(OR(LEN(TRIM(INDEX(People!$F$6:$F$25,MATCH(TRIM($D36),People!$D$6:$D$25,0))))=0,LEN(TRIM(INDEX(People!$G$6:$G$25,MATCH(TRIM($D36),People!$D$6:$D$25,0))))=0),1,0)))))</f>
        <v/>
      </c>
      <c r="Y36" s="32">
        <f>IF($T36=0,0,IF(LEN(TRIM($E36))=0,1,IF(LEN(TRIM($E36))-LEN(SUBSTITUTE(TRIM($E36)," ",""))+1&lt;3,1,IF(SUMPRODUCT((People!$J$6:$J$12&lt;&gt;"")*(LEFT(LOWER(TRIM($E36))&amp;" ",LEN(People!$J$6:$J$12)+1)=LOWER(People!$J$6:$J$12)&amp;" "))&gt;0,1,0))))</f>
        <v/>
      </c>
      <c r="Z36" s="32">
        <f>IF($T36=0,0,IF(NOT(ISNUMBER($B36)),1,IF($B36&gt;Summary!$K$3,1,0)))</f>
        <v/>
      </c>
      <c r="AA36" s="32">
        <f>IF($T36=0,0,IF($F36="",IF(SUMPRODUCT(--(LOWER(LEFT($C36,LEN(People!$B$30:$B$36)+1))=LOWER(People!$B$30:$B$36)&amp;":"))&gt;0,3,0),IF(ISNA(MATCH($F36,People!$B$30:$B$36,0)),1,IF(LEN(INDEX(People!$C$30:$C$36,MATCH($F36,People!$B$30:$B$36,0))&amp;"")=0,2,IF(TRIM($D36)&lt;&gt;INDEX(People!$C$30:$C$36,MATCH($F36,People!$B$30:$B$36,0)),1,0)))))</f>
        <v/>
      </c>
      <c r="AB36" s="32">
        <f>IF(OR($T36=0,$I36=""),0,IF(OR($I36=$A36,COUNTIF($A$4:$A$153,$I36)=0),1,IF(INDEX($B$4:$B$153,MATCH($I36,$A$4:$A$153,0))&gt;$B36,1,0)))</f>
        <v/>
      </c>
      <c r="AC36" s="32">
        <f>IF(AND($V36=1,LEN(TRIM($G36))=0),1,0)</f>
        <v/>
      </c>
      <c r="AD36" s="32">
        <f>IF($T36=0,0,IFERROR(VALUE(MID($A36,4,9)),0))</f>
        <v/>
      </c>
    </row>
    <row r="37" ht="18" customHeight="1">
      <c r="A37" s="27" t="n"/>
      <c r="B37" s="28" t="n"/>
      <c r="C37" s="29" t="n"/>
      <c r="D37" s="29" t="n"/>
      <c r="E37" s="29" t="n"/>
      <c r="F37" s="29" t="n"/>
      <c r="G37" s="29" t="n"/>
      <c r="H37" s="29" t="n"/>
      <c r="I37" s="27" t="n"/>
      <c r="J37" s="30">
        <f>IF(OR($T37=0,$U37=0),"",INDEX($A$4:$A$153,MATCH($A37,$I$4:$I$153,0)))</f>
        <v/>
      </c>
      <c r="K37" s="31">
        <f>IF($T37=0,"",IF(COUNTIF($X37:$AC37,"&gt;0")=0,"○ Clear",TRIM("△ "&amp;COUNTIF($X37:$AC37,"&gt;0")&amp;IF(COUNTIF($X37:$AC37,"&gt;0")=1," problem: "," problems: ")&amp;IF($X37&gt;0,"Decided by needs one name from People, and a body needs members and a signer. ","")&amp;IF($Y37&gt;0,"Why or evidence needs the reason itself, in three words or more. ","")&amp;IF($Z37&gt;0,"Date needs the day it was decided, no later than As of. ","")&amp;IF($AA37=1,IF(ISNA(MATCH($F37,People!$B$30:$B$36,0)),"Gate isn't one of the gate names on People. ","People names "&amp;INDEX(People!$C$30:$C$36,MATCH($F37,People!$B$30:$B$36,0))&amp;" to decide "&amp;$F37&amp;". "),IF($AA37=2,"People names nobody to decide "&amp;$F37&amp;". ",IF($AA37=3,"The Decision opens with a gate's name, so pick that gate in Gate. ","")))&amp;IF($AB37&gt;0,"Replaces needs the Id of a row dated no later than this one. ","")&amp;IF($AC37&gt;0,"Record elsewhere needs the name of the record the other file keeps. ",""))))</f>
        <v/>
      </c>
      <c r="T37" s="32">
        <f>IF(COUNTA($A37:$I37)&gt;0,1,0)</f>
        <v/>
      </c>
      <c r="U37" s="32">
        <f>IF(OR($T37=0,$A37=""),0,IF(COUNTIF($I$4:$I$153,$A37)&gt;0,1,0))</f>
        <v/>
      </c>
      <c r="V37" s="32">
        <f>IF(AND($T37=1,$H37&lt;&gt;"",$H37&lt;&gt;"This log"),1,0)</f>
        <v/>
      </c>
      <c r="W37" s="26">
        <f>IF($T37=0,"",","&amp;SUBSTITUTE(SUBSTITUTE($G37&amp;","&amp;$F37," ",""),";",",")&amp;",")</f>
        <v/>
      </c>
      <c r="X37" s="32">
        <f>IF($T37=0,0,IF(LEN(TRIM($D37))=0,1,IF(COUNTIF(People!$D$6:$D$25,TRIM($D37))=0,1,IF(INDEX(People!$E$6:$E$25,MATCH(TRIM($D37),People!$D$6:$D$25,0))&lt;&gt;"Body",0,IF(OR(LEN(TRIM(INDEX(People!$F$6:$F$25,MATCH(TRIM($D37),People!$D$6:$D$25,0))))=0,LEN(TRIM(INDEX(People!$G$6:$G$25,MATCH(TRIM($D37),People!$D$6:$D$25,0))))=0),1,0)))))</f>
        <v/>
      </c>
      <c r="Y37" s="32">
        <f>IF($T37=0,0,IF(LEN(TRIM($E37))=0,1,IF(LEN(TRIM($E37))-LEN(SUBSTITUTE(TRIM($E37)," ",""))+1&lt;3,1,IF(SUMPRODUCT((People!$J$6:$J$12&lt;&gt;"")*(LEFT(LOWER(TRIM($E37))&amp;" ",LEN(People!$J$6:$J$12)+1)=LOWER(People!$J$6:$J$12)&amp;" "))&gt;0,1,0))))</f>
        <v/>
      </c>
      <c r="Z37" s="32">
        <f>IF($T37=0,0,IF(NOT(ISNUMBER($B37)),1,IF($B37&gt;Summary!$K$3,1,0)))</f>
        <v/>
      </c>
      <c r="AA37" s="32">
        <f>IF($T37=0,0,IF($F37="",IF(SUMPRODUCT(--(LOWER(LEFT($C37,LEN(People!$B$30:$B$36)+1))=LOWER(People!$B$30:$B$36)&amp;":"))&gt;0,3,0),IF(ISNA(MATCH($F37,People!$B$30:$B$36,0)),1,IF(LEN(INDEX(People!$C$30:$C$36,MATCH($F37,People!$B$30:$B$36,0))&amp;"")=0,2,IF(TRIM($D37)&lt;&gt;INDEX(People!$C$30:$C$36,MATCH($F37,People!$B$30:$B$36,0)),1,0)))))</f>
        <v/>
      </c>
      <c r="AB37" s="32">
        <f>IF(OR($T37=0,$I37=""),0,IF(OR($I37=$A37,COUNTIF($A$4:$A$153,$I37)=0),1,IF(INDEX($B$4:$B$153,MATCH($I37,$A$4:$A$153,0))&gt;$B37,1,0)))</f>
        <v/>
      </c>
      <c r="AC37" s="32">
        <f>IF(AND($V37=1,LEN(TRIM($G37))=0),1,0)</f>
        <v/>
      </c>
      <c r="AD37" s="32">
        <f>IF($T37=0,0,IFERROR(VALUE(MID($A37,4,9)),0))</f>
        <v/>
      </c>
    </row>
    <row r="38" ht="18" customHeight="1">
      <c r="A38" s="27" t="n"/>
      <c r="B38" s="28" t="n"/>
      <c r="C38" s="29" t="n"/>
      <c r="D38" s="29" t="n"/>
      <c r="E38" s="29" t="n"/>
      <c r="F38" s="29" t="n"/>
      <c r="G38" s="29" t="n"/>
      <c r="H38" s="29" t="n"/>
      <c r="I38" s="27" t="n"/>
      <c r="J38" s="30">
        <f>IF(OR($T38=0,$U38=0),"",INDEX($A$4:$A$153,MATCH($A38,$I$4:$I$153,0)))</f>
        <v/>
      </c>
      <c r="K38" s="31">
        <f>IF($T38=0,"",IF(COUNTIF($X38:$AC38,"&gt;0")=0,"○ Clear",TRIM("△ "&amp;COUNTIF($X38:$AC38,"&gt;0")&amp;IF(COUNTIF($X38:$AC38,"&gt;0")=1," problem: "," problems: ")&amp;IF($X38&gt;0,"Decided by needs one name from People, and a body needs members and a signer. ","")&amp;IF($Y38&gt;0,"Why or evidence needs the reason itself, in three words or more. ","")&amp;IF($Z38&gt;0,"Date needs the day it was decided, no later than As of. ","")&amp;IF($AA38=1,IF(ISNA(MATCH($F38,People!$B$30:$B$36,0)),"Gate isn't one of the gate names on People. ","People names "&amp;INDEX(People!$C$30:$C$36,MATCH($F38,People!$B$30:$B$36,0))&amp;" to decide "&amp;$F38&amp;". "),IF($AA38=2,"People names nobody to decide "&amp;$F38&amp;". ",IF($AA38=3,"The Decision opens with a gate's name, so pick that gate in Gate. ","")))&amp;IF($AB38&gt;0,"Replaces needs the Id of a row dated no later than this one. ","")&amp;IF($AC38&gt;0,"Record elsewhere needs the name of the record the other file keeps. ",""))))</f>
        <v/>
      </c>
      <c r="T38" s="32">
        <f>IF(COUNTA($A38:$I38)&gt;0,1,0)</f>
        <v/>
      </c>
      <c r="U38" s="32">
        <f>IF(OR($T38=0,$A38=""),0,IF(COUNTIF($I$4:$I$153,$A38)&gt;0,1,0))</f>
        <v/>
      </c>
      <c r="V38" s="32">
        <f>IF(AND($T38=1,$H38&lt;&gt;"",$H38&lt;&gt;"This log"),1,0)</f>
        <v/>
      </c>
      <c r="W38" s="26">
        <f>IF($T38=0,"",","&amp;SUBSTITUTE(SUBSTITUTE($G38&amp;","&amp;$F38," ",""),";",",")&amp;",")</f>
        <v/>
      </c>
      <c r="X38" s="32">
        <f>IF($T38=0,0,IF(LEN(TRIM($D38))=0,1,IF(COUNTIF(People!$D$6:$D$25,TRIM($D38))=0,1,IF(INDEX(People!$E$6:$E$25,MATCH(TRIM($D38),People!$D$6:$D$25,0))&lt;&gt;"Body",0,IF(OR(LEN(TRIM(INDEX(People!$F$6:$F$25,MATCH(TRIM($D38),People!$D$6:$D$25,0))))=0,LEN(TRIM(INDEX(People!$G$6:$G$25,MATCH(TRIM($D38),People!$D$6:$D$25,0))))=0),1,0)))))</f>
        <v/>
      </c>
      <c r="Y38" s="32">
        <f>IF($T38=0,0,IF(LEN(TRIM($E38))=0,1,IF(LEN(TRIM($E38))-LEN(SUBSTITUTE(TRIM($E38)," ",""))+1&lt;3,1,IF(SUMPRODUCT((People!$J$6:$J$12&lt;&gt;"")*(LEFT(LOWER(TRIM($E38))&amp;" ",LEN(People!$J$6:$J$12)+1)=LOWER(People!$J$6:$J$12)&amp;" "))&gt;0,1,0))))</f>
        <v/>
      </c>
      <c r="Z38" s="32">
        <f>IF($T38=0,0,IF(NOT(ISNUMBER($B38)),1,IF($B38&gt;Summary!$K$3,1,0)))</f>
        <v/>
      </c>
      <c r="AA38" s="32">
        <f>IF($T38=0,0,IF($F38="",IF(SUMPRODUCT(--(LOWER(LEFT($C38,LEN(People!$B$30:$B$36)+1))=LOWER(People!$B$30:$B$36)&amp;":"))&gt;0,3,0),IF(ISNA(MATCH($F38,People!$B$30:$B$36,0)),1,IF(LEN(INDEX(People!$C$30:$C$36,MATCH($F38,People!$B$30:$B$36,0))&amp;"")=0,2,IF(TRIM($D38)&lt;&gt;INDEX(People!$C$30:$C$36,MATCH($F38,People!$B$30:$B$36,0)),1,0)))))</f>
        <v/>
      </c>
      <c r="AB38" s="32">
        <f>IF(OR($T38=0,$I38=""),0,IF(OR($I38=$A38,COUNTIF($A$4:$A$153,$I38)=0),1,IF(INDEX($B$4:$B$153,MATCH($I38,$A$4:$A$153,0))&gt;$B38,1,0)))</f>
        <v/>
      </c>
      <c r="AC38" s="32">
        <f>IF(AND($V38=1,LEN(TRIM($G38))=0),1,0)</f>
        <v/>
      </c>
      <c r="AD38" s="32">
        <f>IF($T38=0,0,IFERROR(VALUE(MID($A38,4,9)),0))</f>
        <v/>
      </c>
    </row>
    <row r="39" ht="18" customHeight="1">
      <c r="A39" s="27" t="n"/>
      <c r="B39" s="28" t="n"/>
      <c r="C39" s="29" t="n"/>
      <c r="D39" s="29" t="n"/>
      <c r="E39" s="29" t="n"/>
      <c r="F39" s="29" t="n"/>
      <c r="G39" s="29" t="n"/>
      <c r="H39" s="29" t="n"/>
      <c r="I39" s="27" t="n"/>
      <c r="J39" s="30">
        <f>IF(OR($T39=0,$U39=0),"",INDEX($A$4:$A$153,MATCH($A39,$I$4:$I$153,0)))</f>
        <v/>
      </c>
      <c r="K39" s="31">
        <f>IF($T39=0,"",IF(COUNTIF($X39:$AC39,"&gt;0")=0,"○ Clear",TRIM("△ "&amp;COUNTIF($X39:$AC39,"&gt;0")&amp;IF(COUNTIF($X39:$AC39,"&gt;0")=1," problem: "," problems: ")&amp;IF($X39&gt;0,"Decided by needs one name from People, and a body needs members and a signer. ","")&amp;IF($Y39&gt;0,"Why or evidence needs the reason itself, in three words or more. ","")&amp;IF($Z39&gt;0,"Date needs the day it was decided, no later than As of. ","")&amp;IF($AA39=1,IF(ISNA(MATCH($F39,People!$B$30:$B$36,0)),"Gate isn't one of the gate names on People. ","People names "&amp;INDEX(People!$C$30:$C$36,MATCH($F39,People!$B$30:$B$36,0))&amp;" to decide "&amp;$F39&amp;". "),IF($AA39=2,"People names nobody to decide "&amp;$F39&amp;". ",IF($AA39=3,"The Decision opens with a gate's name, so pick that gate in Gate. ","")))&amp;IF($AB39&gt;0,"Replaces needs the Id of a row dated no later than this one. ","")&amp;IF($AC39&gt;0,"Record elsewhere needs the name of the record the other file keeps. ",""))))</f>
        <v/>
      </c>
      <c r="T39" s="32">
        <f>IF(COUNTA($A39:$I39)&gt;0,1,0)</f>
        <v/>
      </c>
      <c r="U39" s="32">
        <f>IF(OR($T39=0,$A39=""),0,IF(COUNTIF($I$4:$I$153,$A39)&gt;0,1,0))</f>
        <v/>
      </c>
      <c r="V39" s="32">
        <f>IF(AND($T39=1,$H39&lt;&gt;"",$H39&lt;&gt;"This log"),1,0)</f>
        <v/>
      </c>
      <c r="W39" s="26">
        <f>IF($T39=0,"",","&amp;SUBSTITUTE(SUBSTITUTE($G39&amp;","&amp;$F39," ",""),";",",")&amp;",")</f>
        <v/>
      </c>
      <c r="X39" s="32">
        <f>IF($T39=0,0,IF(LEN(TRIM($D39))=0,1,IF(COUNTIF(People!$D$6:$D$25,TRIM($D39))=0,1,IF(INDEX(People!$E$6:$E$25,MATCH(TRIM($D39),People!$D$6:$D$25,0))&lt;&gt;"Body",0,IF(OR(LEN(TRIM(INDEX(People!$F$6:$F$25,MATCH(TRIM($D39),People!$D$6:$D$25,0))))=0,LEN(TRIM(INDEX(People!$G$6:$G$25,MATCH(TRIM($D39),People!$D$6:$D$25,0))))=0),1,0)))))</f>
        <v/>
      </c>
      <c r="Y39" s="32">
        <f>IF($T39=0,0,IF(LEN(TRIM($E39))=0,1,IF(LEN(TRIM($E39))-LEN(SUBSTITUTE(TRIM($E39)," ",""))+1&lt;3,1,IF(SUMPRODUCT((People!$J$6:$J$12&lt;&gt;"")*(LEFT(LOWER(TRIM($E39))&amp;" ",LEN(People!$J$6:$J$12)+1)=LOWER(People!$J$6:$J$12)&amp;" "))&gt;0,1,0))))</f>
        <v/>
      </c>
      <c r="Z39" s="32">
        <f>IF($T39=0,0,IF(NOT(ISNUMBER($B39)),1,IF($B39&gt;Summary!$K$3,1,0)))</f>
        <v/>
      </c>
      <c r="AA39" s="32">
        <f>IF($T39=0,0,IF($F39="",IF(SUMPRODUCT(--(LOWER(LEFT($C39,LEN(People!$B$30:$B$36)+1))=LOWER(People!$B$30:$B$36)&amp;":"))&gt;0,3,0),IF(ISNA(MATCH($F39,People!$B$30:$B$36,0)),1,IF(LEN(INDEX(People!$C$30:$C$36,MATCH($F39,People!$B$30:$B$36,0))&amp;"")=0,2,IF(TRIM($D39)&lt;&gt;INDEX(People!$C$30:$C$36,MATCH($F39,People!$B$30:$B$36,0)),1,0)))))</f>
        <v/>
      </c>
      <c r="AB39" s="32">
        <f>IF(OR($T39=0,$I39=""),0,IF(OR($I39=$A39,COUNTIF($A$4:$A$153,$I39)=0),1,IF(INDEX($B$4:$B$153,MATCH($I39,$A$4:$A$153,0))&gt;$B39,1,0)))</f>
        <v/>
      </c>
      <c r="AC39" s="32">
        <f>IF(AND($V39=1,LEN(TRIM($G39))=0),1,0)</f>
        <v/>
      </c>
      <c r="AD39" s="32">
        <f>IF($T39=0,0,IFERROR(VALUE(MID($A39,4,9)),0))</f>
        <v/>
      </c>
    </row>
    <row r="40" ht="18" customHeight="1">
      <c r="A40" s="27" t="n"/>
      <c r="B40" s="28" t="n"/>
      <c r="C40" s="29" t="n"/>
      <c r="D40" s="29" t="n"/>
      <c r="E40" s="29" t="n"/>
      <c r="F40" s="29" t="n"/>
      <c r="G40" s="29" t="n"/>
      <c r="H40" s="29" t="n"/>
      <c r="I40" s="27" t="n"/>
      <c r="J40" s="30">
        <f>IF(OR($T40=0,$U40=0),"",INDEX($A$4:$A$153,MATCH($A40,$I$4:$I$153,0)))</f>
        <v/>
      </c>
      <c r="K40" s="31">
        <f>IF($T40=0,"",IF(COUNTIF($X40:$AC40,"&gt;0")=0,"○ Clear",TRIM("△ "&amp;COUNTIF($X40:$AC40,"&gt;0")&amp;IF(COUNTIF($X40:$AC40,"&gt;0")=1," problem: "," problems: ")&amp;IF($X40&gt;0,"Decided by needs one name from People, and a body needs members and a signer. ","")&amp;IF($Y40&gt;0,"Why or evidence needs the reason itself, in three words or more. ","")&amp;IF($Z40&gt;0,"Date needs the day it was decided, no later than As of. ","")&amp;IF($AA40=1,IF(ISNA(MATCH($F40,People!$B$30:$B$36,0)),"Gate isn't one of the gate names on People. ","People names "&amp;INDEX(People!$C$30:$C$36,MATCH($F40,People!$B$30:$B$36,0))&amp;" to decide "&amp;$F40&amp;". "),IF($AA40=2,"People names nobody to decide "&amp;$F40&amp;". ",IF($AA40=3,"The Decision opens with a gate's name, so pick that gate in Gate. ","")))&amp;IF($AB40&gt;0,"Replaces needs the Id of a row dated no later than this one. ","")&amp;IF($AC40&gt;0,"Record elsewhere needs the name of the record the other file keeps. ",""))))</f>
        <v/>
      </c>
      <c r="T40" s="32">
        <f>IF(COUNTA($A40:$I40)&gt;0,1,0)</f>
        <v/>
      </c>
      <c r="U40" s="32">
        <f>IF(OR($T40=0,$A40=""),0,IF(COUNTIF($I$4:$I$153,$A40)&gt;0,1,0))</f>
        <v/>
      </c>
      <c r="V40" s="32">
        <f>IF(AND($T40=1,$H40&lt;&gt;"",$H40&lt;&gt;"This log"),1,0)</f>
        <v/>
      </c>
      <c r="W40" s="26">
        <f>IF($T40=0,"",","&amp;SUBSTITUTE(SUBSTITUTE($G40&amp;","&amp;$F40," ",""),";",",")&amp;",")</f>
        <v/>
      </c>
      <c r="X40" s="32">
        <f>IF($T40=0,0,IF(LEN(TRIM($D40))=0,1,IF(COUNTIF(People!$D$6:$D$25,TRIM($D40))=0,1,IF(INDEX(People!$E$6:$E$25,MATCH(TRIM($D40),People!$D$6:$D$25,0))&lt;&gt;"Body",0,IF(OR(LEN(TRIM(INDEX(People!$F$6:$F$25,MATCH(TRIM($D40),People!$D$6:$D$25,0))))=0,LEN(TRIM(INDEX(People!$G$6:$G$25,MATCH(TRIM($D40),People!$D$6:$D$25,0))))=0),1,0)))))</f>
        <v/>
      </c>
      <c r="Y40" s="32">
        <f>IF($T40=0,0,IF(LEN(TRIM($E40))=0,1,IF(LEN(TRIM($E40))-LEN(SUBSTITUTE(TRIM($E40)," ",""))+1&lt;3,1,IF(SUMPRODUCT((People!$J$6:$J$12&lt;&gt;"")*(LEFT(LOWER(TRIM($E40))&amp;" ",LEN(People!$J$6:$J$12)+1)=LOWER(People!$J$6:$J$12)&amp;" "))&gt;0,1,0))))</f>
        <v/>
      </c>
      <c r="Z40" s="32">
        <f>IF($T40=0,0,IF(NOT(ISNUMBER($B40)),1,IF($B40&gt;Summary!$K$3,1,0)))</f>
        <v/>
      </c>
      <c r="AA40" s="32">
        <f>IF($T40=0,0,IF($F40="",IF(SUMPRODUCT(--(LOWER(LEFT($C40,LEN(People!$B$30:$B$36)+1))=LOWER(People!$B$30:$B$36)&amp;":"))&gt;0,3,0),IF(ISNA(MATCH($F40,People!$B$30:$B$36,0)),1,IF(LEN(INDEX(People!$C$30:$C$36,MATCH($F40,People!$B$30:$B$36,0))&amp;"")=0,2,IF(TRIM($D40)&lt;&gt;INDEX(People!$C$30:$C$36,MATCH($F40,People!$B$30:$B$36,0)),1,0)))))</f>
        <v/>
      </c>
      <c r="AB40" s="32">
        <f>IF(OR($T40=0,$I40=""),0,IF(OR($I40=$A40,COUNTIF($A$4:$A$153,$I40)=0),1,IF(INDEX($B$4:$B$153,MATCH($I40,$A$4:$A$153,0))&gt;$B40,1,0)))</f>
        <v/>
      </c>
      <c r="AC40" s="32">
        <f>IF(AND($V40=1,LEN(TRIM($G40))=0),1,0)</f>
        <v/>
      </c>
      <c r="AD40" s="32">
        <f>IF($T40=0,0,IFERROR(VALUE(MID($A40,4,9)),0))</f>
        <v/>
      </c>
    </row>
    <row r="41" ht="18" customHeight="1">
      <c r="A41" s="27" t="n"/>
      <c r="B41" s="28" t="n"/>
      <c r="C41" s="29" t="n"/>
      <c r="D41" s="29" t="n"/>
      <c r="E41" s="29" t="n"/>
      <c r="F41" s="29" t="n"/>
      <c r="G41" s="29" t="n"/>
      <c r="H41" s="29" t="n"/>
      <c r="I41" s="27" t="n"/>
      <c r="J41" s="30">
        <f>IF(OR($T41=0,$U41=0),"",INDEX($A$4:$A$153,MATCH($A41,$I$4:$I$153,0)))</f>
        <v/>
      </c>
      <c r="K41" s="31">
        <f>IF($T41=0,"",IF(COUNTIF($X41:$AC41,"&gt;0")=0,"○ Clear",TRIM("△ "&amp;COUNTIF($X41:$AC41,"&gt;0")&amp;IF(COUNTIF($X41:$AC41,"&gt;0")=1," problem: "," problems: ")&amp;IF($X41&gt;0,"Decided by needs one name from People, and a body needs members and a signer. ","")&amp;IF($Y41&gt;0,"Why or evidence needs the reason itself, in three words or more. ","")&amp;IF($Z41&gt;0,"Date needs the day it was decided, no later than As of. ","")&amp;IF($AA41=1,IF(ISNA(MATCH($F41,People!$B$30:$B$36,0)),"Gate isn't one of the gate names on People. ","People names "&amp;INDEX(People!$C$30:$C$36,MATCH($F41,People!$B$30:$B$36,0))&amp;" to decide "&amp;$F41&amp;". "),IF($AA41=2,"People names nobody to decide "&amp;$F41&amp;". ",IF($AA41=3,"The Decision opens with a gate's name, so pick that gate in Gate. ","")))&amp;IF($AB41&gt;0,"Replaces needs the Id of a row dated no later than this one. ","")&amp;IF($AC41&gt;0,"Record elsewhere needs the name of the record the other file keeps. ",""))))</f>
        <v/>
      </c>
      <c r="T41" s="32">
        <f>IF(COUNTA($A41:$I41)&gt;0,1,0)</f>
        <v/>
      </c>
      <c r="U41" s="32">
        <f>IF(OR($T41=0,$A41=""),0,IF(COUNTIF($I$4:$I$153,$A41)&gt;0,1,0))</f>
        <v/>
      </c>
      <c r="V41" s="32">
        <f>IF(AND($T41=1,$H41&lt;&gt;"",$H41&lt;&gt;"This log"),1,0)</f>
        <v/>
      </c>
      <c r="W41" s="26">
        <f>IF($T41=0,"",","&amp;SUBSTITUTE(SUBSTITUTE($G41&amp;","&amp;$F41," ",""),";",",")&amp;",")</f>
        <v/>
      </c>
      <c r="X41" s="32">
        <f>IF($T41=0,0,IF(LEN(TRIM($D41))=0,1,IF(COUNTIF(People!$D$6:$D$25,TRIM($D41))=0,1,IF(INDEX(People!$E$6:$E$25,MATCH(TRIM($D41),People!$D$6:$D$25,0))&lt;&gt;"Body",0,IF(OR(LEN(TRIM(INDEX(People!$F$6:$F$25,MATCH(TRIM($D41),People!$D$6:$D$25,0))))=0,LEN(TRIM(INDEX(People!$G$6:$G$25,MATCH(TRIM($D41),People!$D$6:$D$25,0))))=0),1,0)))))</f>
        <v/>
      </c>
      <c r="Y41" s="32">
        <f>IF($T41=0,0,IF(LEN(TRIM($E41))=0,1,IF(LEN(TRIM($E41))-LEN(SUBSTITUTE(TRIM($E41)," ",""))+1&lt;3,1,IF(SUMPRODUCT((People!$J$6:$J$12&lt;&gt;"")*(LEFT(LOWER(TRIM($E41))&amp;" ",LEN(People!$J$6:$J$12)+1)=LOWER(People!$J$6:$J$12)&amp;" "))&gt;0,1,0))))</f>
        <v/>
      </c>
      <c r="Z41" s="32">
        <f>IF($T41=0,0,IF(NOT(ISNUMBER($B41)),1,IF($B41&gt;Summary!$K$3,1,0)))</f>
        <v/>
      </c>
      <c r="AA41" s="32">
        <f>IF($T41=0,0,IF($F41="",IF(SUMPRODUCT(--(LOWER(LEFT($C41,LEN(People!$B$30:$B$36)+1))=LOWER(People!$B$30:$B$36)&amp;":"))&gt;0,3,0),IF(ISNA(MATCH($F41,People!$B$30:$B$36,0)),1,IF(LEN(INDEX(People!$C$30:$C$36,MATCH($F41,People!$B$30:$B$36,0))&amp;"")=0,2,IF(TRIM($D41)&lt;&gt;INDEX(People!$C$30:$C$36,MATCH($F41,People!$B$30:$B$36,0)),1,0)))))</f>
        <v/>
      </c>
      <c r="AB41" s="32">
        <f>IF(OR($T41=0,$I41=""),0,IF(OR($I41=$A41,COUNTIF($A$4:$A$153,$I41)=0),1,IF(INDEX($B$4:$B$153,MATCH($I41,$A$4:$A$153,0))&gt;$B41,1,0)))</f>
        <v/>
      </c>
      <c r="AC41" s="32">
        <f>IF(AND($V41=1,LEN(TRIM($G41))=0),1,0)</f>
        <v/>
      </c>
      <c r="AD41" s="32">
        <f>IF($T41=0,0,IFERROR(VALUE(MID($A41,4,9)),0))</f>
        <v/>
      </c>
    </row>
    <row r="42" ht="18" customHeight="1">
      <c r="A42" s="27" t="n"/>
      <c r="B42" s="28" t="n"/>
      <c r="C42" s="29" t="n"/>
      <c r="D42" s="29" t="n"/>
      <c r="E42" s="29" t="n"/>
      <c r="F42" s="29" t="n"/>
      <c r="G42" s="29" t="n"/>
      <c r="H42" s="29" t="n"/>
      <c r="I42" s="27" t="n"/>
      <c r="J42" s="30">
        <f>IF(OR($T42=0,$U42=0),"",INDEX($A$4:$A$153,MATCH($A42,$I$4:$I$153,0)))</f>
        <v/>
      </c>
      <c r="K42" s="31">
        <f>IF($T42=0,"",IF(COUNTIF($X42:$AC42,"&gt;0")=0,"○ Clear",TRIM("△ "&amp;COUNTIF($X42:$AC42,"&gt;0")&amp;IF(COUNTIF($X42:$AC42,"&gt;0")=1," problem: "," problems: ")&amp;IF($X42&gt;0,"Decided by needs one name from People, and a body needs members and a signer. ","")&amp;IF($Y42&gt;0,"Why or evidence needs the reason itself, in three words or more. ","")&amp;IF($Z42&gt;0,"Date needs the day it was decided, no later than As of. ","")&amp;IF($AA42=1,IF(ISNA(MATCH($F42,People!$B$30:$B$36,0)),"Gate isn't one of the gate names on People. ","People names "&amp;INDEX(People!$C$30:$C$36,MATCH($F42,People!$B$30:$B$36,0))&amp;" to decide "&amp;$F42&amp;". "),IF($AA42=2,"People names nobody to decide "&amp;$F42&amp;". ",IF($AA42=3,"The Decision opens with a gate's name, so pick that gate in Gate. ","")))&amp;IF($AB42&gt;0,"Replaces needs the Id of a row dated no later than this one. ","")&amp;IF($AC42&gt;0,"Record elsewhere needs the name of the record the other file keeps. ",""))))</f>
        <v/>
      </c>
      <c r="T42" s="32">
        <f>IF(COUNTA($A42:$I42)&gt;0,1,0)</f>
        <v/>
      </c>
      <c r="U42" s="32">
        <f>IF(OR($T42=0,$A42=""),0,IF(COUNTIF($I$4:$I$153,$A42)&gt;0,1,0))</f>
        <v/>
      </c>
      <c r="V42" s="32">
        <f>IF(AND($T42=1,$H42&lt;&gt;"",$H42&lt;&gt;"This log"),1,0)</f>
        <v/>
      </c>
      <c r="W42" s="26">
        <f>IF($T42=0,"",","&amp;SUBSTITUTE(SUBSTITUTE($G42&amp;","&amp;$F42," ",""),";",",")&amp;",")</f>
        <v/>
      </c>
      <c r="X42" s="32">
        <f>IF($T42=0,0,IF(LEN(TRIM($D42))=0,1,IF(COUNTIF(People!$D$6:$D$25,TRIM($D42))=0,1,IF(INDEX(People!$E$6:$E$25,MATCH(TRIM($D42),People!$D$6:$D$25,0))&lt;&gt;"Body",0,IF(OR(LEN(TRIM(INDEX(People!$F$6:$F$25,MATCH(TRIM($D42),People!$D$6:$D$25,0))))=0,LEN(TRIM(INDEX(People!$G$6:$G$25,MATCH(TRIM($D42),People!$D$6:$D$25,0))))=0),1,0)))))</f>
        <v/>
      </c>
      <c r="Y42" s="32">
        <f>IF($T42=0,0,IF(LEN(TRIM($E42))=0,1,IF(LEN(TRIM($E42))-LEN(SUBSTITUTE(TRIM($E42)," ",""))+1&lt;3,1,IF(SUMPRODUCT((People!$J$6:$J$12&lt;&gt;"")*(LEFT(LOWER(TRIM($E42))&amp;" ",LEN(People!$J$6:$J$12)+1)=LOWER(People!$J$6:$J$12)&amp;" "))&gt;0,1,0))))</f>
        <v/>
      </c>
      <c r="Z42" s="32">
        <f>IF($T42=0,0,IF(NOT(ISNUMBER($B42)),1,IF($B42&gt;Summary!$K$3,1,0)))</f>
        <v/>
      </c>
      <c r="AA42" s="32">
        <f>IF($T42=0,0,IF($F42="",IF(SUMPRODUCT(--(LOWER(LEFT($C42,LEN(People!$B$30:$B$36)+1))=LOWER(People!$B$30:$B$36)&amp;":"))&gt;0,3,0),IF(ISNA(MATCH($F42,People!$B$30:$B$36,0)),1,IF(LEN(INDEX(People!$C$30:$C$36,MATCH($F42,People!$B$30:$B$36,0))&amp;"")=0,2,IF(TRIM($D42)&lt;&gt;INDEX(People!$C$30:$C$36,MATCH($F42,People!$B$30:$B$36,0)),1,0)))))</f>
        <v/>
      </c>
      <c r="AB42" s="32">
        <f>IF(OR($T42=0,$I42=""),0,IF(OR($I42=$A42,COUNTIF($A$4:$A$153,$I42)=0),1,IF(INDEX($B$4:$B$153,MATCH($I42,$A$4:$A$153,0))&gt;$B42,1,0)))</f>
        <v/>
      </c>
      <c r="AC42" s="32">
        <f>IF(AND($V42=1,LEN(TRIM($G42))=0),1,0)</f>
        <v/>
      </c>
      <c r="AD42" s="32">
        <f>IF($T42=0,0,IFERROR(VALUE(MID($A42,4,9)),0))</f>
        <v/>
      </c>
    </row>
    <row r="43" ht="18" customHeight="1">
      <c r="A43" s="27" t="n"/>
      <c r="B43" s="28" t="n"/>
      <c r="C43" s="29" t="n"/>
      <c r="D43" s="29" t="n"/>
      <c r="E43" s="29" t="n"/>
      <c r="F43" s="29" t="n"/>
      <c r="G43" s="29" t="n"/>
      <c r="H43" s="29" t="n"/>
      <c r="I43" s="27" t="n"/>
      <c r="J43" s="30">
        <f>IF(OR($T43=0,$U43=0),"",INDEX($A$4:$A$153,MATCH($A43,$I$4:$I$153,0)))</f>
        <v/>
      </c>
      <c r="K43" s="31">
        <f>IF($T43=0,"",IF(COUNTIF($X43:$AC43,"&gt;0")=0,"○ Clear",TRIM("△ "&amp;COUNTIF($X43:$AC43,"&gt;0")&amp;IF(COUNTIF($X43:$AC43,"&gt;0")=1," problem: "," problems: ")&amp;IF($X43&gt;0,"Decided by needs one name from People, and a body needs members and a signer. ","")&amp;IF($Y43&gt;0,"Why or evidence needs the reason itself, in three words or more. ","")&amp;IF($Z43&gt;0,"Date needs the day it was decided, no later than As of. ","")&amp;IF($AA43=1,IF(ISNA(MATCH($F43,People!$B$30:$B$36,0)),"Gate isn't one of the gate names on People. ","People names "&amp;INDEX(People!$C$30:$C$36,MATCH($F43,People!$B$30:$B$36,0))&amp;" to decide "&amp;$F43&amp;". "),IF($AA43=2,"People names nobody to decide "&amp;$F43&amp;". ",IF($AA43=3,"The Decision opens with a gate's name, so pick that gate in Gate. ","")))&amp;IF($AB43&gt;0,"Replaces needs the Id of a row dated no later than this one. ","")&amp;IF($AC43&gt;0,"Record elsewhere needs the name of the record the other file keeps. ",""))))</f>
        <v/>
      </c>
      <c r="T43" s="32">
        <f>IF(COUNTA($A43:$I43)&gt;0,1,0)</f>
        <v/>
      </c>
      <c r="U43" s="32">
        <f>IF(OR($T43=0,$A43=""),0,IF(COUNTIF($I$4:$I$153,$A43)&gt;0,1,0))</f>
        <v/>
      </c>
      <c r="V43" s="32">
        <f>IF(AND($T43=1,$H43&lt;&gt;"",$H43&lt;&gt;"This log"),1,0)</f>
        <v/>
      </c>
      <c r="W43" s="26">
        <f>IF($T43=0,"",","&amp;SUBSTITUTE(SUBSTITUTE($G43&amp;","&amp;$F43," ",""),";",",")&amp;",")</f>
        <v/>
      </c>
      <c r="X43" s="32">
        <f>IF($T43=0,0,IF(LEN(TRIM($D43))=0,1,IF(COUNTIF(People!$D$6:$D$25,TRIM($D43))=0,1,IF(INDEX(People!$E$6:$E$25,MATCH(TRIM($D43),People!$D$6:$D$25,0))&lt;&gt;"Body",0,IF(OR(LEN(TRIM(INDEX(People!$F$6:$F$25,MATCH(TRIM($D43),People!$D$6:$D$25,0))))=0,LEN(TRIM(INDEX(People!$G$6:$G$25,MATCH(TRIM($D43),People!$D$6:$D$25,0))))=0),1,0)))))</f>
        <v/>
      </c>
      <c r="Y43" s="32">
        <f>IF($T43=0,0,IF(LEN(TRIM($E43))=0,1,IF(LEN(TRIM($E43))-LEN(SUBSTITUTE(TRIM($E43)," ",""))+1&lt;3,1,IF(SUMPRODUCT((People!$J$6:$J$12&lt;&gt;"")*(LEFT(LOWER(TRIM($E43))&amp;" ",LEN(People!$J$6:$J$12)+1)=LOWER(People!$J$6:$J$12)&amp;" "))&gt;0,1,0))))</f>
        <v/>
      </c>
      <c r="Z43" s="32">
        <f>IF($T43=0,0,IF(NOT(ISNUMBER($B43)),1,IF($B43&gt;Summary!$K$3,1,0)))</f>
        <v/>
      </c>
      <c r="AA43" s="32">
        <f>IF($T43=0,0,IF($F43="",IF(SUMPRODUCT(--(LOWER(LEFT($C43,LEN(People!$B$30:$B$36)+1))=LOWER(People!$B$30:$B$36)&amp;":"))&gt;0,3,0),IF(ISNA(MATCH($F43,People!$B$30:$B$36,0)),1,IF(LEN(INDEX(People!$C$30:$C$36,MATCH($F43,People!$B$30:$B$36,0))&amp;"")=0,2,IF(TRIM($D43)&lt;&gt;INDEX(People!$C$30:$C$36,MATCH($F43,People!$B$30:$B$36,0)),1,0)))))</f>
        <v/>
      </c>
      <c r="AB43" s="32">
        <f>IF(OR($T43=0,$I43=""),0,IF(OR($I43=$A43,COUNTIF($A$4:$A$153,$I43)=0),1,IF(INDEX($B$4:$B$153,MATCH($I43,$A$4:$A$153,0))&gt;$B43,1,0)))</f>
        <v/>
      </c>
      <c r="AC43" s="32">
        <f>IF(AND($V43=1,LEN(TRIM($G43))=0),1,0)</f>
        <v/>
      </c>
      <c r="AD43" s="32">
        <f>IF($T43=0,0,IFERROR(VALUE(MID($A43,4,9)),0))</f>
        <v/>
      </c>
    </row>
    <row r="44" ht="18" customHeight="1">
      <c r="A44" s="27" t="n"/>
      <c r="B44" s="28" t="n"/>
      <c r="C44" s="29" t="n"/>
      <c r="D44" s="29" t="n"/>
      <c r="E44" s="29" t="n"/>
      <c r="F44" s="29" t="n"/>
      <c r="G44" s="29" t="n"/>
      <c r="H44" s="29" t="n"/>
      <c r="I44" s="27" t="n"/>
      <c r="J44" s="30">
        <f>IF(OR($T44=0,$U44=0),"",INDEX($A$4:$A$153,MATCH($A44,$I$4:$I$153,0)))</f>
        <v/>
      </c>
      <c r="K44" s="31">
        <f>IF($T44=0,"",IF(COUNTIF($X44:$AC44,"&gt;0")=0,"○ Clear",TRIM("△ "&amp;COUNTIF($X44:$AC44,"&gt;0")&amp;IF(COUNTIF($X44:$AC44,"&gt;0")=1," problem: "," problems: ")&amp;IF($X44&gt;0,"Decided by needs one name from People, and a body needs members and a signer. ","")&amp;IF($Y44&gt;0,"Why or evidence needs the reason itself, in three words or more. ","")&amp;IF($Z44&gt;0,"Date needs the day it was decided, no later than As of. ","")&amp;IF($AA44=1,IF(ISNA(MATCH($F44,People!$B$30:$B$36,0)),"Gate isn't one of the gate names on People. ","People names "&amp;INDEX(People!$C$30:$C$36,MATCH($F44,People!$B$30:$B$36,0))&amp;" to decide "&amp;$F44&amp;". "),IF($AA44=2,"People names nobody to decide "&amp;$F44&amp;". ",IF($AA44=3,"The Decision opens with a gate's name, so pick that gate in Gate. ","")))&amp;IF($AB44&gt;0,"Replaces needs the Id of a row dated no later than this one. ","")&amp;IF($AC44&gt;0,"Record elsewhere needs the name of the record the other file keeps. ",""))))</f>
        <v/>
      </c>
      <c r="T44" s="32">
        <f>IF(COUNTA($A44:$I44)&gt;0,1,0)</f>
        <v/>
      </c>
      <c r="U44" s="32">
        <f>IF(OR($T44=0,$A44=""),0,IF(COUNTIF($I$4:$I$153,$A44)&gt;0,1,0))</f>
        <v/>
      </c>
      <c r="V44" s="32">
        <f>IF(AND($T44=1,$H44&lt;&gt;"",$H44&lt;&gt;"This log"),1,0)</f>
        <v/>
      </c>
      <c r="W44" s="26">
        <f>IF($T44=0,"",","&amp;SUBSTITUTE(SUBSTITUTE($G44&amp;","&amp;$F44," ",""),";",",")&amp;",")</f>
        <v/>
      </c>
      <c r="X44" s="32">
        <f>IF($T44=0,0,IF(LEN(TRIM($D44))=0,1,IF(COUNTIF(People!$D$6:$D$25,TRIM($D44))=0,1,IF(INDEX(People!$E$6:$E$25,MATCH(TRIM($D44),People!$D$6:$D$25,0))&lt;&gt;"Body",0,IF(OR(LEN(TRIM(INDEX(People!$F$6:$F$25,MATCH(TRIM($D44),People!$D$6:$D$25,0))))=0,LEN(TRIM(INDEX(People!$G$6:$G$25,MATCH(TRIM($D44),People!$D$6:$D$25,0))))=0),1,0)))))</f>
        <v/>
      </c>
      <c r="Y44" s="32">
        <f>IF($T44=0,0,IF(LEN(TRIM($E44))=0,1,IF(LEN(TRIM($E44))-LEN(SUBSTITUTE(TRIM($E44)," ",""))+1&lt;3,1,IF(SUMPRODUCT((People!$J$6:$J$12&lt;&gt;"")*(LEFT(LOWER(TRIM($E44))&amp;" ",LEN(People!$J$6:$J$12)+1)=LOWER(People!$J$6:$J$12)&amp;" "))&gt;0,1,0))))</f>
        <v/>
      </c>
      <c r="Z44" s="32">
        <f>IF($T44=0,0,IF(NOT(ISNUMBER($B44)),1,IF($B44&gt;Summary!$K$3,1,0)))</f>
        <v/>
      </c>
      <c r="AA44" s="32">
        <f>IF($T44=0,0,IF($F44="",IF(SUMPRODUCT(--(LOWER(LEFT($C44,LEN(People!$B$30:$B$36)+1))=LOWER(People!$B$30:$B$36)&amp;":"))&gt;0,3,0),IF(ISNA(MATCH($F44,People!$B$30:$B$36,0)),1,IF(LEN(INDEX(People!$C$30:$C$36,MATCH($F44,People!$B$30:$B$36,0))&amp;"")=0,2,IF(TRIM($D44)&lt;&gt;INDEX(People!$C$30:$C$36,MATCH($F44,People!$B$30:$B$36,0)),1,0)))))</f>
        <v/>
      </c>
      <c r="AB44" s="32">
        <f>IF(OR($T44=0,$I44=""),0,IF(OR($I44=$A44,COUNTIF($A$4:$A$153,$I44)=0),1,IF(INDEX($B$4:$B$153,MATCH($I44,$A$4:$A$153,0))&gt;$B44,1,0)))</f>
        <v/>
      </c>
      <c r="AC44" s="32">
        <f>IF(AND($V44=1,LEN(TRIM($G44))=0),1,0)</f>
        <v/>
      </c>
      <c r="AD44" s="32">
        <f>IF($T44=0,0,IFERROR(VALUE(MID($A44,4,9)),0))</f>
        <v/>
      </c>
    </row>
    <row r="45" ht="18" customHeight="1">
      <c r="A45" s="27" t="n"/>
      <c r="B45" s="28" t="n"/>
      <c r="C45" s="29" t="n"/>
      <c r="D45" s="29" t="n"/>
      <c r="E45" s="29" t="n"/>
      <c r="F45" s="29" t="n"/>
      <c r="G45" s="29" t="n"/>
      <c r="H45" s="29" t="n"/>
      <c r="I45" s="27" t="n"/>
      <c r="J45" s="30">
        <f>IF(OR($T45=0,$U45=0),"",INDEX($A$4:$A$153,MATCH($A45,$I$4:$I$153,0)))</f>
        <v/>
      </c>
      <c r="K45" s="31">
        <f>IF($T45=0,"",IF(COUNTIF($X45:$AC45,"&gt;0")=0,"○ Clear",TRIM("△ "&amp;COUNTIF($X45:$AC45,"&gt;0")&amp;IF(COUNTIF($X45:$AC45,"&gt;0")=1," problem: "," problems: ")&amp;IF($X45&gt;0,"Decided by needs one name from People, and a body needs members and a signer. ","")&amp;IF($Y45&gt;0,"Why or evidence needs the reason itself, in three words or more. ","")&amp;IF($Z45&gt;0,"Date needs the day it was decided, no later than As of. ","")&amp;IF($AA45=1,IF(ISNA(MATCH($F45,People!$B$30:$B$36,0)),"Gate isn't one of the gate names on People. ","People names "&amp;INDEX(People!$C$30:$C$36,MATCH($F45,People!$B$30:$B$36,0))&amp;" to decide "&amp;$F45&amp;". "),IF($AA45=2,"People names nobody to decide "&amp;$F45&amp;". ",IF($AA45=3,"The Decision opens with a gate's name, so pick that gate in Gate. ","")))&amp;IF($AB45&gt;0,"Replaces needs the Id of a row dated no later than this one. ","")&amp;IF($AC45&gt;0,"Record elsewhere needs the name of the record the other file keeps. ",""))))</f>
        <v/>
      </c>
      <c r="T45" s="32">
        <f>IF(COUNTA($A45:$I45)&gt;0,1,0)</f>
        <v/>
      </c>
      <c r="U45" s="32">
        <f>IF(OR($T45=0,$A45=""),0,IF(COUNTIF($I$4:$I$153,$A45)&gt;0,1,0))</f>
        <v/>
      </c>
      <c r="V45" s="32">
        <f>IF(AND($T45=1,$H45&lt;&gt;"",$H45&lt;&gt;"This log"),1,0)</f>
        <v/>
      </c>
      <c r="W45" s="26">
        <f>IF($T45=0,"",","&amp;SUBSTITUTE(SUBSTITUTE($G45&amp;","&amp;$F45," ",""),";",",")&amp;",")</f>
        <v/>
      </c>
      <c r="X45" s="32">
        <f>IF($T45=0,0,IF(LEN(TRIM($D45))=0,1,IF(COUNTIF(People!$D$6:$D$25,TRIM($D45))=0,1,IF(INDEX(People!$E$6:$E$25,MATCH(TRIM($D45),People!$D$6:$D$25,0))&lt;&gt;"Body",0,IF(OR(LEN(TRIM(INDEX(People!$F$6:$F$25,MATCH(TRIM($D45),People!$D$6:$D$25,0))))=0,LEN(TRIM(INDEX(People!$G$6:$G$25,MATCH(TRIM($D45),People!$D$6:$D$25,0))))=0),1,0)))))</f>
        <v/>
      </c>
      <c r="Y45" s="32">
        <f>IF($T45=0,0,IF(LEN(TRIM($E45))=0,1,IF(LEN(TRIM($E45))-LEN(SUBSTITUTE(TRIM($E45)," ",""))+1&lt;3,1,IF(SUMPRODUCT((People!$J$6:$J$12&lt;&gt;"")*(LEFT(LOWER(TRIM($E45))&amp;" ",LEN(People!$J$6:$J$12)+1)=LOWER(People!$J$6:$J$12)&amp;" "))&gt;0,1,0))))</f>
        <v/>
      </c>
      <c r="Z45" s="32">
        <f>IF($T45=0,0,IF(NOT(ISNUMBER($B45)),1,IF($B45&gt;Summary!$K$3,1,0)))</f>
        <v/>
      </c>
      <c r="AA45" s="32">
        <f>IF($T45=0,0,IF($F45="",IF(SUMPRODUCT(--(LOWER(LEFT($C45,LEN(People!$B$30:$B$36)+1))=LOWER(People!$B$30:$B$36)&amp;":"))&gt;0,3,0),IF(ISNA(MATCH($F45,People!$B$30:$B$36,0)),1,IF(LEN(INDEX(People!$C$30:$C$36,MATCH($F45,People!$B$30:$B$36,0))&amp;"")=0,2,IF(TRIM($D45)&lt;&gt;INDEX(People!$C$30:$C$36,MATCH($F45,People!$B$30:$B$36,0)),1,0)))))</f>
        <v/>
      </c>
      <c r="AB45" s="32">
        <f>IF(OR($T45=0,$I45=""),0,IF(OR($I45=$A45,COUNTIF($A$4:$A$153,$I45)=0),1,IF(INDEX($B$4:$B$153,MATCH($I45,$A$4:$A$153,0))&gt;$B45,1,0)))</f>
        <v/>
      </c>
      <c r="AC45" s="32">
        <f>IF(AND($V45=1,LEN(TRIM($G45))=0),1,0)</f>
        <v/>
      </c>
      <c r="AD45" s="32">
        <f>IF($T45=0,0,IFERROR(VALUE(MID($A45,4,9)),0))</f>
        <v/>
      </c>
    </row>
    <row r="46" ht="18" customHeight="1">
      <c r="A46" s="27" t="n"/>
      <c r="B46" s="28" t="n"/>
      <c r="C46" s="29" t="n"/>
      <c r="D46" s="29" t="n"/>
      <c r="E46" s="29" t="n"/>
      <c r="F46" s="29" t="n"/>
      <c r="G46" s="29" t="n"/>
      <c r="H46" s="29" t="n"/>
      <c r="I46" s="27" t="n"/>
      <c r="J46" s="30">
        <f>IF(OR($T46=0,$U46=0),"",INDEX($A$4:$A$153,MATCH($A46,$I$4:$I$153,0)))</f>
        <v/>
      </c>
      <c r="K46" s="31">
        <f>IF($T46=0,"",IF(COUNTIF($X46:$AC46,"&gt;0")=0,"○ Clear",TRIM("△ "&amp;COUNTIF($X46:$AC46,"&gt;0")&amp;IF(COUNTIF($X46:$AC46,"&gt;0")=1," problem: "," problems: ")&amp;IF($X46&gt;0,"Decided by needs one name from People, and a body needs members and a signer. ","")&amp;IF($Y46&gt;0,"Why or evidence needs the reason itself, in three words or more. ","")&amp;IF($Z46&gt;0,"Date needs the day it was decided, no later than As of. ","")&amp;IF($AA46=1,IF(ISNA(MATCH($F46,People!$B$30:$B$36,0)),"Gate isn't one of the gate names on People. ","People names "&amp;INDEX(People!$C$30:$C$36,MATCH($F46,People!$B$30:$B$36,0))&amp;" to decide "&amp;$F46&amp;". "),IF($AA46=2,"People names nobody to decide "&amp;$F46&amp;". ",IF($AA46=3,"The Decision opens with a gate's name, so pick that gate in Gate. ","")))&amp;IF($AB46&gt;0,"Replaces needs the Id of a row dated no later than this one. ","")&amp;IF($AC46&gt;0,"Record elsewhere needs the name of the record the other file keeps. ",""))))</f>
        <v/>
      </c>
      <c r="T46" s="32">
        <f>IF(COUNTA($A46:$I46)&gt;0,1,0)</f>
        <v/>
      </c>
      <c r="U46" s="32">
        <f>IF(OR($T46=0,$A46=""),0,IF(COUNTIF($I$4:$I$153,$A46)&gt;0,1,0))</f>
        <v/>
      </c>
      <c r="V46" s="32">
        <f>IF(AND($T46=1,$H46&lt;&gt;"",$H46&lt;&gt;"This log"),1,0)</f>
        <v/>
      </c>
      <c r="W46" s="26">
        <f>IF($T46=0,"",","&amp;SUBSTITUTE(SUBSTITUTE($G46&amp;","&amp;$F46," ",""),";",",")&amp;",")</f>
        <v/>
      </c>
      <c r="X46" s="32">
        <f>IF($T46=0,0,IF(LEN(TRIM($D46))=0,1,IF(COUNTIF(People!$D$6:$D$25,TRIM($D46))=0,1,IF(INDEX(People!$E$6:$E$25,MATCH(TRIM($D46),People!$D$6:$D$25,0))&lt;&gt;"Body",0,IF(OR(LEN(TRIM(INDEX(People!$F$6:$F$25,MATCH(TRIM($D46),People!$D$6:$D$25,0))))=0,LEN(TRIM(INDEX(People!$G$6:$G$25,MATCH(TRIM($D46),People!$D$6:$D$25,0))))=0),1,0)))))</f>
        <v/>
      </c>
      <c r="Y46" s="32">
        <f>IF($T46=0,0,IF(LEN(TRIM($E46))=0,1,IF(LEN(TRIM($E46))-LEN(SUBSTITUTE(TRIM($E46)," ",""))+1&lt;3,1,IF(SUMPRODUCT((People!$J$6:$J$12&lt;&gt;"")*(LEFT(LOWER(TRIM($E46))&amp;" ",LEN(People!$J$6:$J$12)+1)=LOWER(People!$J$6:$J$12)&amp;" "))&gt;0,1,0))))</f>
        <v/>
      </c>
      <c r="Z46" s="32">
        <f>IF($T46=0,0,IF(NOT(ISNUMBER($B46)),1,IF($B46&gt;Summary!$K$3,1,0)))</f>
        <v/>
      </c>
      <c r="AA46" s="32">
        <f>IF($T46=0,0,IF($F46="",IF(SUMPRODUCT(--(LOWER(LEFT($C46,LEN(People!$B$30:$B$36)+1))=LOWER(People!$B$30:$B$36)&amp;":"))&gt;0,3,0),IF(ISNA(MATCH($F46,People!$B$30:$B$36,0)),1,IF(LEN(INDEX(People!$C$30:$C$36,MATCH($F46,People!$B$30:$B$36,0))&amp;"")=0,2,IF(TRIM($D46)&lt;&gt;INDEX(People!$C$30:$C$36,MATCH($F46,People!$B$30:$B$36,0)),1,0)))))</f>
        <v/>
      </c>
      <c r="AB46" s="32">
        <f>IF(OR($T46=0,$I46=""),0,IF(OR($I46=$A46,COUNTIF($A$4:$A$153,$I46)=0),1,IF(INDEX($B$4:$B$153,MATCH($I46,$A$4:$A$153,0))&gt;$B46,1,0)))</f>
        <v/>
      </c>
      <c r="AC46" s="32">
        <f>IF(AND($V46=1,LEN(TRIM($G46))=0),1,0)</f>
        <v/>
      </c>
      <c r="AD46" s="32">
        <f>IF($T46=0,0,IFERROR(VALUE(MID($A46,4,9)),0))</f>
        <v/>
      </c>
    </row>
    <row r="47" ht="18" customHeight="1">
      <c r="A47" s="27" t="n"/>
      <c r="B47" s="28" t="n"/>
      <c r="C47" s="29" t="n"/>
      <c r="D47" s="29" t="n"/>
      <c r="E47" s="29" t="n"/>
      <c r="F47" s="29" t="n"/>
      <c r="G47" s="29" t="n"/>
      <c r="H47" s="29" t="n"/>
      <c r="I47" s="27" t="n"/>
      <c r="J47" s="30">
        <f>IF(OR($T47=0,$U47=0),"",INDEX($A$4:$A$153,MATCH($A47,$I$4:$I$153,0)))</f>
        <v/>
      </c>
      <c r="K47" s="31">
        <f>IF($T47=0,"",IF(COUNTIF($X47:$AC47,"&gt;0")=0,"○ Clear",TRIM("△ "&amp;COUNTIF($X47:$AC47,"&gt;0")&amp;IF(COUNTIF($X47:$AC47,"&gt;0")=1," problem: "," problems: ")&amp;IF($X47&gt;0,"Decided by needs one name from People, and a body needs members and a signer. ","")&amp;IF($Y47&gt;0,"Why or evidence needs the reason itself, in three words or more. ","")&amp;IF($Z47&gt;0,"Date needs the day it was decided, no later than As of. ","")&amp;IF($AA47=1,IF(ISNA(MATCH($F47,People!$B$30:$B$36,0)),"Gate isn't one of the gate names on People. ","People names "&amp;INDEX(People!$C$30:$C$36,MATCH($F47,People!$B$30:$B$36,0))&amp;" to decide "&amp;$F47&amp;". "),IF($AA47=2,"People names nobody to decide "&amp;$F47&amp;". ",IF($AA47=3,"The Decision opens with a gate's name, so pick that gate in Gate. ","")))&amp;IF($AB47&gt;0,"Replaces needs the Id of a row dated no later than this one. ","")&amp;IF($AC47&gt;0,"Record elsewhere needs the name of the record the other file keeps. ",""))))</f>
        <v/>
      </c>
      <c r="T47" s="32">
        <f>IF(COUNTA($A47:$I47)&gt;0,1,0)</f>
        <v/>
      </c>
      <c r="U47" s="32">
        <f>IF(OR($T47=0,$A47=""),0,IF(COUNTIF($I$4:$I$153,$A47)&gt;0,1,0))</f>
        <v/>
      </c>
      <c r="V47" s="32">
        <f>IF(AND($T47=1,$H47&lt;&gt;"",$H47&lt;&gt;"This log"),1,0)</f>
        <v/>
      </c>
      <c r="W47" s="26">
        <f>IF($T47=0,"",","&amp;SUBSTITUTE(SUBSTITUTE($G47&amp;","&amp;$F47," ",""),";",",")&amp;",")</f>
        <v/>
      </c>
      <c r="X47" s="32">
        <f>IF($T47=0,0,IF(LEN(TRIM($D47))=0,1,IF(COUNTIF(People!$D$6:$D$25,TRIM($D47))=0,1,IF(INDEX(People!$E$6:$E$25,MATCH(TRIM($D47),People!$D$6:$D$25,0))&lt;&gt;"Body",0,IF(OR(LEN(TRIM(INDEX(People!$F$6:$F$25,MATCH(TRIM($D47),People!$D$6:$D$25,0))))=0,LEN(TRIM(INDEX(People!$G$6:$G$25,MATCH(TRIM($D47),People!$D$6:$D$25,0))))=0),1,0)))))</f>
        <v/>
      </c>
      <c r="Y47" s="32">
        <f>IF($T47=0,0,IF(LEN(TRIM($E47))=0,1,IF(LEN(TRIM($E47))-LEN(SUBSTITUTE(TRIM($E47)," ",""))+1&lt;3,1,IF(SUMPRODUCT((People!$J$6:$J$12&lt;&gt;"")*(LEFT(LOWER(TRIM($E47))&amp;" ",LEN(People!$J$6:$J$12)+1)=LOWER(People!$J$6:$J$12)&amp;" "))&gt;0,1,0))))</f>
        <v/>
      </c>
      <c r="Z47" s="32">
        <f>IF($T47=0,0,IF(NOT(ISNUMBER($B47)),1,IF($B47&gt;Summary!$K$3,1,0)))</f>
        <v/>
      </c>
      <c r="AA47" s="32">
        <f>IF($T47=0,0,IF($F47="",IF(SUMPRODUCT(--(LOWER(LEFT($C47,LEN(People!$B$30:$B$36)+1))=LOWER(People!$B$30:$B$36)&amp;":"))&gt;0,3,0),IF(ISNA(MATCH($F47,People!$B$30:$B$36,0)),1,IF(LEN(INDEX(People!$C$30:$C$36,MATCH($F47,People!$B$30:$B$36,0))&amp;"")=0,2,IF(TRIM($D47)&lt;&gt;INDEX(People!$C$30:$C$36,MATCH($F47,People!$B$30:$B$36,0)),1,0)))))</f>
        <v/>
      </c>
      <c r="AB47" s="32">
        <f>IF(OR($T47=0,$I47=""),0,IF(OR($I47=$A47,COUNTIF($A$4:$A$153,$I47)=0),1,IF(INDEX($B$4:$B$153,MATCH($I47,$A$4:$A$153,0))&gt;$B47,1,0)))</f>
        <v/>
      </c>
      <c r="AC47" s="32">
        <f>IF(AND($V47=1,LEN(TRIM($G47))=0),1,0)</f>
        <v/>
      </c>
      <c r="AD47" s="32">
        <f>IF($T47=0,0,IFERROR(VALUE(MID($A47,4,9)),0))</f>
        <v/>
      </c>
    </row>
    <row r="48" ht="18" customHeight="1">
      <c r="A48" s="27" t="n"/>
      <c r="B48" s="28" t="n"/>
      <c r="C48" s="29" t="n"/>
      <c r="D48" s="29" t="n"/>
      <c r="E48" s="29" t="n"/>
      <c r="F48" s="29" t="n"/>
      <c r="G48" s="29" t="n"/>
      <c r="H48" s="29" t="n"/>
      <c r="I48" s="27" t="n"/>
      <c r="J48" s="30">
        <f>IF(OR($T48=0,$U48=0),"",INDEX($A$4:$A$153,MATCH($A48,$I$4:$I$153,0)))</f>
        <v/>
      </c>
      <c r="K48" s="31">
        <f>IF($T48=0,"",IF(COUNTIF($X48:$AC48,"&gt;0")=0,"○ Clear",TRIM("△ "&amp;COUNTIF($X48:$AC48,"&gt;0")&amp;IF(COUNTIF($X48:$AC48,"&gt;0")=1," problem: "," problems: ")&amp;IF($X48&gt;0,"Decided by needs one name from People, and a body needs members and a signer. ","")&amp;IF($Y48&gt;0,"Why or evidence needs the reason itself, in three words or more. ","")&amp;IF($Z48&gt;0,"Date needs the day it was decided, no later than As of. ","")&amp;IF($AA48=1,IF(ISNA(MATCH($F48,People!$B$30:$B$36,0)),"Gate isn't one of the gate names on People. ","People names "&amp;INDEX(People!$C$30:$C$36,MATCH($F48,People!$B$30:$B$36,0))&amp;" to decide "&amp;$F48&amp;". "),IF($AA48=2,"People names nobody to decide "&amp;$F48&amp;". ",IF($AA48=3,"The Decision opens with a gate's name, so pick that gate in Gate. ","")))&amp;IF($AB48&gt;0,"Replaces needs the Id of a row dated no later than this one. ","")&amp;IF($AC48&gt;0,"Record elsewhere needs the name of the record the other file keeps. ",""))))</f>
        <v/>
      </c>
      <c r="T48" s="32">
        <f>IF(COUNTA($A48:$I48)&gt;0,1,0)</f>
        <v/>
      </c>
      <c r="U48" s="32">
        <f>IF(OR($T48=0,$A48=""),0,IF(COUNTIF($I$4:$I$153,$A48)&gt;0,1,0))</f>
        <v/>
      </c>
      <c r="V48" s="32">
        <f>IF(AND($T48=1,$H48&lt;&gt;"",$H48&lt;&gt;"This log"),1,0)</f>
        <v/>
      </c>
      <c r="W48" s="26">
        <f>IF($T48=0,"",","&amp;SUBSTITUTE(SUBSTITUTE($G48&amp;","&amp;$F48," ",""),";",",")&amp;",")</f>
        <v/>
      </c>
      <c r="X48" s="32">
        <f>IF($T48=0,0,IF(LEN(TRIM($D48))=0,1,IF(COUNTIF(People!$D$6:$D$25,TRIM($D48))=0,1,IF(INDEX(People!$E$6:$E$25,MATCH(TRIM($D48),People!$D$6:$D$25,0))&lt;&gt;"Body",0,IF(OR(LEN(TRIM(INDEX(People!$F$6:$F$25,MATCH(TRIM($D48),People!$D$6:$D$25,0))))=0,LEN(TRIM(INDEX(People!$G$6:$G$25,MATCH(TRIM($D48),People!$D$6:$D$25,0))))=0),1,0)))))</f>
        <v/>
      </c>
      <c r="Y48" s="32">
        <f>IF($T48=0,0,IF(LEN(TRIM($E48))=0,1,IF(LEN(TRIM($E48))-LEN(SUBSTITUTE(TRIM($E48)," ",""))+1&lt;3,1,IF(SUMPRODUCT((People!$J$6:$J$12&lt;&gt;"")*(LEFT(LOWER(TRIM($E48))&amp;" ",LEN(People!$J$6:$J$12)+1)=LOWER(People!$J$6:$J$12)&amp;" "))&gt;0,1,0))))</f>
        <v/>
      </c>
      <c r="Z48" s="32">
        <f>IF($T48=0,0,IF(NOT(ISNUMBER($B48)),1,IF($B48&gt;Summary!$K$3,1,0)))</f>
        <v/>
      </c>
      <c r="AA48" s="32">
        <f>IF($T48=0,0,IF($F48="",IF(SUMPRODUCT(--(LOWER(LEFT($C48,LEN(People!$B$30:$B$36)+1))=LOWER(People!$B$30:$B$36)&amp;":"))&gt;0,3,0),IF(ISNA(MATCH($F48,People!$B$30:$B$36,0)),1,IF(LEN(INDEX(People!$C$30:$C$36,MATCH($F48,People!$B$30:$B$36,0))&amp;"")=0,2,IF(TRIM($D48)&lt;&gt;INDEX(People!$C$30:$C$36,MATCH($F48,People!$B$30:$B$36,0)),1,0)))))</f>
        <v/>
      </c>
      <c r="AB48" s="32">
        <f>IF(OR($T48=0,$I48=""),0,IF(OR($I48=$A48,COUNTIF($A$4:$A$153,$I48)=0),1,IF(INDEX($B$4:$B$153,MATCH($I48,$A$4:$A$153,0))&gt;$B48,1,0)))</f>
        <v/>
      </c>
      <c r="AC48" s="32">
        <f>IF(AND($V48=1,LEN(TRIM($G48))=0),1,0)</f>
        <v/>
      </c>
      <c r="AD48" s="32">
        <f>IF($T48=0,0,IFERROR(VALUE(MID($A48,4,9)),0))</f>
        <v/>
      </c>
    </row>
    <row r="49" ht="18" customHeight="1">
      <c r="A49" s="27" t="n"/>
      <c r="B49" s="28" t="n"/>
      <c r="C49" s="29" t="n"/>
      <c r="D49" s="29" t="n"/>
      <c r="E49" s="29" t="n"/>
      <c r="F49" s="29" t="n"/>
      <c r="G49" s="29" t="n"/>
      <c r="H49" s="29" t="n"/>
      <c r="I49" s="27" t="n"/>
      <c r="J49" s="30">
        <f>IF(OR($T49=0,$U49=0),"",INDEX($A$4:$A$153,MATCH($A49,$I$4:$I$153,0)))</f>
        <v/>
      </c>
      <c r="K49" s="31">
        <f>IF($T49=0,"",IF(COUNTIF($X49:$AC49,"&gt;0")=0,"○ Clear",TRIM("△ "&amp;COUNTIF($X49:$AC49,"&gt;0")&amp;IF(COUNTIF($X49:$AC49,"&gt;0")=1," problem: "," problems: ")&amp;IF($X49&gt;0,"Decided by needs one name from People, and a body needs members and a signer. ","")&amp;IF($Y49&gt;0,"Why or evidence needs the reason itself, in three words or more. ","")&amp;IF($Z49&gt;0,"Date needs the day it was decided, no later than As of. ","")&amp;IF($AA49=1,IF(ISNA(MATCH($F49,People!$B$30:$B$36,0)),"Gate isn't one of the gate names on People. ","People names "&amp;INDEX(People!$C$30:$C$36,MATCH($F49,People!$B$30:$B$36,0))&amp;" to decide "&amp;$F49&amp;". "),IF($AA49=2,"People names nobody to decide "&amp;$F49&amp;". ",IF($AA49=3,"The Decision opens with a gate's name, so pick that gate in Gate. ","")))&amp;IF($AB49&gt;0,"Replaces needs the Id of a row dated no later than this one. ","")&amp;IF($AC49&gt;0,"Record elsewhere needs the name of the record the other file keeps. ",""))))</f>
        <v/>
      </c>
      <c r="T49" s="32">
        <f>IF(COUNTA($A49:$I49)&gt;0,1,0)</f>
        <v/>
      </c>
      <c r="U49" s="32">
        <f>IF(OR($T49=0,$A49=""),0,IF(COUNTIF($I$4:$I$153,$A49)&gt;0,1,0))</f>
        <v/>
      </c>
      <c r="V49" s="32">
        <f>IF(AND($T49=1,$H49&lt;&gt;"",$H49&lt;&gt;"This log"),1,0)</f>
        <v/>
      </c>
      <c r="W49" s="26">
        <f>IF($T49=0,"",","&amp;SUBSTITUTE(SUBSTITUTE($G49&amp;","&amp;$F49," ",""),";",",")&amp;",")</f>
        <v/>
      </c>
      <c r="X49" s="32">
        <f>IF($T49=0,0,IF(LEN(TRIM($D49))=0,1,IF(COUNTIF(People!$D$6:$D$25,TRIM($D49))=0,1,IF(INDEX(People!$E$6:$E$25,MATCH(TRIM($D49),People!$D$6:$D$25,0))&lt;&gt;"Body",0,IF(OR(LEN(TRIM(INDEX(People!$F$6:$F$25,MATCH(TRIM($D49),People!$D$6:$D$25,0))))=0,LEN(TRIM(INDEX(People!$G$6:$G$25,MATCH(TRIM($D49),People!$D$6:$D$25,0))))=0),1,0)))))</f>
        <v/>
      </c>
      <c r="Y49" s="32">
        <f>IF($T49=0,0,IF(LEN(TRIM($E49))=0,1,IF(LEN(TRIM($E49))-LEN(SUBSTITUTE(TRIM($E49)," ",""))+1&lt;3,1,IF(SUMPRODUCT((People!$J$6:$J$12&lt;&gt;"")*(LEFT(LOWER(TRIM($E49))&amp;" ",LEN(People!$J$6:$J$12)+1)=LOWER(People!$J$6:$J$12)&amp;" "))&gt;0,1,0))))</f>
        <v/>
      </c>
      <c r="Z49" s="32">
        <f>IF($T49=0,0,IF(NOT(ISNUMBER($B49)),1,IF($B49&gt;Summary!$K$3,1,0)))</f>
        <v/>
      </c>
      <c r="AA49" s="32">
        <f>IF($T49=0,0,IF($F49="",IF(SUMPRODUCT(--(LOWER(LEFT($C49,LEN(People!$B$30:$B$36)+1))=LOWER(People!$B$30:$B$36)&amp;":"))&gt;0,3,0),IF(ISNA(MATCH($F49,People!$B$30:$B$36,0)),1,IF(LEN(INDEX(People!$C$30:$C$36,MATCH($F49,People!$B$30:$B$36,0))&amp;"")=0,2,IF(TRIM($D49)&lt;&gt;INDEX(People!$C$30:$C$36,MATCH($F49,People!$B$30:$B$36,0)),1,0)))))</f>
        <v/>
      </c>
      <c r="AB49" s="32">
        <f>IF(OR($T49=0,$I49=""),0,IF(OR($I49=$A49,COUNTIF($A$4:$A$153,$I49)=0),1,IF(INDEX($B$4:$B$153,MATCH($I49,$A$4:$A$153,0))&gt;$B49,1,0)))</f>
        <v/>
      </c>
      <c r="AC49" s="32">
        <f>IF(AND($V49=1,LEN(TRIM($G49))=0),1,0)</f>
        <v/>
      </c>
      <c r="AD49" s="32">
        <f>IF($T49=0,0,IFERROR(VALUE(MID($A49,4,9)),0))</f>
        <v/>
      </c>
    </row>
    <row r="50" ht="18" customHeight="1">
      <c r="A50" s="27" t="n"/>
      <c r="B50" s="28" t="n"/>
      <c r="C50" s="29" t="n"/>
      <c r="D50" s="29" t="n"/>
      <c r="E50" s="29" t="n"/>
      <c r="F50" s="29" t="n"/>
      <c r="G50" s="29" t="n"/>
      <c r="H50" s="29" t="n"/>
      <c r="I50" s="27" t="n"/>
      <c r="J50" s="30">
        <f>IF(OR($T50=0,$U50=0),"",INDEX($A$4:$A$153,MATCH($A50,$I$4:$I$153,0)))</f>
        <v/>
      </c>
      <c r="K50" s="31">
        <f>IF($T50=0,"",IF(COUNTIF($X50:$AC50,"&gt;0")=0,"○ Clear",TRIM("△ "&amp;COUNTIF($X50:$AC50,"&gt;0")&amp;IF(COUNTIF($X50:$AC50,"&gt;0")=1," problem: "," problems: ")&amp;IF($X50&gt;0,"Decided by needs one name from People, and a body needs members and a signer. ","")&amp;IF($Y50&gt;0,"Why or evidence needs the reason itself, in three words or more. ","")&amp;IF($Z50&gt;0,"Date needs the day it was decided, no later than As of. ","")&amp;IF($AA50=1,IF(ISNA(MATCH($F50,People!$B$30:$B$36,0)),"Gate isn't one of the gate names on People. ","People names "&amp;INDEX(People!$C$30:$C$36,MATCH($F50,People!$B$30:$B$36,0))&amp;" to decide "&amp;$F50&amp;". "),IF($AA50=2,"People names nobody to decide "&amp;$F50&amp;". ",IF($AA50=3,"The Decision opens with a gate's name, so pick that gate in Gate. ","")))&amp;IF($AB50&gt;0,"Replaces needs the Id of a row dated no later than this one. ","")&amp;IF($AC50&gt;0,"Record elsewhere needs the name of the record the other file keeps. ",""))))</f>
        <v/>
      </c>
      <c r="T50" s="32">
        <f>IF(COUNTA($A50:$I50)&gt;0,1,0)</f>
        <v/>
      </c>
      <c r="U50" s="32">
        <f>IF(OR($T50=0,$A50=""),0,IF(COUNTIF($I$4:$I$153,$A50)&gt;0,1,0))</f>
        <v/>
      </c>
      <c r="V50" s="32">
        <f>IF(AND($T50=1,$H50&lt;&gt;"",$H50&lt;&gt;"This log"),1,0)</f>
        <v/>
      </c>
      <c r="W50" s="26">
        <f>IF($T50=0,"",","&amp;SUBSTITUTE(SUBSTITUTE($G50&amp;","&amp;$F50," ",""),";",",")&amp;",")</f>
        <v/>
      </c>
      <c r="X50" s="32">
        <f>IF($T50=0,0,IF(LEN(TRIM($D50))=0,1,IF(COUNTIF(People!$D$6:$D$25,TRIM($D50))=0,1,IF(INDEX(People!$E$6:$E$25,MATCH(TRIM($D50),People!$D$6:$D$25,0))&lt;&gt;"Body",0,IF(OR(LEN(TRIM(INDEX(People!$F$6:$F$25,MATCH(TRIM($D50),People!$D$6:$D$25,0))))=0,LEN(TRIM(INDEX(People!$G$6:$G$25,MATCH(TRIM($D50),People!$D$6:$D$25,0))))=0),1,0)))))</f>
        <v/>
      </c>
      <c r="Y50" s="32">
        <f>IF($T50=0,0,IF(LEN(TRIM($E50))=0,1,IF(LEN(TRIM($E50))-LEN(SUBSTITUTE(TRIM($E50)," ",""))+1&lt;3,1,IF(SUMPRODUCT((People!$J$6:$J$12&lt;&gt;"")*(LEFT(LOWER(TRIM($E50))&amp;" ",LEN(People!$J$6:$J$12)+1)=LOWER(People!$J$6:$J$12)&amp;" "))&gt;0,1,0))))</f>
        <v/>
      </c>
      <c r="Z50" s="32">
        <f>IF($T50=0,0,IF(NOT(ISNUMBER($B50)),1,IF($B50&gt;Summary!$K$3,1,0)))</f>
        <v/>
      </c>
      <c r="AA50" s="32">
        <f>IF($T50=0,0,IF($F50="",IF(SUMPRODUCT(--(LOWER(LEFT($C50,LEN(People!$B$30:$B$36)+1))=LOWER(People!$B$30:$B$36)&amp;":"))&gt;0,3,0),IF(ISNA(MATCH($F50,People!$B$30:$B$36,0)),1,IF(LEN(INDEX(People!$C$30:$C$36,MATCH($F50,People!$B$30:$B$36,0))&amp;"")=0,2,IF(TRIM($D50)&lt;&gt;INDEX(People!$C$30:$C$36,MATCH($F50,People!$B$30:$B$36,0)),1,0)))))</f>
        <v/>
      </c>
      <c r="AB50" s="32">
        <f>IF(OR($T50=0,$I50=""),0,IF(OR($I50=$A50,COUNTIF($A$4:$A$153,$I50)=0),1,IF(INDEX($B$4:$B$153,MATCH($I50,$A$4:$A$153,0))&gt;$B50,1,0)))</f>
        <v/>
      </c>
      <c r="AC50" s="32">
        <f>IF(AND($V50=1,LEN(TRIM($G50))=0),1,0)</f>
        <v/>
      </c>
      <c r="AD50" s="32">
        <f>IF($T50=0,0,IFERROR(VALUE(MID($A50,4,9)),0))</f>
        <v/>
      </c>
    </row>
    <row r="51" ht="18" customHeight="1">
      <c r="A51" s="27" t="n"/>
      <c r="B51" s="28" t="n"/>
      <c r="C51" s="29" t="n"/>
      <c r="D51" s="29" t="n"/>
      <c r="E51" s="29" t="n"/>
      <c r="F51" s="29" t="n"/>
      <c r="G51" s="29" t="n"/>
      <c r="H51" s="29" t="n"/>
      <c r="I51" s="27" t="n"/>
      <c r="J51" s="30">
        <f>IF(OR($T51=0,$U51=0),"",INDEX($A$4:$A$153,MATCH($A51,$I$4:$I$153,0)))</f>
        <v/>
      </c>
      <c r="K51" s="31">
        <f>IF($T51=0,"",IF(COUNTIF($X51:$AC51,"&gt;0")=0,"○ Clear",TRIM("△ "&amp;COUNTIF($X51:$AC51,"&gt;0")&amp;IF(COUNTIF($X51:$AC51,"&gt;0")=1," problem: "," problems: ")&amp;IF($X51&gt;0,"Decided by needs one name from People, and a body needs members and a signer. ","")&amp;IF($Y51&gt;0,"Why or evidence needs the reason itself, in three words or more. ","")&amp;IF($Z51&gt;0,"Date needs the day it was decided, no later than As of. ","")&amp;IF($AA51=1,IF(ISNA(MATCH($F51,People!$B$30:$B$36,0)),"Gate isn't one of the gate names on People. ","People names "&amp;INDEX(People!$C$30:$C$36,MATCH($F51,People!$B$30:$B$36,0))&amp;" to decide "&amp;$F51&amp;". "),IF($AA51=2,"People names nobody to decide "&amp;$F51&amp;". ",IF($AA51=3,"The Decision opens with a gate's name, so pick that gate in Gate. ","")))&amp;IF($AB51&gt;0,"Replaces needs the Id of a row dated no later than this one. ","")&amp;IF($AC51&gt;0,"Record elsewhere needs the name of the record the other file keeps. ",""))))</f>
        <v/>
      </c>
      <c r="T51" s="32">
        <f>IF(COUNTA($A51:$I51)&gt;0,1,0)</f>
        <v/>
      </c>
      <c r="U51" s="32">
        <f>IF(OR($T51=0,$A51=""),0,IF(COUNTIF($I$4:$I$153,$A51)&gt;0,1,0))</f>
        <v/>
      </c>
      <c r="V51" s="32">
        <f>IF(AND($T51=1,$H51&lt;&gt;"",$H51&lt;&gt;"This log"),1,0)</f>
        <v/>
      </c>
      <c r="W51" s="26">
        <f>IF($T51=0,"",","&amp;SUBSTITUTE(SUBSTITUTE($G51&amp;","&amp;$F51," ",""),";",",")&amp;",")</f>
        <v/>
      </c>
      <c r="X51" s="32">
        <f>IF($T51=0,0,IF(LEN(TRIM($D51))=0,1,IF(COUNTIF(People!$D$6:$D$25,TRIM($D51))=0,1,IF(INDEX(People!$E$6:$E$25,MATCH(TRIM($D51),People!$D$6:$D$25,0))&lt;&gt;"Body",0,IF(OR(LEN(TRIM(INDEX(People!$F$6:$F$25,MATCH(TRIM($D51),People!$D$6:$D$25,0))))=0,LEN(TRIM(INDEX(People!$G$6:$G$25,MATCH(TRIM($D51),People!$D$6:$D$25,0))))=0),1,0)))))</f>
        <v/>
      </c>
      <c r="Y51" s="32">
        <f>IF($T51=0,0,IF(LEN(TRIM($E51))=0,1,IF(LEN(TRIM($E51))-LEN(SUBSTITUTE(TRIM($E51)," ",""))+1&lt;3,1,IF(SUMPRODUCT((People!$J$6:$J$12&lt;&gt;"")*(LEFT(LOWER(TRIM($E51))&amp;" ",LEN(People!$J$6:$J$12)+1)=LOWER(People!$J$6:$J$12)&amp;" "))&gt;0,1,0))))</f>
        <v/>
      </c>
      <c r="Z51" s="32">
        <f>IF($T51=0,0,IF(NOT(ISNUMBER($B51)),1,IF($B51&gt;Summary!$K$3,1,0)))</f>
        <v/>
      </c>
      <c r="AA51" s="32">
        <f>IF($T51=0,0,IF($F51="",IF(SUMPRODUCT(--(LOWER(LEFT($C51,LEN(People!$B$30:$B$36)+1))=LOWER(People!$B$30:$B$36)&amp;":"))&gt;0,3,0),IF(ISNA(MATCH($F51,People!$B$30:$B$36,0)),1,IF(LEN(INDEX(People!$C$30:$C$36,MATCH($F51,People!$B$30:$B$36,0))&amp;"")=0,2,IF(TRIM($D51)&lt;&gt;INDEX(People!$C$30:$C$36,MATCH($F51,People!$B$30:$B$36,0)),1,0)))))</f>
        <v/>
      </c>
      <c r="AB51" s="32">
        <f>IF(OR($T51=0,$I51=""),0,IF(OR($I51=$A51,COUNTIF($A$4:$A$153,$I51)=0),1,IF(INDEX($B$4:$B$153,MATCH($I51,$A$4:$A$153,0))&gt;$B51,1,0)))</f>
        <v/>
      </c>
      <c r="AC51" s="32">
        <f>IF(AND($V51=1,LEN(TRIM($G51))=0),1,0)</f>
        <v/>
      </c>
      <c r="AD51" s="32">
        <f>IF($T51=0,0,IFERROR(VALUE(MID($A51,4,9)),0))</f>
        <v/>
      </c>
    </row>
    <row r="52" ht="18" customHeight="1">
      <c r="A52" s="27" t="n"/>
      <c r="B52" s="28" t="n"/>
      <c r="C52" s="29" t="n"/>
      <c r="D52" s="29" t="n"/>
      <c r="E52" s="29" t="n"/>
      <c r="F52" s="29" t="n"/>
      <c r="G52" s="29" t="n"/>
      <c r="H52" s="29" t="n"/>
      <c r="I52" s="27" t="n"/>
      <c r="J52" s="30">
        <f>IF(OR($T52=0,$U52=0),"",INDEX($A$4:$A$153,MATCH($A52,$I$4:$I$153,0)))</f>
        <v/>
      </c>
      <c r="K52" s="31">
        <f>IF($T52=0,"",IF(COUNTIF($X52:$AC52,"&gt;0")=0,"○ Clear",TRIM("△ "&amp;COUNTIF($X52:$AC52,"&gt;0")&amp;IF(COUNTIF($X52:$AC52,"&gt;0")=1," problem: "," problems: ")&amp;IF($X52&gt;0,"Decided by needs one name from People, and a body needs members and a signer. ","")&amp;IF($Y52&gt;0,"Why or evidence needs the reason itself, in three words or more. ","")&amp;IF($Z52&gt;0,"Date needs the day it was decided, no later than As of. ","")&amp;IF($AA52=1,IF(ISNA(MATCH($F52,People!$B$30:$B$36,0)),"Gate isn't one of the gate names on People. ","People names "&amp;INDEX(People!$C$30:$C$36,MATCH($F52,People!$B$30:$B$36,0))&amp;" to decide "&amp;$F52&amp;". "),IF($AA52=2,"People names nobody to decide "&amp;$F52&amp;". ",IF($AA52=3,"The Decision opens with a gate's name, so pick that gate in Gate. ","")))&amp;IF($AB52&gt;0,"Replaces needs the Id of a row dated no later than this one. ","")&amp;IF($AC52&gt;0,"Record elsewhere needs the name of the record the other file keeps. ",""))))</f>
        <v/>
      </c>
      <c r="T52" s="32">
        <f>IF(COUNTA($A52:$I52)&gt;0,1,0)</f>
        <v/>
      </c>
      <c r="U52" s="32">
        <f>IF(OR($T52=0,$A52=""),0,IF(COUNTIF($I$4:$I$153,$A52)&gt;0,1,0))</f>
        <v/>
      </c>
      <c r="V52" s="32">
        <f>IF(AND($T52=1,$H52&lt;&gt;"",$H52&lt;&gt;"This log"),1,0)</f>
        <v/>
      </c>
      <c r="W52" s="26">
        <f>IF($T52=0,"",","&amp;SUBSTITUTE(SUBSTITUTE($G52&amp;","&amp;$F52," ",""),";",",")&amp;",")</f>
        <v/>
      </c>
      <c r="X52" s="32">
        <f>IF($T52=0,0,IF(LEN(TRIM($D52))=0,1,IF(COUNTIF(People!$D$6:$D$25,TRIM($D52))=0,1,IF(INDEX(People!$E$6:$E$25,MATCH(TRIM($D52),People!$D$6:$D$25,0))&lt;&gt;"Body",0,IF(OR(LEN(TRIM(INDEX(People!$F$6:$F$25,MATCH(TRIM($D52),People!$D$6:$D$25,0))))=0,LEN(TRIM(INDEX(People!$G$6:$G$25,MATCH(TRIM($D52),People!$D$6:$D$25,0))))=0),1,0)))))</f>
        <v/>
      </c>
      <c r="Y52" s="32">
        <f>IF($T52=0,0,IF(LEN(TRIM($E52))=0,1,IF(LEN(TRIM($E52))-LEN(SUBSTITUTE(TRIM($E52)," ",""))+1&lt;3,1,IF(SUMPRODUCT((People!$J$6:$J$12&lt;&gt;"")*(LEFT(LOWER(TRIM($E52))&amp;" ",LEN(People!$J$6:$J$12)+1)=LOWER(People!$J$6:$J$12)&amp;" "))&gt;0,1,0))))</f>
        <v/>
      </c>
      <c r="Z52" s="32">
        <f>IF($T52=0,0,IF(NOT(ISNUMBER($B52)),1,IF($B52&gt;Summary!$K$3,1,0)))</f>
        <v/>
      </c>
      <c r="AA52" s="32">
        <f>IF($T52=0,0,IF($F52="",IF(SUMPRODUCT(--(LOWER(LEFT($C52,LEN(People!$B$30:$B$36)+1))=LOWER(People!$B$30:$B$36)&amp;":"))&gt;0,3,0),IF(ISNA(MATCH($F52,People!$B$30:$B$36,0)),1,IF(LEN(INDEX(People!$C$30:$C$36,MATCH($F52,People!$B$30:$B$36,0))&amp;"")=0,2,IF(TRIM($D52)&lt;&gt;INDEX(People!$C$30:$C$36,MATCH($F52,People!$B$30:$B$36,0)),1,0)))))</f>
        <v/>
      </c>
      <c r="AB52" s="32">
        <f>IF(OR($T52=0,$I52=""),0,IF(OR($I52=$A52,COUNTIF($A$4:$A$153,$I52)=0),1,IF(INDEX($B$4:$B$153,MATCH($I52,$A$4:$A$153,0))&gt;$B52,1,0)))</f>
        <v/>
      </c>
      <c r="AC52" s="32">
        <f>IF(AND($V52=1,LEN(TRIM($G52))=0),1,0)</f>
        <v/>
      </c>
      <c r="AD52" s="32">
        <f>IF($T52=0,0,IFERROR(VALUE(MID($A52,4,9)),0))</f>
        <v/>
      </c>
    </row>
    <row r="53" ht="18" customHeight="1">
      <c r="A53" s="27" t="n"/>
      <c r="B53" s="28" t="n"/>
      <c r="C53" s="29" t="n"/>
      <c r="D53" s="29" t="n"/>
      <c r="E53" s="29" t="n"/>
      <c r="F53" s="29" t="n"/>
      <c r="G53" s="29" t="n"/>
      <c r="H53" s="29" t="n"/>
      <c r="I53" s="27" t="n"/>
      <c r="J53" s="30">
        <f>IF(OR($T53=0,$U53=0),"",INDEX($A$4:$A$153,MATCH($A53,$I$4:$I$153,0)))</f>
        <v/>
      </c>
      <c r="K53" s="31">
        <f>IF($T53=0,"",IF(COUNTIF($X53:$AC53,"&gt;0")=0,"○ Clear",TRIM("△ "&amp;COUNTIF($X53:$AC53,"&gt;0")&amp;IF(COUNTIF($X53:$AC53,"&gt;0")=1," problem: "," problems: ")&amp;IF($X53&gt;0,"Decided by needs one name from People, and a body needs members and a signer. ","")&amp;IF($Y53&gt;0,"Why or evidence needs the reason itself, in three words or more. ","")&amp;IF($Z53&gt;0,"Date needs the day it was decided, no later than As of. ","")&amp;IF($AA53=1,IF(ISNA(MATCH($F53,People!$B$30:$B$36,0)),"Gate isn't one of the gate names on People. ","People names "&amp;INDEX(People!$C$30:$C$36,MATCH($F53,People!$B$30:$B$36,0))&amp;" to decide "&amp;$F53&amp;". "),IF($AA53=2,"People names nobody to decide "&amp;$F53&amp;". ",IF($AA53=3,"The Decision opens with a gate's name, so pick that gate in Gate. ","")))&amp;IF($AB53&gt;0,"Replaces needs the Id of a row dated no later than this one. ","")&amp;IF($AC53&gt;0,"Record elsewhere needs the name of the record the other file keeps. ",""))))</f>
        <v/>
      </c>
      <c r="T53" s="32">
        <f>IF(COUNTA($A53:$I53)&gt;0,1,0)</f>
        <v/>
      </c>
      <c r="U53" s="32">
        <f>IF(OR($T53=0,$A53=""),0,IF(COUNTIF($I$4:$I$153,$A53)&gt;0,1,0))</f>
        <v/>
      </c>
      <c r="V53" s="32">
        <f>IF(AND($T53=1,$H53&lt;&gt;"",$H53&lt;&gt;"This log"),1,0)</f>
        <v/>
      </c>
      <c r="W53" s="26">
        <f>IF($T53=0,"",","&amp;SUBSTITUTE(SUBSTITUTE($G53&amp;","&amp;$F53," ",""),";",",")&amp;",")</f>
        <v/>
      </c>
      <c r="X53" s="32">
        <f>IF($T53=0,0,IF(LEN(TRIM($D53))=0,1,IF(COUNTIF(People!$D$6:$D$25,TRIM($D53))=0,1,IF(INDEX(People!$E$6:$E$25,MATCH(TRIM($D53),People!$D$6:$D$25,0))&lt;&gt;"Body",0,IF(OR(LEN(TRIM(INDEX(People!$F$6:$F$25,MATCH(TRIM($D53),People!$D$6:$D$25,0))))=0,LEN(TRIM(INDEX(People!$G$6:$G$25,MATCH(TRIM($D53),People!$D$6:$D$25,0))))=0),1,0)))))</f>
        <v/>
      </c>
      <c r="Y53" s="32">
        <f>IF($T53=0,0,IF(LEN(TRIM($E53))=0,1,IF(LEN(TRIM($E53))-LEN(SUBSTITUTE(TRIM($E53)," ",""))+1&lt;3,1,IF(SUMPRODUCT((People!$J$6:$J$12&lt;&gt;"")*(LEFT(LOWER(TRIM($E53))&amp;" ",LEN(People!$J$6:$J$12)+1)=LOWER(People!$J$6:$J$12)&amp;" "))&gt;0,1,0))))</f>
        <v/>
      </c>
      <c r="Z53" s="32">
        <f>IF($T53=0,0,IF(NOT(ISNUMBER($B53)),1,IF($B53&gt;Summary!$K$3,1,0)))</f>
        <v/>
      </c>
      <c r="AA53" s="32">
        <f>IF($T53=0,0,IF($F53="",IF(SUMPRODUCT(--(LOWER(LEFT($C53,LEN(People!$B$30:$B$36)+1))=LOWER(People!$B$30:$B$36)&amp;":"))&gt;0,3,0),IF(ISNA(MATCH($F53,People!$B$30:$B$36,0)),1,IF(LEN(INDEX(People!$C$30:$C$36,MATCH($F53,People!$B$30:$B$36,0))&amp;"")=0,2,IF(TRIM($D53)&lt;&gt;INDEX(People!$C$30:$C$36,MATCH($F53,People!$B$30:$B$36,0)),1,0)))))</f>
        <v/>
      </c>
      <c r="AB53" s="32">
        <f>IF(OR($T53=0,$I53=""),0,IF(OR($I53=$A53,COUNTIF($A$4:$A$153,$I53)=0),1,IF(INDEX($B$4:$B$153,MATCH($I53,$A$4:$A$153,0))&gt;$B53,1,0)))</f>
        <v/>
      </c>
      <c r="AC53" s="32">
        <f>IF(AND($V53=1,LEN(TRIM($G53))=0),1,0)</f>
        <v/>
      </c>
      <c r="AD53" s="32">
        <f>IF($T53=0,0,IFERROR(VALUE(MID($A53,4,9)),0))</f>
        <v/>
      </c>
    </row>
    <row r="54" ht="18" customHeight="1">
      <c r="A54" s="27" t="n"/>
      <c r="B54" s="28" t="n"/>
      <c r="C54" s="29" t="n"/>
      <c r="D54" s="29" t="n"/>
      <c r="E54" s="29" t="n"/>
      <c r="F54" s="29" t="n"/>
      <c r="G54" s="29" t="n"/>
      <c r="H54" s="29" t="n"/>
      <c r="I54" s="27" t="n"/>
      <c r="J54" s="30">
        <f>IF(OR($T54=0,$U54=0),"",INDEX($A$4:$A$153,MATCH($A54,$I$4:$I$153,0)))</f>
        <v/>
      </c>
      <c r="K54" s="31">
        <f>IF($T54=0,"",IF(COUNTIF($X54:$AC54,"&gt;0")=0,"○ Clear",TRIM("△ "&amp;COUNTIF($X54:$AC54,"&gt;0")&amp;IF(COUNTIF($X54:$AC54,"&gt;0")=1," problem: "," problems: ")&amp;IF($X54&gt;0,"Decided by needs one name from People, and a body needs members and a signer. ","")&amp;IF($Y54&gt;0,"Why or evidence needs the reason itself, in three words or more. ","")&amp;IF($Z54&gt;0,"Date needs the day it was decided, no later than As of. ","")&amp;IF($AA54=1,IF(ISNA(MATCH($F54,People!$B$30:$B$36,0)),"Gate isn't one of the gate names on People. ","People names "&amp;INDEX(People!$C$30:$C$36,MATCH($F54,People!$B$30:$B$36,0))&amp;" to decide "&amp;$F54&amp;". "),IF($AA54=2,"People names nobody to decide "&amp;$F54&amp;". ",IF($AA54=3,"The Decision opens with a gate's name, so pick that gate in Gate. ","")))&amp;IF($AB54&gt;0,"Replaces needs the Id of a row dated no later than this one. ","")&amp;IF($AC54&gt;0,"Record elsewhere needs the name of the record the other file keeps. ",""))))</f>
        <v/>
      </c>
      <c r="T54" s="32">
        <f>IF(COUNTA($A54:$I54)&gt;0,1,0)</f>
        <v/>
      </c>
      <c r="U54" s="32">
        <f>IF(OR($T54=0,$A54=""),0,IF(COUNTIF($I$4:$I$153,$A54)&gt;0,1,0))</f>
        <v/>
      </c>
      <c r="V54" s="32">
        <f>IF(AND($T54=1,$H54&lt;&gt;"",$H54&lt;&gt;"This log"),1,0)</f>
        <v/>
      </c>
      <c r="W54" s="26">
        <f>IF($T54=0,"",","&amp;SUBSTITUTE(SUBSTITUTE($G54&amp;","&amp;$F54," ",""),";",",")&amp;",")</f>
        <v/>
      </c>
      <c r="X54" s="32">
        <f>IF($T54=0,0,IF(LEN(TRIM($D54))=0,1,IF(COUNTIF(People!$D$6:$D$25,TRIM($D54))=0,1,IF(INDEX(People!$E$6:$E$25,MATCH(TRIM($D54),People!$D$6:$D$25,0))&lt;&gt;"Body",0,IF(OR(LEN(TRIM(INDEX(People!$F$6:$F$25,MATCH(TRIM($D54),People!$D$6:$D$25,0))))=0,LEN(TRIM(INDEX(People!$G$6:$G$25,MATCH(TRIM($D54),People!$D$6:$D$25,0))))=0),1,0)))))</f>
        <v/>
      </c>
      <c r="Y54" s="32">
        <f>IF($T54=0,0,IF(LEN(TRIM($E54))=0,1,IF(LEN(TRIM($E54))-LEN(SUBSTITUTE(TRIM($E54)," ",""))+1&lt;3,1,IF(SUMPRODUCT((People!$J$6:$J$12&lt;&gt;"")*(LEFT(LOWER(TRIM($E54))&amp;" ",LEN(People!$J$6:$J$12)+1)=LOWER(People!$J$6:$J$12)&amp;" "))&gt;0,1,0))))</f>
        <v/>
      </c>
      <c r="Z54" s="32">
        <f>IF($T54=0,0,IF(NOT(ISNUMBER($B54)),1,IF($B54&gt;Summary!$K$3,1,0)))</f>
        <v/>
      </c>
      <c r="AA54" s="32">
        <f>IF($T54=0,0,IF($F54="",IF(SUMPRODUCT(--(LOWER(LEFT($C54,LEN(People!$B$30:$B$36)+1))=LOWER(People!$B$30:$B$36)&amp;":"))&gt;0,3,0),IF(ISNA(MATCH($F54,People!$B$30:$B$36,0)),1,IF(LEN(INDEX(People!$C$30:$C$36,MATCH($F54,People!$B$30:$B$36,0))&amp;"")=0,2,IF(TRIM($D54)&lt;&gt;INDEX(People!$C$30:$C$36,MATCH($F54,People!$B$30:$B$36,0)),1,0)))))</f>
        <v/>
      </c>
      <c r="AB54" s="32">
        <f>IF(OR($T54=0,$I54=""),0,IF(OR($I54=$A54,COUNTIF($A$4:$A$153,$I54)=0),1,IF(INDEX($B$4:$B$153,MATCH($I54,$A$4:$A$153,0))&gt;$B54,1,0)))</f>
        <v/>
      </c>
      <c r="AC54" s="32">
        <f>IF(AND($V54=1,LEN(TRIM($G54))=0),1,0)</f>
        <v/>
      </c>
      <c r="AD54" s="32">
        <f>IF($T54=0,0,IFERROR(VALUE(MID($A54,4,9)),0))</f>
        <v/>
      </c>
    </row>
    <row r="55" ht="18" customHeight="1">
      <c r="A55" s="27" t="n"/>
      <c r="B55" s="28" t="n"/>
      <c r="C55" s="29" t="n"/>
      <c r="D55" s="29" t="n"/>
      <c r="E55" s="29" t="n"/>
      <c r="F55" s="29" t="n"/>
      <c r="G55" s="29" t="n"/>
      <c r="H55" s="29" t="n"/>
      <c r="I55" s="27" t="n"/>
      <c r="J55" s="30">
        <f>IF(OR($T55=0,$U55=0),"",INDEX($A$4:$A$153,MATCH($A55,$I$4:$I$153,0)))</f>
        <v/>
      </c>
      <c r="K55" s="31">
        <f>IF($T55=0,"",IF(COUNTIF($X55:$AC55,"&gt;0")=0,"○ Clear",TRIM("△ "&amp;COUNTIF($X55:$AC55,"&gt;0")&amp;IF(COUNTIF($X55:$AC55,"&gt;0")=1," problem: "," problems: ")&amp;IF($X55&gt;0,"Decided by needs one name from People, and a body needs members and a signer. ","")&amp;IF($Y55&gt;0,"Why or evidence needs the reason itself, in three words or more. ","")&amp;IF($Z55&gt;0,"Date needs the day it was decided, no later than As of. ","")&amp;IF($AA55=1,IF(ISNA(MATCH($F55,People!$B$30:$B$36,0)),"Gate isn't one of the gate names on People. ","People names "&amp;INDEX(People!$C$30:$C$36,MATCH($F55,People!$B$30:$B$36,0))&amp;" to decide "&amp;$F55&amp;". "),IF($AA55=2,"People names nobody to decide "&amp;$F55&amp;". ",IF($AA55=3,"The Decision opens with a gate's name, so pick that gate in Gate. ","")))&amp;IF($AB55&gt;0,"Replaces needs the Id of a row dated no later than this one. ","")&amp;IF($AC55&gt;0,"Record elsewhere needs the name of the record the other file keeps. ",""))))</f>
        <v/>
      </c>
      <c r="T55" s="32">
        <f>IF(COUNTA($A55:$I55)&gt;0,1,0)</f>
        <v/>
      </c>
      <c r="U55" s="32">
        <f>IF(OR($T55=0,$A55=""),0,IF(COUNTIF($I$4:$I$153,$A55)&gt;0,1,0))</f>
        <v/>
      </c>
      <c r="V55" s="32">
        <f>IF(AND($T55=1,$H55&lt;&gt;"",$H55&lt;&gt;"This log"),1,0)</f>
        <v/>
      </c>
      <c r="W55" s="26">
        <f>IF($T55=0,"",","&amp;SUBSTITUTE(SUBSTITUTE($G55&amp;","&amp;$F55," ",""),";",",")&amp;",")</f>
        <v/>
      </c>
      <c r="X55" s="32">
        <f>IF($T55=0,0,IF(LEN(TRIM($D55))=0,1,IF(COUNTIF(People!$D$6:$D$25,TRIM($D55))=0,1,IF(INDEX(People!$E$6:$E$25,MATCH(TRIM($D55),People!$D$6:$D$25,0))&lt;&gt;"Body",0,IF(OR(LEN(TRIM(INDEX(People!$F$6:$F$25,MATCH(TRIM($D55),People!$D$6:$D$25,0))))=0,LEN(TRIM(INDEX(People!$G$6:$G$25,MATCH(TRIM($D55),People!$D$6:$D$25,0))))=0),1,0)))))</f>
        <v/>
      </c>
      <c r="Y55" s="32">
        <f>IF($T55=0,0,IF(LEN(TRIM($E55))=0,1,IF(LEN(TRIM($E55))-LEN(SUBSTITUTE(TRIM($E55)," ",""))+1&lt;3,1,IF(SUMPRODUCT((People!$J$6:$J$12&lt;&gt;"")*(LEFT(LOWER(TRIM($E55))&amp;" ",LEN(People!$J$6:$J$12)+1)=LOWER(People!$J$6:$J$12)&amp;" "))&gt;0,1,0))))</f>
        <v/>
      </c>
      <c r="Z55" s="32">
        <f>IF($T55=0,0,IF(NOT(ISNUMBER($B55)),1,IF($B55&gt;Summary!$K$3,1,0)))</f>
        <v/>
      </c>
      <c r="AA55" s="32">
        <f>IF($T55=0,0,IF($F55="",IF(SUMPRODUCT(--(LOWER(LEFT($C55,LEN(People!$B$30:$B$36)+1))=LOWER(People!$B$30:$B$36)&amp;":"))&gt;0,3,0),IF(ISNA(MATCH($F55,People!$B$30:$B$36,0)),1,IF(LEN(INDEX(People!$C$30:$C$36,MATCH($F55,People!$B$30:$B$36,0))&amp;"")=0,2,IF(TRIM($D55)&lt;&gt;INDEX(People!$C$30:$C$36,MATCH($F55,People!$B$30:$B$36,0)),1,0)))))</f>
        <v/>
      </c>
      <c r="AB55" s="32">
        <f>IF(OR($T55=0,$I55=""),0,IF(OR($I55=$A55,COUNTIF($A$4:$A$153,$I55)=0),1,IF(INDEX($B$4:$B$153,MATCH($I55,$A$4:$A$153,0))&gt;$B55,1,0)))</f>
        <v/>
      </c>
      <c r="AC55" s="32">
        <f>IF(AND($V55=1,LEN(TRIM($G55))=0),1,0)</f>
        <v/>
      </c>
      <c r="AD55" s="32">
        <f>IF($T55=0,0,IFERROR(VALUE(MID($A55,4,9)),0))</f>
        <v/>
      </c>
    </row>
    <row r="56" ht="18" customHeight="1">
      <c r="A56" s="27" t="n"/>
      <c r="B56" s="28" t="n"/>
      <c r="C56" s="29" t="n"/>
      <c r="D56" s="29" t="n"/>
      <c r="E56" s="29" t="n"/>
      <c r="F56" s="29" t="n"/>
      <c r="G56" s="29" t="n"/>
      <c r="H56" s="29" t="n"/>
      <c r="I56" s="27" t="n"/>
      <c r="J56" s="30">
        <f>IF(OR($T56=0,$U56=0),"",INDEX($A$4:$A$153,MATCH($A56,$I$4:$I$153,0)))</f>
        <v/>
      </c>
      <c r="K56" s="31">
        <f>IF($T56=0,"",IF(COUNTIF($X56:$AC56,"&gt;0")=0,"○ Clear",TRIM("△ "&amp;COUNTIF($X56:$AC56,"&gt;0")&amp;IF(COUNTIF($X56:$AC56,"&gt;0")=1," problem: "," problems: ")&amp;IF($X56&gt;0,"Decided by needs one name from People, and a body needs members and a signer. ","")&amp;IF($Y56&gt;0,"Why or evidence needs the reason itself, in three words or more. ","")&amp;IF($Z56&gt;0,"Date needs the day it was decided, no later than As of. ","")&amp;IF($AA56=1,IF(ISNA(MATCH($F56,People!$B$30:$B$36,0)),"Gate isn't one of the gate names on People. ","People names "&amp;INDEX(People!$C$30:$C$36,MATCH($F56,People!$B$30:$B$36,0))&amp;" to decide "&amp;$F56&amp;". "),IF($AA56=2,"People names nobody to decide "&amp;$F56&amp;". ",IF($AA56=3,"The Decision opens with a gate's name, so pick that gate in Gate. ","")))&amp;IF($AB56&gt;0,"Replaces needs the Id of a row dated no later than this one. ","")&amp;IF($AC56&gt;0,"Record elsewhere needs the name of the record the other file keeps. ",""))))</f>
        <v/>
      </c>
      <c r="T56" s="32">
        <f>IF(COUNTA($A56:$I56)&gt;0,1,0)</f>
        <v/>
      </c>
      <c r="U56" s="32">
        <f>IF(OR($T56=0,$A56=""),0,IF(COUNTIF($I$4:$I$153,$A56)&gt;0,1,0))</f>
        <v/>
      </c>
      <c r="V56" s="32">
        <f>IF(AND($T56=1,$H56&lt;&gt;"",$H56&lt;&gt;"This log"),1,0)</f>
        <v/>
      </c>
      <c r="W56" s="26">
        <f>IF($T56=0,"",","&amp;SUBSTITUTE(SUBSTITUTE($G56&amp;","&amp;$F56," ",""),";",",")&amp;",")</f>
        <v/>
      </c>
      <c r="X56" s="32">
        <f>IF($T56=0,0,IF(LEN(TRIM($D56))=0,1,IF(COUNTIF(People!$D$6:$D$25,TRIM($D56))=0,1,IF(INDEX(People!$E$6:$E$25,MATCH(TRIM($D56),People!$D$6:$D$25,0))&lt;&gt;"Body",0,IF(OR(LEN(TRIM(INDEX(People!$F$6:$F$25,MATCH(TRIM($D56),People!$D$6:$D$25,0))))=0,LEN(TRIM(INDEX(People!$G$6:$G$25,MATCH(TRIM($D56),People!$D$6:$D$25,0))))=0),1,0)))))</f>
        <v/>
      </c>
      <c r="Y56" s="32">
        <f>IF($T56=0,0,IF(LEN(TRIM($E56))=0,1,IF(LEN(TRIM($E56))-LEN(SUBSTITUTE(TRIM($E56)," ",""))+1&lt;3,1,IF(SUMPRODUCT((People!$J$6:$J$12&lt;&gt;"")*(LEFT(LOWER(TRIM($E56))&amp;" ",LEN(People!$J$6:$J$12)+1)=LOWER(People!$J$6:$J$12)&amp;" "))&gt;0,1,0))))</f>
        <v/>
      </c>
      <c r="Z56" s="32">
        <f>IF($T56=0,0,IF(NOT(ISNUMBER($B56)),1,IF($B56&gt;Summary!$K$3,1,0)))</f>
        <v/>
      </c>
      <c r="AA56" s="32">
        <f>IF($T56=0,0,IF($F56="",IF(SUMPRODUCT(--(LOWER(LEFT($C56,LEN(People!$B$30:$B$36)+1))=LOWER(People!$B$30:$B$36)&amp;":"))&gt;0,3,0),IF(ISNA(MATCH($F56,People!$B$30:$B$36,0)),1,IF(LEN(INDEX(People!$C$30:$C$36,MATCH($F56,People!$B$30:$B$36,0))&amp;"")=0,2,IF(TRIM($D56)&lt;&gt;INDEX(People!$C$30:$C$36,MATCH($F56,People!$B$30:$B$36,0)),1,0)))))</f>
        <v/>
      </c>
      <c r="AB56" s="32">
        <f>IF(OR($T56=0,$I56=""),0,IF(OR($I56=$A56,COUNTIF($A$4:$A$153,$I56)=0),1,IF(INDEX($B$4:$B$153,MATCH($I56,$A$4:$A$153,0))&gt;$B56,1,0)))</f>
        <v/>
      </c>
      <c r="AC56" s="32">
        <f>IF(AND($V56=1,LEN(TRIM($G56))=0),1,0)</f>
        <v/>
      </c>
      <c r="AD56" s="32">
        <f>IF($T56=0,0,IFERROR(VALUE(MID($A56,4,9)),0))</f>
        <v/>
      </c>
    </row>
    <row r="57" ht="18" customHeight="1">
      <c r="A57" s="27" t="n"/>
      <c r="B57" s="28" t="n"/>
      <c r="C57" s="29" t="n"/>
      <c r="D57" s="29" t="n"/>
      <c r="E57" s="29" t="n"/>
      <c r="F57" s="29" t="n"/>
      <c r="G57" s="29" t="n"/>
      <c r="H57" s="29" t="n"/>
      <c r="I57" s="27" t="n"/>
      <c r="J57" s="30">
        <f>IF(OR($T57=0,$U57=0),"",INDEX($A$4:$A$153,MATCH($A57,$I$4:$I$153,0)))</f>
        <v/>
      </c>
      <c r="K57" s="31">
        <f>IF($T57=0,"",IF(COUNTIF($X57:$AC57,"&gt;0")=0,"○ Clear",TRIM("△ "&amp;COUNTIF($X57:$AC57,"&gt;0")&amp;IF(COUNTIF($X57:$AC57,"&gt;0")=1," problem: "," problems: ")&amp;IF($X57&gt;0,"Decided by needs one name from People, and a body needs members and a signer. ","")&amp;IF($Y57&gt;0,"Why or evidence needs the reason itself, in three words or more. ","")&amp;IF($Z57&gt;0,"Date needs the day it was decided, no later than As of. ","")&amp;IF($AA57=1,IF(ISNA(MATCH($F57,People!$B$30:$B$36,0)),"Gate isn't one of the gate names on People. ","People names "&amp;INDEX(People!$C$30:$C$36,MATCH($F57,People!$B$30:$B$36,0))&amp;" to decide "&amp;$F57&amp;". "),IF($AA57=2,"People names nobody to decide "&amp;$F57&amp;". ",IF($AA57=3,"The Decision opens with a gate's name, so pick that gate in Gate. ","")))&amp;IF($AB57&gt;0,"Replaces needs the Id of a row dated no later than this one. ","")&amp;IF($AC57&gt;0,"Record elsewhere needs the name of the record the other file keeps. ",""))))</f>
        <v/>
      </c>
      <c r="T57" s="32">
        <f>IF(COUNTA($A57:$I57)&gt;0,1,0)</f>
        <v/>
      </c>
      <c r="U57" s="32">
        <f>IF(OR($T57=0,$A57=""),0,IF(COUNTIF($I$4:$I$153,$A57)&gt;0,1,0))</f>
        <v/>
      </c>
      <c r="V57" s="32">
        <f>IF(AND($T57=1,$H57&lt;&gt;"",$H57&lt;&gt;"This log"),1,0)</f>
        <v/>
      </c>
      <c r="W57" s="26">
        <f>IF($T57=0,"",","&amp;SUBSTITUTE(SUBSTITUTE($G57&amp;","&amp;$F57," ",""),";",",")&amp;",")</f>
        <v/>
      </c>
      <c r="X57" s="32">
        <f>IF($T57=0,0,IF(LEN(TRIM($D57))=0,1,IF(COUNTIF(People!$D$6:$D$25,TRIM($D57))=0,1,IF(INDEX(People!$E$6:$E$25,MATCH(TRIM($D57),People!$D$6:$D$25,0))&lt;&gt;"Body",0,IF(OR(LEN(TRIM(INDEX(People!$F$6:$F$25,MATCH(TRIM($D57),People!$D$6:$D$25,0))))=0,LEN(TRIM(INDEX(People!$G$6:$G$25,MATCH(TRIM($D57),People!$D$6:$D$25,0))))=0),1,0)))))</f>
        <v/>
      </c>
      <c r="Y57" s="32">
        <f>IF($T57=0,0,IF(LEN(TRIM($E57))=0,1,IF(LEN(TRIM($E57))-LEN(SUBSTITUTE(TRIM($E57)," ",""))+1&lt;3,1,IF(SUMPRODUCT((People!$J$6:$J$12&lt;&gt;"")*(LEFT(LOWER(TRIM($E57))&amp;" ",LEN(People!$J$6:$J$12)+1)=LOWER(People!$J$6:$J$12)&amp;" "))&gt;0,1,0))))</f>
        <v/>
      </c>
      <c r="Z57" s="32">
        <f>IF($T57=0,0,IF(NOT(ISNUMBER($B57)),1,IF($B57&gt;Summary!$K$3,1,0)))</f>
        <v/>
      </c>
      <c r="AA57" s="32">
        <f>IF($T57=0,0,IF($F57="",IF(SUMPRODUCT(--(LOWER(LEFT($C57,LEN(People!$B$30:$B$36)+1))=LOWER(People!$B$30:$B$36)&amp;":"))&gt;0,3,0),IF(ISNA(MATCH($F57,People!$B$30:$B$36,0)),1,IF(LEN(INDEX(People!$C$30:$C$36,MATCH($F57,People!$B$30:$B$36,0))&amp;"")=0,2,IF(TRIM($D57)&lt;&gt;INDEX(People!$C$30:$C$36,MATCH($F57,People!$B$30:$B$36,0)),1,0)))))</f>
        <v/>
      </c>
      <c r="AB57" s="32">
        <f>IF(OR($T57=0,$I57=""),0,IF(OR($I57=$A57,COUNTIF($A$4:$A$153,$I57)=0),1,IF(INDEX($B$4:$B$153,MATCH($I57,$A$4:$A$153,0))&gt;$B57,1,0)))</f>
        <v/>
      </c>
      <c r="AC57" s="32">
        <f>IF(AND($V57=1,LEN(TRIM($G57))=0),1,0)</f>
        <v/>
      </c>
      <c r="AD57" s="32">
        <f>IF($T57=0,0,IFERROR(VALUE(MID($A57,4,9)),0))</f>
        <v/>
      </c>
    </row>
    <row r="58" ht="18" customHeight="1">
      <c r="A58" s="27" t="n"/>
      <c r="B58" s="28" t="n"/>
      <c r="C58" s="29" t="n"/>
      <c r="D58" s="29" t="n"/>
      <c r="E58" s="29" t="n"/>
      <c r="F58" s="29" t="n"/>
      <c r="G58" s="29" t="n"/>
      <c r="H58" s="29" t="n"/>
      <c r="I58" s="27" t="n"/>
      <c r="J58" s="30">
        <f>IF(OR($T58=0,$U58=0),"",INDEX($A$4:$A$153,MATCH($A58,$I$4:$I$153,0)))</f>
        <v/>
      </c>
      <c r="K58" s="31">
        <f>IF($T58=0,"",IF(COUNTIF($X58:$AC58,"&gt;0")=0,"○ Clear",TRIM("△ "&amp;COUNTIF($X58:$AC58,"&gt;0")&amp;IF(COUNTIF($X58:$AC58,"&gt;0")=1," problem: "," problems: ")&amp;IF($X58&gt;0,"Decided by needs one name from People, and a body needs members and a signer. ","")&amp;IF($Y58&gt;0,"Why or evidence needs the reason itself, in three words or more. ","")&amp;IF($Z58&gt;0,"Date needs the day it was decided, no later than As of. ","")&amp;IF($AA58=1,IF(ISNA(MATCH($F58,People!$B$30:$B$36,0)),"Gate isn't one of the gate names on People. ","People names "&amp;INDEX(People!$C$30:$C$36,MATCH($F58,People!$B$30:$B$36,0))&amp;" to decide "&amp;$F58&amp;". "),IF($AA58=2,"People names nobody to decide "&amp;$F58&amp;". ",IF($AA58=3,"The Decision opens with a gate's name, so pick that gate in Gate. ","")))&amp;IF($AB58&gt;0,"Replaces needs the Id of a row dated no later than this one. ","")&amp;IF($AC58&gt;0,"Record elsewhere needs the name of the record the other file keeps. ",""))))</f>
        <v/>
      </c>
      <c r="T58" s="32">
        <f>IF(COUNTA($A58:$I58)&gt;0,1,0)</f>
        <v/>
      </c>
      <c r="U58" s="32">
        <f>IF(OR($T58=0,$A58=""),0,IF(COUNTIF($I$4:$I$153,$A58)&gt;0,1,0))</f>
        <v/>
      </c>
      <c r="V58" s="32">
        <f>IF(AND($T58=1,$H58&lt;&gt;"",$H58&lt;&gt;"This log"),1,0)</f>
        <v/>
      </c>
      <c r="W58" s="26">
        <f>IF($T58=0,"",","&amp;SUBSTITUTE(SUBSTITUTE($G58&amp;","&amp;$F58," ",""),";",",")&amp;",")</f>
        <v/>
      </c>
      <c r="X58" s="32">
        <f>IF($T58=0,0,IF(LEN(TRIM($D58))=0,1,IF(COUNTIF(People!$D$6:$D$25,TRIM($D58))=0,1,IF(INDEX(People!$E$6:$E$25,MATCH(TRIM($D58),People!$D$6:$D$25,0))&lt;&gt;"Body",0,IF(OR(LEN(TRIM(INDEX(People!$F$6:$F$25,MATCH(TRIM($D58),People!$D$6:$D$25,0))))=0,LEN(TRIM(INDEX(People!$G$6:$G$25,MATCH(TRIM($D58),People!$D$6:$D$25,0))))=0),1,0)))))</f>
        <v/>
      </c>
      <c r="Y58" s="32">
        <f>IF($T58=0,0,IF(LEN(TRIM($E58))=0,1,IF(LEN(TRIM($E58))-LEN(SUBSTITUTE(TRIM($E58)," ",""))+1&lt;3,1,IF(SUMPRODUCT((People!$J$6:$J$12&lt;&gt;"")*(LEFT(LOWER(TRIM($E58))&amp;" ",LEN(People!$J$6:$J$12)+1)=LOWER(People!$J$6:$J$12)&amp;" "))&gt;0,1,0))))</f>
        <v/>
      </c>
      <c r="Z58" s="32">
        <f>IF($T58=0,0,IF(NOT(ISNUMBER($B58)),1,IF($B58&gt;Summary!$K$3,1,0)))</f>
        <v/>
      </c>
      <c r="AA58" s="32">
        <f>IF($T58=0,0,IF($F58="",IF(SUMPRODUCT(--(LOWER(LEFT($C58,LEN(People!$B$30:$B$36)+1))=LOWER(People!$B$30:$B$36)&amp;":"))&gt;0,3,0),IF(ISNA(MATCH($F58,People!$B$30:$B$36,0)),1,IF(LEN(INDEX(People!$C$30:$C$36,MATCH($F58,People!$B$30:$B$36,0))&amp;"")=0,2,IF(TRIM($D58)&lt;&gt;INDEX(People!$C$30:$C$36,MATCH($F58,People!$B$30:$B$36,0)),1,0)))))</f>
        <v/>
      </c>
      <c r="AB58" s="32">
        <f>IF(OR($T58=0,$I58=""),0,IF(OR($I58=$A58,COUNTIF($A$4:$A$153,$I58)=0),1,IF(INDEX($B$4:$B$153,MATCH($I58,$A$4:$A$153,0))&gt;$B58,1,0)))</f>
        <v/>
      </c>
      <c r="AC58" s="32">
        <f>IF(AND($V58=1,LEN(TRIM($G58))=0),1,0)</f>
        <v/>
      </c>
      <c r="AD58" s="32">
        <f>IF($T58=0,0,IFERROR(VALUE(MID($A58,4,9)),0))</f>
        <v/>
      </c>
    </row>
    <row r="59" ht="18" customHeight="1">
      <c r="A59" s="27" t="n"/>
      <c r="B59" s="28" t="n"/>
      <c r="C59" s="29" t="n"/>
      <c r="D59" s="29" t="n"/>
      <c r="E59" s="29" t="n"/>
      <c r="F59" s="29" t="n"/>
      <c r="G59" s="29" t="n"/>
      <c r="H59" s="29" t="n"/>
      <c r="I59" s="27" t="n"/>
      <c r="J59" s="30">
        <f>IF(OR($T59=0,$U59=0),"",INDEX($A$4:$A$153,MATCH($A59,$I$4:$I$153,0)))</f>
        <v/>
      </c>
      <c r="K59" s="31">
        <f>IF($T59=0,"",IF(COUNTIF($X59:$AC59,"&gt;0")=0,"○ Clear",TRIM("△ "&amp;COUNTIF($X59:$AC59,"&gt;0")&amp;IF(COUNTIF($X59:$AC59,"&gt;0")=1," problem: "," problems: ")&amp;IF($X59&gt;0,"Decided by needs one name from People, and a body needs members and a signer. ","")&amp;IF($Y59&gt;0,"Why or evidence needs the reason itself, in three words or more. ","")&amp;IF($Z59&gt;0,"Date needs the day it was decided, no later than As of. ","")&amp;IF($AA59=1,IF(ISNA(MATCH($F59,People!$B$30:$B$36,0)),"Gate isn't one of the gate names on People. ","People names "&amp;INDEX(People!$C$30:$C$36,MATCH($F59,People!$B$30:$B$36,0))&amp;" to decide "&amp;$F59&amp;". "),IF($AA59=2,"People names nobody to decide "&amp;$F59&amp;". ",IF($AA59=3,"The Decision opens with a gate's name, so pick that gate in Gate. ","")))&amp;IF($AB59&gt;0,"Replaces needs the Id of a row dated no later than this one. ","")&amp;IF($AC59&gt;0,"Record elsewhere needs the name of the record the other file keeps. ",""))))</f>
        <v/>
      </c>
      <c r="T59" s="32">
        <f>IF(COUNTA($A59:$I59)&gt;0,1,0)</f>
        <v/>
      </c>
      <c r="U59" s="32">
        <f>IF(OR($T59=0,$A59=""),0,IF(COUNTIF($I$4:$I$153,$A59)&gt;0,1,0))</f>
        <v/>
      </c>
      <c r="V59" s="32">
        <f>IF(AND($T59=1,$H59&lt;&gt;"",$H59&lt;&gt;"This log"),1,0)</f>
        <v/>
      </c>
      <c r="W59" s="26">
        <f>IF($T59=0,"",","&amp;SUBSTITUTE(SUBSTITUTE($G59&amp;","&amp;$F59," ",""),";",",")&amp;",")</f>
        <v/>
      </c>
      <c r="X59" s="32">
        <f>IF($T59=0,0,IF(LEN(TRIM($D59))=0,1,IF(COUNTIF(People!$D$6:$D$25,TRIM($D59))=0,1,IF(INDEX(People!$E$6:$E$25,MATCH(TRIM($D59),People!$D$6:$D$25,0))&lt;&gt;"Body",0,IF(OR(LEN(TRIM(INDEX(People!$F$6:$F$25,MATCH(TRIM($D59),People!$D$6:$D$25,0))))=0,LEN(TRIM(INDEX(People!$G$6:$G$25,MATCH(TRIM($D59),People!$D$6:$D$25,0))))=0),1,0)))))</f>
        <v/>
      </c>
      <c r="Y59" s="32">
        <f>IF($T59=0,0,IF(LEN(TRIM($E59))=0,1,IF(LEN(TRIM($E59))-LEN(SUBSTITUTE(TRIM($E59)," ",""))+1&lt;3,1,IF(SUMPRODUCT((People!$J$6:$J$12&lt;&gt;"")*(LEFT(LOWER(TRIM($E59))&amp;" ",LEN(People!$J$6:$J$12)+1)=LOWER(People!$J$6:$J$12)&amp;" "))&gt;0,1,0))))</f>
        <v/>
      </c>
      <c r="Z59" s="32">
        <f>IF($T59=0,0,IF(NOT(ISNUMBER($B59)),1,IF($B59&gt;Summary!$K$3,1,0)))</f>
        <v/>
      </c>
      <c r="AA59" s="32">
        <f>IF($T59=0,0,IF($F59="",IF(SUMPRODUCT(--(LOWER(LEFT($C59,LEN(People!$B$30:$B$36)+1))=LOWER(People!$B$30:$B$36)&amp;":"))&gt;0,3,0),IF(ISNA(MATCH($F59,People!$B$30:$B$36,0)),1,IF(LEN(INDEX(People!$C$30:$C$36,MATCH($F59,People!$B$30:$B$36,0))&amp;"")=0,2,IF(TRIM($D59)&lt;&gt;INDEX(People!$C$30:$C$36,MATCH($F59,People!$B$30:$B$36,0)),1,0)))))</f>
        <v/>
      </c>
      <c r="AB59" s="32">
        <f>IF(OR($T59=0,$I59=""),0,IF(OR($I59=$A59,COUNTIF($A$4:$A$153,$I59)=0),1,IF(INDEX($B$4:$B$153,MATCH($I59,$A$4:$A$153,0))&gt;$B59,1,0)))</f>
        <v/>
      </c>
      <c r="AC59" s="32">
        <f>IF(AND($V59=1,LEN(TRIM($G59))=0),1,0)</f>
        <v/>
      </c>
      <c r="AD59" s="32">
        <f>IF($T59=0,0,IFERROR(VALUE(MID($A59,4,9)),0))</f>
        <v/>
      </c>
    </row>
    <row r="60" ht="18" customHeight="1">
      <c r="A60" s="27" t="n"/>
      <c r="B60" s="28" t="n"/>
      <c r="C60" s="29" t="n"/>
      <c r="D60" s="29" t="n"/>
      <c r="E60" s="29" t="n"/>
      <c r="F60" s="29" t="n"/>
      <c r="G60" s="29" t="n"/>
      <c r="H60" s="29" t="n"/>
      <c r="I60" s="27" t="n"/>
      <c r="J60" s="30">
        <f>IF(OR($T60=0,$U60=0),"",INDEX($A$4:$A$153,MATCH($A60,$I$4:$I$153,0)))</f>
        <v/>
      </c>
      <c r="K60" s="31">
        <f>IF($T60=0,"",IF(COUNTIF($X60:$AC60,"&gt;0")=0,"○ Clear",TRIM("△ "&amp;COUNTIF($X60:$AC60,"&gt;0")&amp;IF(COUNTIF($X60:$AC60,"&gt;0")=1," problem: "," problems: ")&amp;IF($X60&gt;0,"Decided by needs one name from People, and a body needs members and a signer. ","")&amp;IF($Y60&gt;0,"Why or evidence needs the reason itself, in three words or more. ","")&amp;IF($Z60&gt;0,"Date needs the day it was decided, no later than As of. ","")&amp;IF($AA60=1,IF(ISNA(MATCH($F60,People!$B$30:$B$36,0)),"Gate isn't one of the gate names on People. ","People names "&amp;INDEX(People!$C$30:$C$36,MATCH($F60,People!$B$30:$B$36,0))&amp;" to decide "&amp;$F60&amp;". "),IF($AA60=2,"People names nobody to decide "&amp;$F60&amp;". ",IF($AA60=3,"The Decision opens with a gate's name, so pick that gate in Gate. ","")))&amp;IF($AB60&gt;0,"Replaces needs the Id of a row dated no later than this one. ","")&amp;IF($AC60&gt;0,"Record elsewhere needs the name of the record the other file keeps. ",""))))</f>
        <v/>
      </c>
      <c r="T60" s="32">
        <f>IF(COUNTA($A60:$I60)&gt;0,1,0)</f>
        <v/>
      </c>
      <c r="U60" s="32">
        <f>IF(OR($T60=0,$A60=""),0,IF(COUNTIF($I$4:$I$153,$A60)&gt;0,1,0))</f>
        <v/>
      </c>
      <c r="V60" s="32">
        <f>IF(AND($T60=1,$H60&lt;&gt;"",$H60&lt;&gt;"This log"),1,0)</f>
        <v/>
      </c>
      <c r="W60" s="26">
        <f>IF($T60=0,"",","&amp;SUBSTITUTE(SUBSTITUTE($G60&amp;","&amp;$F60," ",""),";",",")&amp;",")</f>
        <v/>
      </c>
      <c r="X60" s="32">
        <f>IF($T60=0,0,IF(LEN(TRIM($D60))=0,1,IF(COUNTIF(People!$D$6:$D$25,TRIM($D60))=0,1,IF(INDEX(People!$E$6:$E$25,MATCH(TRIM($D60),People!$D$6:$D$25,0))&lt;&gt;"Body",0,IF(OR(LEN(TRIM(INDEX(People!$F$6:$F$25,MATCH(TRIM($D60),People!$D$6:$D$25,0))))=0,LEN(TRIM(INDEX(People!$G$6:$G$25,MATCH(TRIM($D60),People!$D$6:$D$25,0))))=0),1,0)))))</f>
        <v/>
      </c>
      <c r="Y60" s="32">
        <f>IF($T60=0,0,IF(LEN(TRIM($E60))=0,1,IF(LEN(TRIM($E60))-LEN(SUBSTITUTE(TRIM($E60)," ",""))+1&lt;3,1,IF(SUMPRODUCT((People!$J$6:$J$12&lt;&gt;"")*(LEFT(LOWER(TRIM($E60))&amp;" ",LEN(People!$J$6:$J$12)+1)=LOWER(People!$J$6:$J$12)&amp;" "))&gt;0,1,0))))</f>
        <v/>
      </c>
      <c r="Z60" s="32">
        <f>IF($T60=0,0,IF(NOT(ISNUMBER($B60)),1,IF($B60&gt;Summary!$K$3,1,0)))</f>
        <v/>
      </c>
      <c r="AA60" s="32">
        <f>IF($T60=0,0,IF($F60="",IF(SUMPRODUCT(--(LOWER(LEFT($C60,LEN(People!$B$30:$B$36)+1))=LOWER(People!$B$30:$B$36)&amp;":"))&gt;0,3,0),IF(ISNA(MATCH($F60,People!$B$30:$B$36,0)),1,IF(LEN(INDEX(People!$C$30:$C$36,MATCH($F60,People!$B$30:$B$36,0))&amp;"")=0,2,IF(TRIM($D60)&lt;&gt;INDEX(People!$C$30:$C$36,MATCH($F60,People!$B$30:$B$36,0)),1,0)))))</f>
        <v/>
      </c>
      <c r="AB60" s="32">
        <f>IF(OR($T60=0,$I60=""),0,IF(OR($I60=$A60,COUNTIF($A$4:$A$153,$I60)=0),1,IF(INDEX($B$4:$B$153,MATCH($I60,$A$4:$A$153,0))&gt;$B60,1,0)))</f>
        <v/>
      </c>
      <c r="AC60" s="32">
        <f>IF(AND($V60=1,LEN(TRIM($G60))=0),1,0)</f>
        <v/>
      </c>
      <c r="AD60" s="32">
        <f>IF($T60=0,0,IFERROR(VALUE(MID($A60,4,9)),0))</f>
        <v/>
      </c>
    </row>
    <row r="61" ht="18" customHeight="1">
      <c r="A61" s="27" t="n"/>
      <c r="B61" s="28" t="n"/>
      <c r="C61" s="29" t="n"/>
      <c r="D61" s="29" t="n"/>
      <c r="E61" s="29" t="n"/>
      <c r="F61" s="29" t="n"/>
      <c r="G61" s="29" t="n"/>
      <c r="H61" s="29" t="n"/>
      <c r="I61" s="27" t="n"/>
      <c r="J61" s="30">
        <f>IF(OR($T61=0,$U61=0),"",INDEX($A$4:$A$153,MATCH($A61,$I$4:$I$153,0)))</f>
        <v/>
      </c>
      <c r="K61" s="31">
        <f>IF($T61=0,"",IF(COUNTIF($X61:$AC61,"&gt;0")=0,"○ Clear",TRIM("△ "&amp;COUNTIF($X61:$AC61,"&gt;0")&amp;IF(COUNTIF($X61:$AC61,"&gt;0")=1," problem: "," problems: ")&amp;IF($X61&gt;0,"Decided by needs one name from People, and a body needs members and a signer. ","")&amp;IF($Y61&gt;0,"Why or evidence needs the reason itself, in three words or more. ","")&amp;IF($Z61&gt;0,"Date needs the day it was decided, no later than As of. ","")&amp;IF($AA61=1,IF(ISNA(MATCH($F61,People!$B$30:$B$36,0)),"Gate isn't one of the gate names on People. ","People names "&amp;INDEX(People!$C$30:$C$36,MATCH($F61,People!$B$30:$B$36,0))&amp;" to decide "&amp;$F61&amp;". "),IF($AA61=2,"People names nobody to decide "&amp;$F61&amp;". ",IF($AA61=3,"The Decision opens with a gate's name, so pick that gate in Gate. ","")))&amp;IF($AB61&gt;0,"Replaces needs the Id of a row dated no later than this one. ","")&amp;IF($AC61&gt;0,"Record elsewhere needs the name of the record the other file keeps. ",""))))</f>
        <v/>
      </c>
      <c r="T61" s="32">
        <f>IF(COUNTA($A61:$I61)&gt;0,1,0)</f>
        <v/>
      </c>
      <c r="U61" s="32">
        <f>IF(OR($T61=0,$A61=""),0,IF(COUNTIF($I$4:$I$153,$A61)&gt;0,1,0))</f>
        <v/>
      </c>
      <c r="V61" s="32">
        <f>IF(AND($T61=1,$H61&lt;&gt;"",$H61&lt;&gt;"This log"),1,0)</f>
        <v/>
      </c>
      <c r="W61" s="26">
        <f>IF($T61=0,"",","&amp;SUBSTITUTE(SUBSTITUTE($G61&amp;","&amp;$F61," ",""),";",",")&amp;",")</f>
        <v/>
      </c>
      <c r="X61" s="32">
        <f>IF($T61=0,0,IF(LEN(TRIM($D61))=0,1,IF(COUNTIF(People!$D$6:$D$25,TRIM($D61))=0,1,IF(INDEX(People!$E$6:$E$25,MATCH(TRIM($D61),People!$D$6:$D$25,0))&lt;&gt;"Body",0,IF(OR(LEN(TRIM(INDEX(People!$F$6:$F$25,MATCH(TRIM($D61),People!$D$6:$D$25,0))))=0,LEN(TRIM(INDEX(People!$G$6:$G$25,MATCH(TRIM($D61),People!$D$6:$D$25,0))))=0),1,0)))))</f>
        <v/>
      </c>
      <c r="Y61" s="32">
        <f>IF($T61=0,0,IF(LEN(TRIM($E61))=0,1,IF(LEN(TRIM($E61))-LEN(SUBSTITUTE(TRIM($E61)," ",""))+1&lt;3,1,IF(SUMPRODUCT((People!$J$6:$J$12&lt;&gt;"")*(LEFT(LOWER(TRIM($E61))&amp;" ",LEN(People!$J$6:$J$12)+1)=LOWER(People!$J$6:$J$12)&amp;" "))&gt;0,1,0))))</f>
        <v/>
      </c>
      <c r="Z61" s="32">
        <f>IF($T61=0,0,IF(NOT(ISNUMBER($B61)),1,IF($B61&gt;Summary!$K$3,1,0)))</f>
        <v/>
      </c>
      <c r="AA61" s="32">
        <f>IF($T61=0,0,IF($F61="",IF(SUMPRODUCT(--(LOWER(LEFT($C61,LEN(People!$B$30:$B$36)+1))=LOWER(People!$B$30:$B$36)&amp;":"))&gt;0,3,0),IF(ISNA(MATCH($F61,People!$B$30:$B$36,0)),1,IF(LEN(INDEX(People!$C$30:$C$36,MATCH($F61,People!$B$30:$B$36,0))&amp;"")=0,2,IF(TRIM($D61)&lt;&gt;INDEX(People!$C$30:$C$36,MATCH($F61,People!$B$30:$B$36,0)),1,0)))))</f>
        <v/>
      </c>
      <c r="AB61" s="32">
        <f>IF(OR($T61=0,$I61=""),0,IF(OR($I61=$A61,COUNTIF($A$4:$A$153,$I61)=0),1,IF(INDEX($B$4:$B$153,MATCH($I61,$A$4:$A$153,0))&gt;$B61,1,0)))</f>
        <v/>
      </c>
      <c r="AC61" s="32">
        <f>IF(AND($V61=1,LEN(TRIM($G61))=0),1,0)</f>
        <v/>
      </c>
      <c r="AD61" s="32">
        <f>IF($T61=0,0,IFERROR(VALUE(MID($A61,4,9)),0))</f>
        <v/>
      </c>
    </row>
    <row r="62" ht="18" customHeight="1">
      <c r="A62" s="27" t="n"/>
      <c r="B62" s="28" t="n"/>
      <c r="C62" s="29" t="n"/>
      <c r="D62" s="29" t="n"/>
      <c r="E62" s="29" t="n"/>
      <c r="F62" s="29" t="n"/>
      <c r="G62" s="29" t="n"/>
      <c r="H62" s="29" t="n"/>
      <c r="I62" s="27" t="n"/>
      <c r="J62" s="30">
        <f>IF(OR($T62=0,$U62=0),"",INDEX($A$4:$A$153,MATCH($A62,$I$4:$I$153,0)))</f>
        <v/>
      </c>
      <c r="K62" s="31">
        <f>IF($T62=0,"",IF(COUNTIF($X62:$AC62,"&gt;0")=0,"○ Clear",TRIM("△ "&amp;COUNTIF($X62:$AC62,"&gt;0")&amp;IF(COUNTIF($X62:$AC62,"&gt;0")=1," problem: "," problems: ")&amp;IF($X62&gt;0,"Decided by needs one name from People, and a body needs members and a signer. ","")&amp;IF($Y62&gt;0,"Why or evidence needs the reason itself, in three words or more. ","")&amp;IF($Z62&gt;0,"Date needs the day it was decided, no later than As of. ","")&amp;IF($AA62=1,IF(ISNA(MATCH($F62,People!$B$30:$B$36,0)),"Gate isn't one of the gate names on People. ","People names "&amp;INDEX(People!$C$30:$C$36,MATCH($F62,People!$B$30:$B$36,0))&amp;" to decide "&amp;$F62&amp;". "),IF($AA62=2,"People names nobody to decide "&amp;$F62&amp;". ",IF($AA62=3,"The Decision opens with a gate's name, so pick that gate in Gate. ","")))&amp;IF($AB62&gt;0,"Replaces needs the Id of a row dated no later than this one. ","")&amp;IF($AC62&gt;0,"Record elsewhere needs the name of the record the other file keeps. ",""))))</f>
        <v/>
      </c>
      <c r="T62" s="32">
        <f>IF(COUNTA($A62:$I62)&gt;0,1,0)</f>
        <v/>
      </c>
      <c r="U62" s="32">
        <f>IF(OR($T62=0,$A62=""),0,IF(COUNTIF($I$4:$I$153,$A62)&gt;0,1,0))</f>
        <v/>
      </c>
      <c r="V62" s="32">
        <f>IF(AND($T62=1,$H62&lt;&gt;"",$H62&lt;&gt;"This log"),1,0)</f>
        <v/>
      </c>
      <c r="W62" s="26">
        <f>IF($T62=0,"",","&amp;SUBSTITUTE(SUBSTITUTE($G62&amp;","&amp;$F62," ",""),";",",")&amp;",")</f>
        <v/>
      </c>
      <c r="X62" s="32">
        <f>IF($T62=0,0,IF(LEN(TRIM($D62))=0,1,IF(COUNTIF(People!$D$6:$D$25,TRIM($D62))=0,1,IF(INDEX(People!$E$6:$E$25,MATCH(TRIM($D62),People!$D$6:$D$25,0))&lt;&gt;"Body",0,IF(OR(LEN(TRIM(INDEX(People!$F$6:$F$25,MATCH(TRIM($D62),People!$D$6:$D$25,0))))=0,LEN(TRIM(INDEX(People!$G$6:$G$25,MATCH(TRIM($D62),People!$D$6:$D$25,0))))=0),1,0)))))</f>
        <v/>
      </c>
      <c r="Y62" s="32">
        <f>IF($T62=0,0,IF(LEN(TRIM($E62))=0,1,IF(LEN(TRIM($E62))-LEN(SUBSTITUTE(TRIM($E62)," ",""))+1&lt;3,1,IF(SUMPRODUCT((People!$J$6:$J$12&lt;&gt;"")*(LEFT(LOWER(TRIM($E62))&amp;" ",LEN(People!$J$6:$J$12)+1)=LOWER(People!$J$6:$J$12)&amp;" "))&gt;0,1,0))))</f>
        <v/>
      </c>
      <c r="Z62" s="32">
        <f>IF($T62=0,0,IF(NOT(ISNUMBER($B62)),1,IF($B62&gt;Summary!$K$3,1,0)))</f>
        <v/>
      </c>
      <c r="AA62" s="32">
        <f>IF($T62=0,0,IF($F62="",IF(SUMPRODUCT(--(LOWER(LEFT($C62,LEN(People!$B$30:$B$36)+1))=LOWER(People!$B$30:$B$36)&amp;":"))&gt;0,3,0),IF(ISNA(MATCH($F62,People!$B$30:$B$36,0)),1,IF(LEN(INDEX(People!$C$30:$C$36,MATCH($F62,People!$B$30:$B$36,0))&amp;"")=0,2,IF(TRIM($D62)&lt;&gt;INDEX(People!$C$30:$C$36,MATCH($F62,People!$B$30:$B$36,0)),1,0)))))</f>
        <v/>
      </c>
      <c r="AB62" s="32">
        <f>IF(OR($T62=0,$I62=""),0,IF(OR($I62=$A62,COUNTIF($A$4:$A$153,$I62)=0),1,IF(INDEX($B$4:$B$153,MATCH($I62,$A$4:$A$153,0))&gt;$B62,1,0)))</f>
        <v/>
      </c>
      <c r="AC62" s="32">
        <f>IF(AND($V62=1,LEN(TRIM($G62))=0),1,0)</f>
        <v/>
      </c>
      <c r="AD62" s="32">
        <f>IF($T62=0,0,IFERROR(VALUE(MID($A62,4,9)),0))</f>
        <v/>
      </c>
    </row>
    <row r="63" ht="18" customHeight="1">
      <c r="A63" s="27" t="n"/>
      <c r="B63" s="28" t="n"/>
      <c r="C63" s="29" t="n"/>
      <c r="D63" s="29" t="n"/>
      <c r="E63" s="29" t="n"/>
      <c r="F63" s="29" t="n"/>
      <c r="G63" s="29" t="n"/>
      <c r="H63" s="29" t="n"/>
      <c r="I63" s="27" t="n"/>
      <c r="J63" s="30">
        <f>IF(OR($T63=0,$U63=0),"",INDEX($A$4:$A$153,MATCH($A63,$I$4:$I$153,0)))</f>
        <v/>
      </c>
      <c r="K63" s="31">
        <f>IF($T63=0,"",IF(COUNTIF($X63:$AC63,"&gt;0")=0,"○ Clear",TRIM("△ "&amp;COUNTIF($X63:$AC63,"&gt;0")&amp;IF(COUNTIF($X63:$AC63,"&gt;0")=1," problem: "," problems: ")&amp;IF($X63&gt;0,"Decided by needs one name from People, and a body needs members and a signer. ","")&amp;IF($Y63&gt;0,"Why or evidence needs the reason itself, in three words or more. ","")&amp;IF($Z63&gt;0,"Date needs the day it was decided, no later than As of. ","")&amp;IF($AA63=1,IF(ISNA(MATCH($F63,People!$B$30:$B$36,0)),"Gate isn't one of the gate names on People. ","People names "&amp;INDEX(People!$C$30:$C$36,MATCH($F63,People!$B$30:$B$36,0))&amp;" to decide "&amp;$F63&amp;". "),IF($AA63=2,"People names nobody to decide "&amp;$F63&amp;". ",IF($AA63=3,"The Decision opens with a gate's name, so pick that gate in Gate. ","")))&amp;IF($AB63&gt;0,"Replaces needs the Id of a row dated no later than this one. ","")&amp;IF($AC63&gt;0,"Record elsewhere needs the name of the record the other file keeps. ",""))))</f>
        <v/>
      </c>
      <c r="T63" s="32">
        <f>IF(COUNTA($A63:$I63)&gt;0,1,0)</f>
        <v/>
      </c>
      <c r="U63" s="32">
        <f>IF(OR($T63=0,$A63=""),0,IF(COUNTIF($I$4:$I$153,$A63)&gt;0,1,0))</f>
        <v/>
      </c>
      <c r="V63" s="32">
        <f>IF(AND($T63=1,$H63&lt;&gt;"",$H63&lt;&gt;"This log"),1,0)</f>
        <v/>
      </c>
      <c r="W63" s="26">
        <f>IF($T63=0,"",","&amp;SUBSTITUTE(SUBSTITUTE($G63&amp;","&amp;$F63," ",""),";",",")&amp;",")</f>
        <v/>
      </c>
      <c r="X63" s="32">
        <f>IF($T63=0,0,IF(LEN(TRIM($D63))=0,1,IF(COUNTIF(People!$D$6:$D$25,TRIM($D63))=0,1,IF(INDEX(People!$E$6:$E$25,MATCH(TRIM($D63),People!$D$6:$D$25,0))&lt;&gt;"Body",0,IF(OR(LEN(TRIM(INDEX(People!$F$6:$F$25,MATCH(TRIM($D63),People!$D$6:$D$25,0))))=0,LEN(TRIM(INDEX(People!$G$6:$G$25,MATCH(TRIM($D63),People!$D$6:$D$25,0))))=0),1,0)))))</f>
        <v/>
      </c>
      <c r="Y63" s="32">
        <f>IF($T63=0,0,IF(LEN(TRIM($E63))=0,1,IF(LEN(TRIM($E63))-LEN(SUBSTITUTE(TRIM($E63)," ",""))+1&lt;3,1,IF(SUMPRODUCT((People!$J$6:$J$12&lt;&gt;"")*(LEFT(LOWER(TRIM($E63))&amp;" ",LEN(People!$J$6:$J$12)+1)=LOWER(People!$J$6:$J$12)&amp;" "))&gt;0,1,0))))</f>
        <v/>
      </c>
      <c r="Z63" s="32">
        <f>IF($T63=0,0,IF(NOT(ISNUMBER($B63)),1,IF($B63&gt;Summary!$K$3,1,0)))</f>
        <v/>
      </c>
      <c r="AA63" s="32">
        <f>IF($T63=0,0,IF($F63="",IF(SUMPRODUCT(--(LOWER(LEFT($C63,LEN(People!$B$30:$B$36)+1))=LOWER(People!$B$30:$B$36)&amp;":"))&gt;0,3,0),IF(ISNA(MATCH($F63,People!$B$30:$B$36,0)),1,IF(LEN(INDEX(People!$C$30:$C$36,MATCH($F63,People!$B$30:$B$36,0))&amp;"")=0,2,IF(TRIM($D63)&lt;&gt;INDEX(People!$C$30:$C$36,MATCH($F63,People!$B$30:$B$36,0)),1,0)))))</f>
        <v/>
      </c>
      <c r="AB63" s="32">
        <f>IF(OR($T63=0,$I63=""),0,IF(OR($I63=$A63,COUNTIF($A$4:$A$153,$I63)=0),1,IF(INDEX($B$4:$B$153,MATCH($I63,$A$4:$A$153,0))&gt;$B63,1,0)))</f>
        <v/>
      </c>
      <c r="AC63" s="32">
        <f>IF(AND($V63=1,LEN(TRIM($G63))=0),1,0)</f>
        <v/>
      </c>
      <c r="AD63" s="32">
        <f>IF($T63=0,0,IFERROR(VALUE(MID($A63,4,9)),0))</f>
        <v/>
      </c>
    </row>
    <row r="64" ht="18" customHeight="1">
      <c r="A64" s="27" t="n"/>
      <c r="B64" s="28" t="n"/>
      <c r="C64" s="29" t="n"/>
      <c r="D64" s="29" t="n"/>
      <c r="E64" s="29" t="n"/>
      <c r="F64" s="29" t="n"/>
      <c r="G64" s="29" t="n"/>
      <c r="H64" s="29" t="n"/>
      <c r="I64" s="27" t="n"/>
      <c r="J64" s="30">
        <f>IF(OR($T64=0,$U64=0),"",INDEX($A$4:$A$153,MATCH($A64,$I$4:$I$153,0)))</f>
        <v/>
      </c>
      <c r="K64" s="31">
        <f>IF($T64=0,"",IF(COUNTIF($X64:$AC64,"&gt;0")=0,"○ Clear",TRIM("△ "&amp;COUNTIF($X64:$AC64,"&gt;0")&amp;IF(COUNTIF($X64:$AC64,"&gt;0")=1," problem: "," problems: ")&amp;IF($X64&gt;0,"Decided by needs one name from People, and a body needs members and a signer. ","")&amp;IF($Y64&gt;0,"Why or evidence needs the reason itself, in three words or more. ","")&amp;IF($Z64&gt;0,"Date needs the day it was decided, no later than As of. ","")&amp;IF($AA64=1,IF(ISNA(MATCH($F64,People!$B$30:$B$36,0)),"Gate isn't one of the gate names on People. ","People names "&amp;INDEX(People!$C$30:$C$36,MATCH($F64,People!$B$30:$B$36,0))&amp;" to decide "&amp;$F64&amp;". "),IF($AA64=2,"People names nobody to decide "&amp;$F64&amp;". ",IF($AA64=3,"The Decision opens with a gate's name, so pick that gate in Gate. ","")))&amp;IF($AB64&gt;0,"Replaces needs the Id of a row dated no later than this one. ","")&amp;IF($AC64&gt;0,"Record elsewhere needs the name of the record the other file keeps. ",""))))</f>
        <v/>
      </c>
      <c r="T64" s="32">
        <f>IF(COUNTA($A64:$I64)&gt;0,1,0)</f>
        <v/>
      </c>
      <c r="U64" s="32">
        <f>IF(OR($T64=0,$A64=""),0,IF(COUNTIF($I$4:$I$153,$A64)&gt;0,1,0))</f>
        <v/>
      </c>
      <c r="V64" s="32">
        <f>IF(AND($T64=1,$H64&lt;&gt;"",$H64&lt;&gt;"This log"),1,0)</f>
        <v/>
      </c>
      <c r="W64" s="26">
        <f>IF($T64=0,"",","&amp;SUBSTITUTE(SUBSTITUTE($G64&amp;","&amp;$F64," ",""),";",",")&amp;",")</f>
        <v/>
      </c>
      <c r="X64" s="32">
        <f>IF($T64=0,0,IF(LEN(TRIM($D64))=0,1,IF(COUNTIF(People!$D$6:$D$25,TRIM($D64))=0,1,IF(INDEX(People!$E$6:$E$25,MATCH(TRIM($D64),People!$D$6:$D$25,0))&lt;&gt;"Body",0,IF(OR(LEN(TRIM(INDEX(People!$F$6:$F$25,MATCH(TRIM($D64),People!$D$6:$D$25,0))))=0,LEN(TRIM(INDEX(People!$G$6:$G$25,MATCH(TRIM($D64),People!$D$6:$D$25,0))))=0),1,0)))))</f>
        <v/>
      </c>
      <c r="Y64" s="32">
        <f>IF($T64=0,0,IF(LEN(TRIM($E64))=0,1,IF(LEN(TRIM($E64))-LEN(SUBSTITUTE(TRIM($E64)," ",""))+1&lt;3,1,IF(SUMPRODUCT((People!$J$6:$J$12&lt;&gt;"")*(LEFT(LOWER(TRIM($E64))&amp;" ",LEN(People!$J$6:$J$12)+1)=LOWER(People!$J$6:$J$12)&amp;" "))&gt;0,1,0))))</f>
        <v/>
      </c>
      <c r="Z64" s="32">
        <f>IF($T64=0,0,IF(NOT(ISNUMBER($B64)),1,IF($B64&gt;Summary!$K$3,1,0)))</f>
        <v/>
      </c>
      <c r="AA64" s="32">
        <f>IF($T64=0,0,IF($F64="",IF(SUMPRODUCT(--(LOWER(LEFT($C64,LEN(People!$B$30:$B$36)+1))=LOWER(People!$B$30:$B$36)&amp;":"))&gt;0,3,0),IF(ISNA(MATCH($F64,People!$B$30:$B$36,0)),1,IF(LEN(INDEX(People!$C$30:$C$36,MATCH($F64,People!$B$30:$B$36,0))&amp;"")=0,2,IF(TRIM($D64)&lt;&gt;INDEX(People!$C$30:$C$36,MATCH($F64,People!$B$30:$B$36,0)),1,0)))))</f>
        <v/>
      </c>
      <c r="AB64" s="32">
        <f>IF(OR($T64=0,$I64=""),0,IF(OR($I64=$A64,COUNTIF($A$4:$A$153,$I64)=0),1,IF(INDEX($B$4:$B$153,MATCH($I64,$A$4:$A$153,0))&gt;$B64,1,0)))</f>
        <v/>
      </c>
      <c r="AC64" s="32">
        <f>IF(AND($V64=1,LEN(TRIM($G64))=0),1,0)</f>
        <v/>
      </c>
      <c r="AD64" s="32">
        <f>IF($T64=0,0,IFERROR(VALUE(MID($A64,4,9)),0))</f>
        <v/>
      </c>
    </row>
    <row r="65" ht="18" customHeight="1">
      <c r="A65" s="27" t="n"/>
      <c r="B65" s="28" t="n"/>
      <c r="C65" s="29" t="n"/>
      <c r="D65" s="29" t="n"/>
      <c r="E65" s="29" t="n"/>
      <c r="F65" s="29" t="n"/>
      <c r="G65" s="29" t="n"/>
      <c r="H65" s="29" t="n"/>
      <c r="I65" s="27" t="n"/>
      <c r="J65" s="30">
        <f>IF(OR($T65=0,$U65=0),"",INDEX($A$4:$A$153,MATCH($A65,$I$4:$I$153,0)))</f>
        <v/>
      </c>
      <c r="K65" s="31">
        <f>IF($T65=0,"",IF(COUNTIF($X65:$AC65,"&gt;0")=0,"○ Clear",TRIM("△ "&amp;COUNTIF($X65:$AC65,"&gt;0")&amp;IF(COUNTIF($X65:$AC65,"&gt;0")=1," problem: "," problems: ")&amp;IF($X65&gt;0,"Decided by needs one name from People, and a body needs members and a signer. ","")&amp;IF($Y65&gt;0,"Why or evidence needs the reason itself, in three words or more. ","")&amp;IF($Z65&gt;0,"Date needs the day it was decided, no later than As of. ","")&amp;IF($AA65=1,IF(ISNA(MATCH($F65,People!$B$30:$B$36,0)),"Gate isn't one of the gate names on People. ","People names "&amp;INDEX(People!$C$30:$C$36,MATCH($F65,People!$B$30:$B$36,0))&amp;" to decide "&amp;$F65&amp;". "),IF($AA65=2,"People names nobody to decide "&amp;$F65&amp;". ",IF($AA65=3,"The Decision opens with a gate's name, so pick that gate in Gate. ","")))&amp;IF($AB65&gt;0,"Replaces needs the Id of a row dated no later than this one. ","")&amp;IF($AC65&gt;0,"Record elsewhere needs the name of the record the other file keeps. ",""))))</f>
        <v/>
      </c>
      <c r="T65" s="32">
        <f>IF(COUNTA($A65:$I65)&gt;0,1,0)</f>
        <v/>
      </c>
      <c r="U65" s="32">
        <f>IF(OR($T65=0,$A65=""),0,IF(COUNTIF($I$4:$I$153,$A65)&gt;0,1,0))</f>
        <v/>
      </c>
      <c r="V65" s="32">
        <f>IF(AND($T65=1,$H65&lt;&gt;"",$H65&lt;&gt;"This log"),1,0)</f>
        <v/>
      </c>
      <c r="W65" s="26">
        <f>IF($T65=0,"",","&amp;SUBSTITUTE(SUBSTITUTE($G65&amp;","&amp;$F65," ",""),";",",")&amp;",")</f>
        <v/>
      </c>
      <c r="X65" s="32">
        <f>IF($T65=0,0,IF(LEN(TRIM($D65))=0,1,IF(COUNTIF(People!$D$6:$D$25,TRIM($D65))=0,1,IF(INDEX(People!$E$6:$E$25,MATCH(TRIM($D65),People!$D$6:$D$25,0))&lt;&gt;"Body",0,IF(OR(LEN(TRIM(INDEX(People!$F$6:$F$25,MATCH(TRIM($D65),People!$D$6:$D$25,0))))=0,LEN(TRIM(INDEX(People!$G$6:$G$25,MATCH(TRIM($D65),People!$D$6:$D$25,0))))=0),1,0)))))</f>
        <v/>
      </c>
      <c r="Y65" s="32">
        <f>IF($T65=0,0,IF(LEN(TRIM($E65))=0,1,IF(LEN(TRIM($E65))-LEN(SUBSTITUTE(TRIM($E65)," ",""))+1&lt;3,1,IF(SUMPRODUCT((People!$J$6:$J$12&lt;&gt;"")*(LEFT(LOWER(TRIM($E65))&amp;" ",LEN(People!$J$6:$J$12)+1)=LOWER(People!$J$6:$J$12)&amp;" "))&gt;0,1,0))))</f>
        <v/>
      </c>
      <c r="Z65" s="32">
        <f>IF($T65=0,0,IF(NOT(ISNUMBER($B65)),1,IF($B65&gt;Summary!$K$3,1,0)))</f>
        <v/>
      </c>
      <c r="AA65" s="32">
        <f>IF($T65=0,0,IF($F65="",IF(SUMPRODUCT(--(LOWER(LEFT($C65,LEN(People!$B$30:$B$36)+1))=LOWER(People!$B$30:$B$36)&amp;":"))&gt;0,3,0),IF(ISNA(MATCH($F65,People!$B$30:$B$36,0)),1,IF(LEN(INDEX(People!$C$30:$C$36,MATCH($F65,People!$B$30:$B$36,0))&amp;"")=0,2,IF(TRIM($D65)&lt;&gt;INDEX(People!$C$30:$C$36,MATCH($F65,People!$B$30:$B$36,0)),1,0)))))</f>
        <v/>
      </c>
      <c r="AB65" s="32">
        <f>IF(OR($T65=0,$I65=""),0,IF(OR($I65=$A65,COUNTIF($A$4:$A$153,$I65)=0),1,IF(INDEX($B$4:$B$153,MATCH($I65,$A$4:$A$153,0))&gt;$B65,1,0)))</f>
        <v/>
      </c>
      <c r="AC65" s="32">
        <f>IF(AND($V65=1,LEN(TRIM($G65))=0),1,0)</f>
        <v/>
      </c>
      <c r="AD65" s="32">
        <f>IF($T65=0,0,IFERROR(VALUE(MID($A65,4,9)),0))</f>
        <v/>
      </c>
    </row>
    <row r="66" ht="18" customHeight="1">
      <c r="A66" s="27" t="n"/>
      <c r="B66" s="28" t="n"/>
      <c r="C66" s="29" t="n"/>
      <c r="D66" s="29" t="n"/>
      <c r="E66" s="29" t="n"/>
      <c r="F66" s="29" t="n"/>
      <c r="G66" s="29" t="n"/>
      <c r="H66" s="29" t="n"/>
      <c r="I66" s="27" t="n"/>
      <c r="J66" s="30">
        <f>IF(OR($T66=0,$U66=0),"",INDEX($A$4:$A$153,MATCH($A66,$I$4:$I$153,0)))</f>
        <v/>
      </c>
      <c r="K66" s="31">
        <f>IF($T66=0,"",IF(COUNTIF($X66:$AC66,"&gt;0")=0,"○ Clear",TRIM("△ "&amp;COUNTIF($X66:$AC66,"&gt;0")&amp;IF(COUNTIF($X66:$AC66,"&gt;0")=1," problem: "," problems: ")&amp;IF($X66&gt;0,"Decided by needs one name from People, and a body needs members and a signer. ","")&amp;IF($Y66&gt;0,"Why or evidence needs the reason itself, in three words or more. ","")&amp;IF($Z66&gt;0,"Date needs the day it was decided, no later than As of. ","")&amp;IF($AA66=1,IF(ISNA(MATCH($F66,People!$B$30:$B$36,0)),"Gate isn't one of the gate names on People. ","People names "&amp;INDEX(People!$C$30:$C$36,MATCH($F66,People!$B$30:$B$36,0))&amp;" to decide "&amp;$F66&amp;". "),IF($AA66=2,"People names nobody to decide "&amp;$F66&amp;". ",IF($AA66=3,"The Decision opens with a gate's name, so pick that gate in Gate. ","")))&amp;IF($AB66&gt;0,"Replaces needs the Id of a row dated no later than this one. ","")&amp;IF($AC66&gt;0,"Record elsewhere needs the name of the record the other file keeps. ",""))))</f>
        <v/>
      </c>
      <c r="T66" s="32">
        <f>IF(COUNTA($A66:$I66)&gt;0,1,0)</f>
        <v/>
      </c>
      <c r="U66" s="32">
        <f>IF(OR($T66=0,$A66=""),0,IF(COUNTIF($I$4:$I$153,$A66)&gt;0,1,0))</f>
        <v/>
      </c>
      <c r="V66" s="32">
        <f>IF(AND($T66=1,$H66&lt;&gt;"",$H66&lt;&gt;"This log"),1,0)</f>
        <v/>
      </c>
      <c r="W66" s="26">
        <f>IF($T66=0,"",","&amp;SUBSTITUTE(SUBSTITUTE($G66&amp;","&amp;$F66," ",""),";",",")&amp;",")</f>
        <v/>
      </c>
      <c r="X66" s="32">
        <f>IF($T66=0,0,IF(LEN(TRIM($D66))=0,1,IF(COUNTIF(People!$D$6:$D$25,TRIM($D66))=0,1,IF(INDEX(People!$E$6:$E$25,MATCH(TRIM($D66),People!$D$6:$D$25,0))&lt;&gt;"Body",0,IF(OR(LEN(TRIM(INDEX(People!$F$6:$F$25,MATCH(TRIM($D66),People!$D$6:$D$25,0))))=0,LEN(TRIM(INDEX(People!$G$6:$G$25,MATCH(TRIM($D66),People!$D$6:$D$25,0))))=0),1,0)))))</f>
        <v/>
      </c>
      <c r="Y66" s="32">
        <f>IF($T66=0,0,IF(LEN(TRIM($E66))=0,1,IF(LEN(TRIM($E66))-LEN(SUBSTITUTE(TRIM($E66)," ",""))+1&lt;3,1,IF(SUMPRODUCT((People!$J$6:$J$12&lt;&gt;"")*(LEFT(LOWER(TRIM($E66))&amp;" ",LEN(People!$J$6:$J$12)+1)=LOWER(People!$J$6:$J$12)&amp;" "))&gt;0,1,0))))</f>
        <v/>
      </c>
      <c r="Z66" s="32">
        <f>IF($T66=0,0,IF(NOT(ISNUMBER($B66)),1,IF($B66&gt;Summary!$K$3,1,0)))</f>
        <v/>
      </c>
      <c r="AA66" s="32">
        <f>IF($T66=0,0,IF($F66="",IF(SUMPRODUCT(--(LOWER(LEFT($C66,LEN(People!$B$30:$B$36)+1))=LOWER(People!$B$30:$B$36)&amp;":"))&gt;0,3,0),IF(ISNA(MATCH($F66,People!$B$30:$B$36,0)),1,IF(LEN(INDEX(People!$C$30:$C$36,MATCH($F66,People!$B$30:$B$36,0))&amp;"")=0,2,IF(TRIM($D66)&lt;&gt;INDEX(People!$C$30:$C$36,MATCH($F66,People!$B$30:$B$36,0)),1,0)))))</f>
        <v/>
      </c>
      <c r="AB66" s="32">
        <f>IF(OR($T66=0,$I66=""),0,IF(OR($I66=$A66,COUNTIF($A$4:$A$153,$I66)=0),1,IF(INDEX($B$4:$B$153,MATCH($I66,$A$4:$A$153,0))&gt;$B66,1,0)))</f>
        <v/>
      </c>
      <c r="AC66" s="32">
        <f>IF(AND($V66=1,LEN(TRIM($G66))=0),1,0)</f>
        <v/>
      </c>
      <c r="AD66" s="32">
        <f>IF($T66=0,0,IFERROR(VALUE(MID($A66,4,9)),0))</f>
        <v/>
      </c>
    </row>
    <row r="67" ht="18" customHeight="1">
      <c r="A67" s="27" t="n"/>
      <c r="B67" s="28" t="n"/>
      <c r="C67" s="29" t="n"/>
      <c r="D67" s="29" t="n"/>
      <c r="E67" s="29" t="n"/>
      <c r="F67" s="29" t="n"/>
      <c r="G67" s="29" t="n"/>
      <c r="H67" s="29" t="n"/>
      <c r="I67" s="27" t="n"/>
      <c r="J67" s="30">
        <f>IF(OR($T67=0,$U67=0),"",INDEX($A$4:$A$153,MATCH($A67,$I$4:$I$153,0)))</f>
        <v/>
      </c>
      <c r="K67" s="31">
        <f>IF($T67=0,"",IF(COUNTIF($X67:$AC67,"&gt;0")=0,"○ Clear",TRIM("△ "&amp;COUNTIF($X67:$AC67,"&gt;0")&amp;IF(COUNTIF($X67:$AC67,"&gt;0")=1," problem: "," problems: ")&amp;IF($X67&gt;0,"Decided by needs one name from People, and a body needs members and a signer. ","")&amp;IF($Y67&gt;0,"Why or evidence needs the reason itself, in three words or more. ","")&amp;IF($Z67&gt;0,"Date needs the day it was decided, no later than As of. ","")&amp;IF($AA67=1,IF(ISNA(MATCH($F67,People!$B$30:$B$36,0)),"Gate isn't one of the gate names on People. ","People names "&amp;INDEX(People!$C$30:$C$36,MATCH($F67,People!$B$30:$B$36,0))&amp;" to decide "&amp;$F67&amp;". "),IF($AA67=2,"People names nobody to decide "&amp;$F67&amp;". ",IF($AA67=3,"The Decision opens with a gate's name, so pick that gate in Gate. ","")))&amp;IF($AB67&gt;0,"Replaces needs the Id of a row dated no later than this one. ","")&amp;IF($AC67&gt;0,"Record elsewhere needs the name of the record the other file keeps. ",""))))</f>
        <v/>
      </c>
      <c r="T67" s="32">
        <f>IF(COUNTA($A67:$I67)&gt;0,1,0)</f>
        <v/>
      </c>
      <c r="U67" s="32">
        <f>IF(OR($T67=0,$A67=""),0,IF(COUNTIF($I$4:$I$153,$A67)&gt;0,1,0))</f>
        <v/>
      </c>
      <c r="V67" s="32">
        <f>IF(AND($T67=1,$H67&lt;&gt;"",$H67&lt;&gt;"This log"),1,0)</f>
        <v/>
      </c>
      <c r="W67" s="26">
        <f>IF($T67=0,"",","&amp;SUBSTITUTE(SUBSTITUTE($G67&amp;","&amp;$F67," ",""),";",",")&amp;",")</f>
        <v/>
      </c>
      <c r="X67" s="32">
        <f>IF($T67=0,0,IF(LEN(TRIM($D67))=0,1,IF(COUNTIF(People!$D$6:$D$25,TRIM($D67))=0,1,IF(INDEX(People!$E$6:$E$25,MATCH(TRIM($D67),People!$D$6:$D$25,0))&lt;&gt;"Body",0,IF(OR(LEN(TRIM(INDEX(People!$F$6:$F$25,MATCH(TRIM($D67),People!$D$6:$D$25,0))))=0,LEN(TRIM(INDEX(People!$G$6:$G$25,MATCH(TRIM($D67),People!$D$6:$D$25,0))))=0),1,0)))))</f>
        <v/>
      </c>
      <c r="Y67" s="32">
        <f>IF($T67=0,0,IF(LEN(TRIM($E67))=0,1,IF(LEN(TRIM($E67))-LEN(SUBSTITUTE(TRIM($E67)," ",""))+1&lt;3,1,IF(SUMPRODUCT((People!$J$6:$J$12&lt;&gt;"")*(LEFT(LOWER(TRIM($E67))&amp;" ",LEN(People!$J$6:$J$12)+1)=LOWER(People!$J$6:$J$12)&amp;" "))&gt;0,1,0))))</f>
        <v/>
      </c>
      <c r="Z67" s="32">
        <f>IF($T67=0,0,IF(NOT(ISNUMBER($B67)),1,IF($B67&gt;Summary!$K$3,1,0)))</f>
        <v/>
      </c>
      <c r="AA67" s="32">
        <f>IF($T67=0,0,IF($F67="",IF(SUMPRODUCT(--(LOWER(LEFT($C67,LEN(People!$B$30:$B$36)+1))=LOWER(People!$B$30:$B$36)&amp;":"))&gt;0,3,0),IF(ISNA(MATCH($F67,People!$B$30:$B$36,0)),1,IF(LEN(INDEX(People!$C$30:$C$36,MATCH($F67,People!$B$30:$B$36,0))&amp;"")=0,2,IF(TRIM($D67)&lt;&gt;INDEX(People!$C$30:$C$36,MATCH($F67,People!$B$30:$B$36,0)),1,0)))))</f>
        <v/>
      </c>
      <c r="AB67" s="32">
        <f>IF(OR($T67=0,$I67=""),0,IF(OR($I67=$A67,COUNTIF($A$4:$A$153,$I67)=0),1,IF(INDEX($B$4:$B$153,MATCH($I67,$A$4:$A$153,0))&gt;$B67,1,0)))</f>
        <v/>
      </c>
      <c r="AC67" s="32">
        <f>IF(AND($V67=1,LEN(TRIM($G67))=0),1,0)</f>
        <v/>
      </c>
      <c r="AD67" s="32">
        <f>IF($T67=0,0,IFERROR(VALUE(MID($A67,4,9)),0))</f>
        <v/>
      </c>
    </row>
    <row r="68" ht="18" customHeight="1">
      <c r="A68" s="27" t="n"/>
      <c r="B68" s="28" t="n"/>
      <c r="C68" s="29" t="n"/>
      <c r="D68" s="29" t="n"/>
      <c r="E68" s="29" t="n"/>
      <c r="F68" s="29" t="n"/>
      <c r="G68" s="29" t="n"/>
      <c r="H68" s="29" t="n"/>
      <c r="I68" s="27" t="n"/>
      <c r="J68" s="30">
        <f>IF(OR($T68=0,$U68=0),"",INDEX($A$4:$A$153,MATCH($A68,$I$4:$I$153,0)))</f>
        <v/>
      </c>
      <c r="K68" s="31">
        <f>IF($T68=0,"",IF(COUNTIF($X68:$AC68,"&gt;0")=0,"○ Clear",TRIM("△ "&amp;COUNTIF($X68:$AC68,"&gt;0")&amp;IF(COUNTIF($X68:$AC68,"&gt;0")=1," problem: "," problems: ")&amp;IF($X68&gt;0,"Decided by needs one name from People, and a body needs members and a signer. ","")&amp;IF($Y68&gt;0,"Why or evidence needs the reason itself, in three words or more. ","")&amp;IF($Z68&gt;0,"Date needs the day it was decided, no later than As of. ","")&amp;IF($AA68=1,IF(ISNA(MATCH($F68,People!$B$30:$B$36,0)),"Gate isn't one of the gate names on People. ","People names "&amp;INDEX(People!$C$30:$C$36,MATCH($F68,People!$B$30:$B$36,0))&amp;" to decide "&amp;$F68&amp;". "),IF($AA68=2,"People names nobody to decide "&amp;$F68&amp;". ",IF($AA68=3,"The Decision opens with a gate's name, so pick that gate in Gate. ","")))&amp;IF($AB68&gt;0,"Replaces needs the Id of a row dated no later than this one. ","")&amp;IF($AC68&gt;0,"Record elsewhere needs the name of the record the other file keeps. ",""))))</f>
        <v/>
      </c>
      <c r="T68" s="32">
        <f>IF(COUNTA($A68:$I68)&gt;0,1,0)</f>
        <v/>
      </c>
      <c r="U68" s="32">
        <f>IF(OR($T68=0,$A68=""),0,IF(COUNTIF($I$4:$I$153,$A68)&gt;0,1,0))</f>
        <v/>
      </c>
      <c r="V68" s="32">
        <f>IF(AND($T68=1,$H68&lt;&gt;"",$H68&lt;&gt;"This log"),1,0)</f>
        <v/>
      </c>
      <c r="W68" s="26">
        <f>IF($T68=0,"",","&amp;SUBSTITUTE(SUBSTITUTE($G68&amp;","&amp;$F68," ",""),";",",")&amp;",")</f>
        <v/>
      </c>
      <c r="X68" s="32">
        <f>IF($T68=0,0,IF(LEN(TRIM($D68))=0,1,IF(COUNTIF(People!$D$6:$D$25,TRIM($D68))=0,1,IF(INDEX(People!$E$6:$E$25,MATCH(TRIM($D68),People!$D$6:$D$25,0))&lt;&gt;"Body",0,IF(OR(LEN(TRIM(INDEX(People!$F$6:$F$25,MATCH(TRIM($D68),People!$D$6:$D$25,0))))=0,LEN(TRIM(INDEX(People!$G$6:$G$25,MATCH(TRIM($D68),People!$D$6:$D$25,0))))=0),1,0)))))</f>
        <v/>
      </c>
      <c r="Y68" s="32">
        <f>IF($T68=0,0,IF(LEN(TRIM($E68))=0,1,IF(LEN(TRIM($E68))-LEN(SUBSTITUTE(TRIM($E68)," ",""))+1&lt;3,1,IF(SUMPRODUCT((People!$J$6:$J$12&lt;&gt;"")*(LEFT(LOWER(TRIM($E68))&amp;" ",LEN(People!$J$6:$J$12)+1)=LOWER(People!$J$6:$J$12)&amp;" "))&gt;0,1,0))))</f>
        <v/>
      </c>
      <c r="Z68" s="32">
        <f>IF($T68=0,0,IF(NOT(ISNUMBER($B68)),1,IF($B68&gt;Summary!$K$3,1,0)))</f>
        <v/>
      </c>
      <c r="AA68" s="32">
        <f>IF($T68=0,0,IF($F68="",IF(SUMPRODUCT(--(LOWER(LEFT($C68,LEN(People!$B$30:$B$36)+1))=LOWER(People!$B$30:$B$36)&amp;":"))&gt;0,3,0),IF(ISNA(MATCH($F68,People!$B$30:$B$36,0)),1,IF(LEN(INDEX(People!$C$30:$C$36,MATCH($F68,People!$B$30:$B$36,0))&amp;"")=0,2,IF(TRIM($D68)&lt;&gt;INDEX(People!$C$30:$C$36,MATCH($F68,People!$B$30:$B$36,0)),1,0)))))</f>
        <v/>
      </c>
      <c r="AB68" s="32">
        <f>IF(OR($T68=0,$I68=""),0,IF(OR($I68=$A68,COUNTIF($A$4:$A$153,$I68)=0),1,IF(INDEX($B$4:$B$153,MATCH($I68,$A$4:$A$153,0))&gt;$B68,1,0)))</f>
        <v/>
      </c>
      <c r="AC68" s="32">
        <f>IF(AND($V68=1,LEN(TRIM($G68))=0),1,0)</f>
        <v/>
      </c>
      <c r="AD68" s="32">
        <f>IF($T68=0,0,IFERROR(VALUE(MID($A68,4,9)),0))</f>
        <v/>
      </c>
    </row>
    <row r="69" ht="18" customHeight="1">
      <c r="A69" s="27" t="n"/>
      <c r="B69" s="28" t="n"/>
      <c r="C69" s="29" t="n"/>
      <c r="D69" s="29" t="n"/>
      <c r="E69" s="29" t="n"/>
      <c r="F69" s="29" t="n"/>
      <c r="G69" s="29" t="n"/>
      <c r="H69" s="29" t="n"/>
      <c r="I69" s="27" t="n"/>
      <c r="J69" s="30">
        <f>IF(OR($T69=0,$U69=0),"",INDEX($A$4:$A$153,MATCH($A69,$I$4:$I$153,0)))</f>
        <v/>
      </c>
      <c r="K69" s="31">
        <f>IF($T69=0,"",IF(COUNTIF($X69:$AC69,"&gt;0")=0,"○ Clear",TRIM("△ "&amp;COUNTIF($X69:$AC69,"&gt;0")&amp;IF(COUNTIF($X69:$AC69,"&gt;0")=1," problem: "," problems: ")&amp;IF($X69&gt;0,"Decided by needs one name from People, and a body needs members and a signer. ","")&amp;IF($Y69&gt;0,"Why or evidence needs the reason itself, in three words or more. ","")&amp;IF($Z69&gt;0,"Date needs the day it was decided, no later than As of. ","")&amp;IF($AA69=1,IF(ISNA(MATCH($F69,People!$B$30:$B$36,0)),"Gate isn't one of the gate names on People. ","People names "&amp;INDEX(People!$C$30:$C$36,MATCH($F69,People!$B$30:$B$36,0))&amp;" to decide "&amp;$F69&amp;". "),IF($AA69=2,"People names nobody to decide "&amp;$F69&amp;". ",IF($AA69=3,"The Decision opens with a gate's name, so pick that gate in Gate. ","")))&amp;IF($AB69&gt;0,"Replaces needs the Id of a row dated no later than this one. ","")&amp;IF($AC69&gt;0,"Record elsewhere needs the name of the record the other file keeps. ",""))))</f>
        <v/>
      </c>
      <c r="T69" s="32">
        <f>IF(COUNTA($A69:$I69)&gt;0,1,0)</f>
        <v/>
      </c>
      <c r="U69" s="32">
        <f>IF(OR($T69=0,$A69=""),0,IF(COUNTIF($I$4:$I$153,$A69)&gt;0,1,0))</f>
        <v/>
      </c>
      <c r="V69" s="32">
        <f>IF(AND($T69=1,$H69&lt;&gt;"",$H69&lt;&gt;"This log"),1,0)</f>
        <v/>
      </c>
      <c r="W69" s="26">
        <f>IF($T69=0,"",","&amp;SUBSTITUTE(SUBSTITUTE($G69&amp;","&amp;$F69," ",""),";",",")&amp;",")</f>
        <v/>
      </c>
      <c r="X69" s="32">
        <f>IF($T69=0,0,IF(LEN(TRIM($D69))=0,1,IF(COUNTIF(People!$D$6:$D$25,TRIM($D69))=0,1,IF(INDEX(People!$E$6:$E$25,MATCH(TRIM($D69),People!$D$6:$D$25,0))&lt;&gt;"Body",0,IF(OR(LEN(TRIM(INDEX(People!$F$6:$F$25,MATCH(TRIM($D69),People!$D$6:$D$25,0))))=0,LEN(TRIM(INDEX(People!$G$6:$G$25,MATCH(TRIM($D69),People!$D$6:$D$25,0))))=0),1,0)))))</f>
        <v/>
      </c>
      <c r="Y69" s="32">
        <f>IF($T69=0,0,IF(LEN(TRIM($E69))=0,1,IF(LEN(TRIM($E69))-LEN(SUBSTITUTE(TRIM($E69)," ",""))+1&lt;3,1,IF(SUMPRODUCT((People!$J$6:$J$12&lt;&gt;"")*(LEFT(LOWER(TRIM($E69))&amp;" ",LEN(People!$J$6:$J$12)+1)=LOWER(People!$J$6:$J$12)&amp;" "))&gt;0,1,0))))</f>
        <v/>
      </c>
      <c r="Z69" s="32">
        <f>IF($T69=0,0,IF(NOT(ISNUMBER($B69)),1,IF($B69&gt;Summary!$K$3,1,0)))</f>
        <v/>
      </c>
      <c r="AA69" s="32">
        <f>IF($T69=0,0,IF($F69="",IF(SUMPRODUCT(--(LOWER(LEFT($C69,LEN(People!$B$30:$B$36)+1))=LOWER(People!$B$30:$B$36)&amp;":"))&gt;0,3,0),IF(ISNA(MATCH($F69,People!$B$30:$B$36,0)),1,IF(LEN(INDEX(People!$C$30:$C$36,MATCH($F69,People!$B$30:$B$36,0))&amp;"")=0,2,IF(TRIM($D69)&lt;&gt;INDEX(People!$C$30:$C$36,MATCH($F69,People!$B$30:$B$36,0)),1,0)))))</f>
        <v/>
      </c>
      <c r="AB69" s="32">
        <f>IF(OR($T69=0,$I69=""),0,IF(OR($I69=$A69,COUNTIF($A$4:$A$153,$I69)=0),1,IF(INDEX($B$4:$B$153,MATCH($I69,$A$4:$A$153,0))&gt;$B69,1,0)))</f>
        <v/>
      </c>
      <c r="AC69" s="32">
        <f>IF(AND($V69=1,LEN(TRIM($G69))=0),1,0)</f>
        <v/>
      </c>
      <c r="AD69" s="32">
        <f>IF($T69=0,0,IFERROR(VALUE(MID($A69,4,9)),0))</f>
        <v/>
      </c>
    </row>
    <row r="70" ht="18" customHeight="1">
      <c r="A70" s="27" t="n"/>
      <c r="B70" s="28" t="n"/>
      <c r="C70" s="29" t="n"/>
      <c r="D70" s="29" t="n"/>
      <c r="E70" s="29" t="n"/>
      <c r="F70" s="29" t="n"/>
      <c r="G70" s="29" t="n"/>
      <c r="H70" s="29" t="n"/>
      <c r="I70" s="27" t="n"/>
      <c r="J70" s="30">
        <f>IF(OR($T70=0,$U70=0),"",INDEX($A$4:$A$153,MATCH($A70,$I$4:$I$153,0)))</f>
        <v/>
      </c>
      <c r="K70" s="31">
        <f>IF($T70=0,"",IF(COUNTIF($X70:$AC70,"&gt;0")=0,"○ Clear",TRIM("△ "&amp;COUNTIF($X70:$AC70,"&gt;0")&amp;IF(COUNTIF($X70:$AC70,"&gt;0")=1," problem: "," problems: ")&amp;IF($X70&gt;0,"Decided by needs one name from People, and a body needs members and a signer. ","")&amp;IF($Y70&gt;0,"Why or evidence needs the reason itself, in three words or more. ","")&amp;IF($Z70&gt;0,"Date needs the day it was decided, no later than As of. ","")&amp;IF($AA70=1,IF(ISNA(MATCH($F70,People!$B$30:$B$36,0)),"Gate isn't one of the gate names on People. ","People names "&amp;INDEX(People!$C$30:$C$36,MATCH($F70,People!$B$30:$B$36,0))&amp;" to decide "&amp;$F70&amp;". "),IF($AA70=2,"People names nobody to decide "&amp;$F70&amp;". ",IF($AA70=3,"The Decision opens with a gate's name, so pick that gate in Gate. ","")))&amp;IF($AB70&gt;0,"Replaces needs the Id of a row dated no later than this one. ","")&amp;IF($AC70&gt;0,"Record elsewhere needs the name of the record the other file keeps. ",""))))</f>
        <v/>
      </c>
      <c r="T70" s="32">
        <f>IF(COUNTA($A70:$I70)&gt;0,1,0)</f>
        <v/>
      </c>
      <c r="U70" s="32">
        <f>IF(OR($T70=0,$A70=""),0,IF(COUNTIF($I$4:$I$153,$A70)&gt;0,1,0))</f>
        <v/>
      </c>
      <c r="V70" s="32">
        <f>IF(AND($T70=1,$H70&lt;&gt;"",$H70&lt;&gt;"This log"),1,0)</f>
        <v/>
      </c>
      <c r="W70" s="26">
        <f>IF($T70=0,"",","&amp;SUBSTITUTE(SUBSTITUTE($G70&amp;","&amp;$F70," ",""),";",",")&amp;",")</f>
        <v/>
      </c>
      <c r="X70" s="32">
        <f>IF($T70=0,0,IF(LEN(TRIM($D70))=0,1,IF(COUNTIF(People!$D$6:$D$25,TRIM($D70))=0,1,IF(INDEX(People!$E$6:$E$25,MATCH(TRIM($D70),People!$D$6:$D$25,0))&lt;&gt;"Body",0,IF(OR(LEN(TRIM(INDEX(People!$F$6:$F$25,MATCH(TRIM($D70),People!$D$6:$D$25,0))))=0,LEN(TRIM(INDEX(People!$G$6:$G$25,MATCH(TRIM($D70),People!$D$6:$D$25,0))))=0),1,0)))))</f>
        <v/>
      </c>
      <c r="Y70" s="32">
        <f>IF($T70=0,0,IF(LEN(TRIM($E70))=0,1,IF(LEN(TRIM($E70))-LEN(SUBSTITUTE(TRIM($E70)," ",""))+1&lt;3,1,IF(SUMPRODUCT((People!$J$6:$J$12&lt;&gt;"")*(LEFT(LOWER(TRIM($E70))&amp;" ",LEN(People!$J$6:$J$12)+1)=LOWER(People!$J$6:$J$12)&amp;" "))&gt;0,1,0))))</f>
        <v/>
      </c>
      <c r="Z70" s="32">
        <f>IF($T70=0,0,IF(NOT(ISNUMBER($B70)),1,IF($B70&gt;Summary!$K$3,1,0)))</f>
        <v/>
      </c>
      <c r="AA70" s="32">
        <f>IF($T70=0,0,IF($F70="",IF(SUMPRODUCT(--(LOWER(LEFT($C70,LEN(People!$B$30:$B$36)+1))=LOWER(People!$B$30:$B$36)&amp;":"))&gt;0,3,0),IF(ISNA(MATCH($F70,People!$B$30:$B$36,0)),1,IF(LEN(INDEX(People!$C$30:$C$36,MATCH($F70,People!$B$30:$B$36,0))&amp;"")=0,2,IF(TRIM($D70)&lt;&gt;INDEX(People!$C$30:$C$36,MATCH($F70,People!$B$30:$B$36,0)),1,0)))))</f>
        <v/>
      </c>
      <c r="AB70" s="32">
        <f>IF(OR($T70=0,$I70=""),0,IF(OR($I70=$A70,COUNTIF($A$4:$A$153,$I70)=0),1,IF(INDEX($B$4:$B$153,MATCH($I70,$A$4:$A$153,0))&gt;$B70,1,0)))</f>
        <v/>
      </c>
      <c r="AC70" s="32">
        <f>IF(AND($V70=1,LEN(TRIM($G70))=0),1,0)</f>
        <v/>
      </c>
      <c r="AD70" s="32">
        <f>IF($T70=0,0,IFERROR(VALUE(MID($A70,4,9)),0))</f>
        <v/>
      </c>
    </row>
    <row r="71" ht="18" customHeight="1">
      <c r="A71" s="27" t="n"/>
      <c r="B71" s="28" t="n"/>
      <c r="C71" s="29" t="n"/>
      <c r="D71" s="29" t="n"/>
      <c r="E71" s="29" t="n"/>
      <c r="F71" s="29" t="n"/>
      <c r="G71" s="29" t="n"/>
      <c r="H71" s="29" t="n"/>
      <c r="I71" s="27" t="n"/>
      <c r="J71" s="30">
        <f>IF(OR($T71=0,$U71=0),"",INDEX($A$4:$A$153,MATCH($A71,$I$4:$I$153,0)))</f>
        <v/>
      </c>
      <c r="K71" s="31">
        <f>IF($T71=0,"",IF(COUNTIF($X71:$AC71,"&gt;0")=0,"○ Clear",TRIM("△ "&amp;COUNTIF($X71:$AC71,"&gt;0")&amp;IF(COUNTIF($X71:$AC71,"&gt;0")=1," problem: "," problems: ")&amp;IF($X71&gt;0,"Decided by needs one name from People, and a body needs members and a signer. ","")&amp;IF($Y71&gt;0,"Why or evidence needs the reason itself, in three words or more. ","")&amp;IF($Z71&gt;0,"Date needs the day it was decided, no later than As of. ","")&amp;IF($AA71=1,IF(ISNA(MATCH($F71,People!$B$30:$B$36,0)),"Gate isn't one of the gate names on People. ","People names "&amp;INDEX(People!$C$30:$C$36,MATCH($F71,People!$B$30:$B$36,0))&amp;" to decide "&amp;$F71&amp;". "),IF($AA71=2,"People names nobody to decide "&amp;$F71&amp;". ",IF($AA71=3,"The Decision opens with a gate's name, so pick that gate in Gate. ","")))&amp;IF($AB71&gt;0,"Replaces needs the Id of a row dated no later than this one. ","")&amp;IF($AC71&gt;0,"Record elsewhere needs the name of the record the other file keeps. ",""))))</f>
        <v/>
      </c>
      <c r="T71" s="32">
        <f>IF(COUNTA($A71:$I71)&gt;0,1,0)</f>
        <v/>
      </c>
      <c r="U71" s="32">
        <f>IF(OR($T71=0,$A71=""),0,IF(COUNTIF($I$4:$I$153,$A71)&gt;0,1,0))</f>
        <v/>
      </c>
      <c r="V71" s="32">
        <f>IF(AND($T71=1,$H71&lt;&gt;"",$H71&lt;&gt;"This log"),1,0)</f>
        <v/>
      </c>
      <c r="W71" s="26">
        <f>IF($T71=0,"",","&amp;SUBSTITUTE(SUBSTITUTE($G71&amp;","&amp;$F71," ",""),";",",")&amp;",")</f>
        <v/>
      </c>
      <c r="X71" s="32">
        <f>IF($T71=0,0,IF(LEN(TRIM($D71))=0,1,IF(COUNTIF(People!$D$6:$D$25,TRIM($D71))=0,1,IF(INDEX(People!$E$6:$E$25,MATCH(TRIM($D71),People!$D$6:$D$25,0))&lt;&gt;"Body",0,IF(OR(LEN(TRIM(INDEX(People!$F$6:$F$25,MATCH(TRIM($D71),People!$D$6:$D$25,0))))=0,LEN(TRIM(INDEX(People!$G$6:$G$25,MATCH(TRIM($D71),People!$D$6:$D$25,0))))=0),1,0)))))</f>
        <v/>
      </c>
      <c r="Y71" s="32">
        <f>IF($T71=0,0,IF(LEN(TRIM($E71))=0,1,IF(LEN(TRIM($E71))-LEN(SUBSTITUTE(TRIM($E71)," ",""))+1&lt;3,1,IF(SUMPRODUCT((People!$J$6:$J$12&lt;&gt;"")*(LEFT(LOWER(TRIM($E71))&amp;" ",LEN(People!$J$6:$J$12)+1)=LOWER(People!$J$6:$J$12)&amp;" "))&gt;0,1,0))))</f>
        <v/>
      </c>
      <c r="Z71" s="32">
        <f>IF($T71=0,0,IF(NOT(ISNUMBER($B71)),1,IF($B71&gt;Summary!$K$3,1,0)))</f>
        <v/>
      </c>
      <c r="AA71" s="32">
        <f>IF($T71=0,0,IF($F71="",IF(SUMPRODUCT(--(LOWER(LEFT($C71,LEN(People!$B$30:$B$36)+1))=LOWER(People!$B$30:$B$36)&amp;":"))&gt;0,3,0),IF(ISNA(MATCH($F71,People!$B$30:$B$36,0)),1,IF(LEN(INDEX(People!$C$30:$C$36,MATCH($F71,People!$B$30:$B$36,0))&amp;"")=0,2,IF(TRIM($D71)&lt;&gt;INDEX(People!$C$30:$C$36,MATCH($F71,People!$B$30:$B$36,0)),1,0)))))</f>
        <v/>
      </c>
      <c r="AB71" s="32">
        <f>IF(OR($T71=0,$I71=""),0,IF(OR($I71=$A71,COUNTIF($A$4:$A$153,$I71)=0),1,IF(INDEX($B$4:$B$153,MATCH($I71,$A$4:$A$153,0))&gt;$B71,1,0)))</f>
        <v/>
      </c>
      <c r="AC71" s="32">
        <f>IF(AND($V71=1,LEN(TRIM($G71))=0),1,0)</f>
        <v/>
      </c>
      <c r="AD71" s="32">
        <f>IF($T71=0,0,IFERROR(VALUE(MID($A71,4,9)),0))</f>
        <v/>
      </c>
    </row>
    <row r="72" ht="18" customHeight="1">
      <c r="A72" s="27" t="n"/>
      <c r="B72" s="28" t="n"/>
      <c r="C72" s="29" t="n"/>
      <c r="D72" s="29" t="n"/>
      <c r="E72" s="29" t="n"/>
      <c r="F72" s="29" t="n"/>
      <c r="G72" s="29" t="n"/>
      <c r="H72" s="29" t="n"/>
      <c r="I72" s="27" t="n"/>
      <c r="J72" s="30">
        <f>IF(OR($T72=0,$U72=0),"",INDEX($A$4:$A$153,MATCH($A72,$I$4:$I$153,0)))</f>
        <v/>
      </c>
      <c r="K72" s="31">
        <f>IF($T72=0,"",IF(COUNTIF($X72:$AC72,"&gt;0")=0,"○ Clear",TRIM("△ "&amp;COUNTIF($X72:$AC72,"&gt;0")&amp;IF(COUNTIF($X72:$AC72,"&gt;0")=1," problem: "," problems: ")&amp;IF($X72&gt;0,"Decided by needs one name from People, and a body needs members and a signer. ","")&amp;IF($Y72&gt;0,"Why or evidence needs the reason itself, in three words or more. ","")&amp;IF($Z72&gt;0,"Date needs the day it was decided, no later than As of. ","")&amp;IF($AA72=1,IF(ISNA(MATCH($F72,People!$B$30:$B$36,0)),"Gate isn't one of the gate names on People. ","People names "&amp;INDEX(People!$C$30:$C$36,MATCH($F72,People!$B$30:$B$36,0))&amp;" to decide "&amp;$F72&amp;". "),IF($AA72=2,"People names nobody to decide "&amp;$F72&amp;". ",IF($AA72=3,"The Decision opens with a gate's name, so pick that gate in Gate. ","")))&amp;IF($AB72&gt;0,"Replaces needs the Id of a row dated no later than this one. ","")&amp;IF($AC72&gt;0,"Record elsewhere needs the name of the record the other file keeps. ",""))))</f>
        <v/>
      </c>
      <c r="T72" s="32">
        <f>IF(COUNTA($A72:$I72)&gt;0,1,0)</f>
        <v/>
      </c>
      <c r="U72" s="32">
        <f>IF(OR($T72=0,$A72=""),0,IF(COUNTIF($I$4:$I$153,$A72)&gt;0,1,0))</f>
        <v/>
      </c>
      <c r="V72" s="32">
        <f>IF(AND($T72=1,$H72&lt;&gt;"",$H72&lt;&gt;"This log"),1,0)</f>
        <v/>
      </c>
      <c r="W72" s="26">
        <f>IF($T72=0,"",","&amp;SUBSTITUTE(SUBSTITUTE($G72&amp;","&amp;$F72," ",""),";",",")&amp;",")</f>
        <v/>
      </c>
      <c r="X72" s="32">
        <f>IF($T72=0,0,IF(LEN(TRIM($D72))=0,1,IF(COUNTIF(People!$D$6:$D$25,TRIM($D72))=0,1,IF(INDEX(People!$E$6:$E$25,MATCH(TRIM($D72),People!$D$6:$D$25,0))&lt;&gt;"Body",0,IF(OR(LEN(TRIM(INDEX(People!$F$6:$F$25,MATCH(TRIM($D72),People!$D$6:$D$25,0))))=0,LEN(TRIM(INDEX(People!$G$6:$G$25,MATCH(TRIM($D72),People!$D$6:$D$25,0))))=0),1,0)))))</f>
        <v/>
      </c>
      <c r="Y72" s="32">
        <f>IF($T72=0,0,IF(LEN(TRIM($E72))=0,1,IF(LEN(TRIM($E72))-LEN(SUBSTITUTE(TRIM($E72)," ",""))+1&lt;3,1,IF(SUMPRODUCT((People!$J$6:$J$12&lt;&gt;"")*(LEFT(LOWER(TRIM($E72))&amp;" ",LEN(People!$J$6:$J$12)+1)=LOWER(People!$J$6:$J$12)&amp;" "))&gt;0,1,0))))</f>
        <v/>
      </c>
      <c r="Z72" s="32">
        <f>IF($T72=0,0,IF(NOT(ISNUMBER($B72)),1,IF($B72&gt;Summary!$K$3,1,0)))</f>
        <v/>
      </c>
      <c r="AA72" s="32">
        <f>IF($T72=0,0,IF($F72="",IF(SUMPRODUCT(--(LOWER(LEFT($C72,LEN(People!$B$30:$B$36)+1))=LOWER(People!$B$30:$B$36)&amp;":"))&gt;0,3,0),IF(ISNA(MATCH($F72,People!$B$30:$B$36,0)),1,IF(LEN(INDEX(People!$C$30:$C$36,MATCH($F72,People!$B$30:$B$36,0))&amp;"")=0,2,IF(TRIM($D72)&lt;&gt;INDEX(People!$C$30:$C$36,MATCH($F72,People!$B$30:$B$36,0)),1,0)))))</f>
        <v/>
      </c>
      <c r="AB72" s="32">
        <f>IF(OR($T72=0,$I72=""),0,IF(OR($I72=$A72,COUNTIF($A$4:$A$153,$I72)=0),1,IF(INDEX($B$4:$B$153,MATCH($I72,$A$4:$A$153,0))&gt;$B72,1,0)))</f>
        <v/>
      </c>
      <c r="AC72" s="32">
        <f>IF(AND($V72=1,LEN(TRIM($G72))=0),1,0)</f>
        <v/>
      </c>
      <c r="AD72" s="32">
        <f>IF($T72=0,0,IFERROR(VALUE(MID($A72,4,9)),0))</f>
        <v/>
      </c>
    </row>
    <row r="73" ht="18" customHeight="1">
      <c r="A73" s="27" t="n"/>
      <c r="B73" s="28" t="n"/>
      <c r="C73" s="29" t="n"/>
      <c r="D73" s="29" t="n"/>
      <c r="E73" s="29" t="n"/>
      <c r="F73" s="29" t="n"/>
      <c r="G73" s="29" t="n"/>
      <c r="H73" s="29" t="n"/>
      <c r="I73" s="27" t="n"/>
      <c r="J73" s="30">
        <f>IF(OR($T73=0,$U73=0),"",INDEX($A$4:$A$153,MATCH($A73,$I$4:$I$153,0)))</f>
        <v/>
      </c>
      <c r="K73" s="31">
        <f>IF($T73=0,"",IF(COUNTIF($X73:$AC73,"&gt;0")=0,"○ Clear",TRIM("△ "&amp;COUNTIF($X73:$AC73,"&gt;0")&amp;IF(COUNTIF($X73:$AC73,"&gt;0")=1," problem: "," problems: ")&amp;IF($X73&gt;0,"Decided by needs one name from People, and a body needs members and a signer. ","")&amp;IF($Y73&gt;0,"Why or evidence needs the reason itself, in three words or more. ","")&amp;IF($Z73&gt;0,"Date needs the day it was decided, no later than As of. ","")&amp;IF($AA73=1,IF(ISNA(MATCH($F73,People!$B$30:$B$36,0)),"Gate isn't one of the gate names on People. ","People names "&amp;INDEX(People!$C$30:$C$36,MATCH($F73,People!$B$30:$B$36,0))&amp;" to decide "&amp;$F73&amp;". "),IF($AA73=2,"People names nobody to decide "&amp;$F73&amp;". ",IF($AA73=3,"The Decision opens with a gate's name, so pick that gate in Gate. ","")))&amp;IF($AB73&gt;0,"Replaces needs the Id of a row dated no later than this one. ","")&amp;IF($AC73&gt;0,"Record elsewhere needs the name of the record the other file keeps. ",""))))</f>
        <v/>
      </c>
      <c r="T73" s="32">
        <f>IF(COUNTA($A73:$I73)&gt;0,1,0)</f>
        <v/>
      </c>
      <c r="U73" s="32">
        <f>IF(OR($T73=0,$A73=""),0,IF(COUNTIF($I$4:$I$153,$A73)&gt;0,1,0))</f>
        <v/>
      </c>
      <c r="V73" s="32">
        <f>IF(AND($T73=1,$H73&lt;&gt;"",$H73&lt;&gt;"This log"),1,0)</f>
        <v/>
      </c>
      <c r="W73" s="26">
        <f>IF($T73=0,"",","&amp;SUBSTITUTE(SUBSTITUTE($G73&amp;","&amp;$F73," ",""),";",",")&amp;",")</f>
        <v/>
      </c>
      <c r="X73" s="32">
        <f>IF($T73=0,0,IF(LEN(TRIM($D73))=0,1,IF(COUNTIF(People!$D$6:$D$25,TRIM($D73))=0,1,IF(INDEX(People!$E$6:$E$25,MATCH(TRIM($D73),People!$D$6:$D$25,0))&lt;&gt;"Body",0,IF(OR(LEN(TRIM(INDEX(People!$F$6:$F$25,MATCH(TRIM($D73),People!$D$6:$D$25,0))))=0,LEN(TRIM(INDEX(People!$G$6:$G$25,MATCH(TRIM($D73),People!$D$6:$D$25,0))))=0),1,0)))))</f>
        <v/>
      </c>
      <c r="Y73" s="32">
        <f>IF($T73=0,0,IF(LEN(TRIM($E73))=0,1,IF(LEN(TRIM($E73))-LEN(SUBSTITUTE(TRIM($E73)," ",""))+1&lt;3,1,IF(SUMPRODUCT((People!$J$6:$J$12&lt;&gt;"")*(LEFT(LOWER(TRIM($E73))&amp;" ",LEN(People!$J$6:$J$12)+1)=LOWER(People!$J$6:$J$12)&amp;" "))&gt;0,1,0))))</f>
        <v/>
      </c>
      <c r="Z73" s="32">
        <f>IF($T73=0,0,IF(NOT(ISNUMBER($B73)),1,IF($B73&gt;Summary!$K$3,1,0)))</f>
        <v/>
      </c>
      <c r="AA73" s="32">
        <f>IF($T73=0,0,IF($F73="",IF(SUMPRODUCT(--(LOWER(LEFT($C73,LEN(People!$B$30:$B$36)+1))=LOWER(People!$B$30:$B$36)&amp;":"))&gt;0,3,0),IF(ISNA(MATCH($F73,People!$B$30:$B$36,0)),1,IF(LEN(INDEX(People!$C$30:$C$36,MATCH($F73,People!$B$30:$B$36,0))&amp;"")=0,2,IF(TRIM($D73)&lt;&gt;INDEX(People!$C$30:$C$36,MATCH($F73,People!$B$30:$B$36,0)),1,0)))))</f>
        <v/>
      </c>
      <c r="AB73" s="32">
        <f>IF(OR($T73=0,$I73=""),0,IF(OR($I73=$A73,COUNTIF($A$4:$A$153,$I73)=0),1,IF(INDEX($B$4:$B$153,MATCH($I73,$A$4:$A$153,0))&gt;$B73,1,0)))</f>
        <v/>
      </c>
      <c r="AC73" s="32">
        <f>IF(AND($V73=1,LEN(TRIM($G73))=0),1,0)</f>
        <v/>
      </c>
      <c r="AD73" s="32">
        <f>IF($T73=0,0,IFERROR(VALUE(MID($A73,4,9)),0))</f>
        <v/>
      </c>
    </row>
    <row r="74" ht="18" customHeight="1">
      <c r="A74" s="27" t="n"/>
      <c r="B74" s="28" t="n"/>
      <c r="C74" s="29" t="n"/>
      <c r="D74" s="29" t="n"/>
      <c r="E74" s="29" t="n"/>
      <c r="F74" s="29" t="n"/>
      <c r="G74" s="29" t="n"/>
      <c r="H74" s="29" t="n"/>
      <c r="I74" s="27" t="n"/>
      <c r="J74" s="30">
        <f>IF(OR($T74=0,$U74=0),"",INDEX($A$4:$A$153,MATCH($A74,$I$4:$I$153,0)))</f>
        <v/>
      </c>
      <c r="K74" s="31">
        <f>IF($T74=0,"",IF(COUNTIF($X74:$AC74,"&gt;0")=0,"○ Clear",TRIM("△ "&amp;COUNTIF($X74:$AC74,"&gt;0")&amp;IF(COUNTIF($X74:$AC74,"&gt;0")=1," problem: "," problems: ")&amp;IF($X74&gt;0,"Decided by needs one name from People, and a body needs members and a signer. ","")&amp;IF($Y74&gt;0,"Why or evidence needs the reason itself, in three words or more. ","")&amp;IF($Z74&gt;0,"Date needs the day it was decided, no later than As of. ","")&amp;IF($AA74=1,IF(ISNA(MATCH($F74,People!$B$30:$B$36,0)),"Gate isn't one of the gate names on People. ","People names "&amp;INDEX(People!$C$30:$C$36,MATCH($F74,People!$B$30:$B$36,0))&amp;" to decide "&amp;$F74&amp;". "),IF($AA74=2,"People names nobody to decide "&amp;$F74&amp;". ",IF($AA74=3,"The Decision opens with a gate's name, so pick that gate in Gate. ","")))&amp;IF($AB74&gt;0,"Replaces needs the Id of a row dated no later than this one. ","")&amp;IF($AC74&gt;0,"Record elsewhere needs the name of the record the other file keeps. ",""))))</f>
        <v/>
      </c>
      <c r="T74" s="32">
        <f>IF(COUNTA($A74:$I74)&gt;0,1,0)</f>
        <v/>
      </c>
      <c r="U74" s="32">
        <f>IF(OR($T74=0,$A74=""),0,IF(COUNTIF($I$4:$I$153,$A74)&gt;0,1,0))</f>
        <v/>
      </c>
      <c r="V74" s="32">
        <f>IF(AND($T74=1,$H74&lt;&gt;"",$H74&lt;&gt;"This log"),1,0)</f>
        <v/>
      </c>
      <c r="W74" s="26">
        <f>IF($T74=0,"",","&amp;SUBSTITUTE(SUBSTITUTE($G74&amp;","&amp;$F74," ",""),";",",")&amp;",")</f>
        <v/>
      </c>
      <c r="X74" s="32">
        <f>IF($T74=0,0,IF(LEN(TRIM($D74))=0,1,IF(COUNTIF(People!$D$6:$D$25,TRIM($D74))=0,1,IF(INDEX(People!$E$6:$E$25,MATCH(TRIM($D74),People!$D$6:$D$25,0))&lt;&gt;"Body",0,IF(OR(LEN(TRIM(INDEX(People!$F$6:$F$25,MATCH(TRIM($D74),People!$D$6:$D$25,0))))=0,LEN(TRIM(INDEX(People!$G$6:$G$25,MATCH(TRIM($D74),People!$D$6:$D$25,0))))=0),1,0)))))</f>
        <v/>
      </c>
      <c r="Y74" s="32">
        <f>IF($T74=0,0,IF(LEN(TRIM($E74))=0,1,IF(LEN(TRIM($E74))-LEN(SUBSTITUTE(TRIM($E74)," ",""))+1&lt;3,1,IF(SUMPRODUCT((People!$J$6:$J$12&lt;&gt;"")*(LEFT(LOWER(TRIM($E74))&amp;" ",LEN(People!$J$6:$J$12)+1)=LOWER(People!$J$6:$J$12)&amp;" "))&gt;0,1,0))))</f>
        <v/>
      </c>
      <c r="Z74" s="32">
        <f>IF($T74=0,0,IF(NOT(ISNUMBER($B74)),1,IF($B74&gt;Summary!$K$3,1,0)))</f>
        <v/>
      </c>
      <c r="AA74" s="32">
        <f>IF($T74=0,0,IF($F74="",IF(SUMPRODUCT(--(LOWER(LEFT($C74,LEN(People!$B$30:$B$36)+1))=LOWER(People!$B$30:$B$36)&amp;":"))&gt;0,3,0),IF(ISNA(MATCH($F74,People!$B$30:$B$36,0)),1,IF(LEN(INDEX(People!$C$30:$C$36,MATCH($F74,People!$B$30:$B$36,0))&amp;"")=0,2,IF(TRIM($D74)&lt;&gt;INDEX(People!$C$30:$C$36,MATCH($F74,People!$B$30:$B$36,0)),1,0)))))</f>
        <v/>
      </c>
      <c r="AB74" s="32">
        <f>IF(OR($T74=0,$I74=""),0,IF(OR($I74=$A74,COUNTIF($A$4:$A$153,$I74)=0),1,IF(INDEX($B$4:$B$153,MATCH($I74,$A$4:$A$153,0))&gt;$B74,1,0)))</f>
        <v/>
      </c>
      <c r="AC74" s="32">
        <f>IF(AND($V74=1,LEN(TRIM($G74))=0),1,0)</f>
        <v/>
      </c>
      <c r="AD74" s="32">
        <f>IF($T74=0,0,IFERROR(VALUE(MID($A74,4,9)),0))</f>
        <v/>
      </c>
    </row>
    <row r="75" ht="18" customHeight="1">
      <c r="A75" s="27" t="n"/>
      <c r="B75" s="28" t="n"/>
      <c r="C75" s="29" t="n"/>
      <c r="D75" s="29" t="n"/>
      <c r="E75" s="29" t="n"/>
      <c r="F75" s="29" t="n"/>
      <c r="G75" s="29" t="n"/>
      <c r="H75" s="29" t="n"/>
      <c r="I75" s="27" t="n"/>
      <c r="J75" s="30">
        <f>IF(OR($T75=0,$U75=0),"",INDEX($A$4:$A$153,MATCH($A75,$I$4:$I$153,0)))</f>
        <v/>
      </c>
      <c r="K75" s="31">
        <f>IF($T75=0,"",IF(COUNTIF($X75:$AC75,"&gt;0")=0,"○ Clear",TRIM("△ "&amp;COUNTIF($X75:$AC75,"&gt;0")&amp;IF(COUNTIF($X75:$AC75,"&gt;0")=1," problem: "," problems: ")&amp;IF($X75&gt;0,"Decided by needs one name from People, and a body needs members and a signer. ","")&amp;IF($Y75&gt;0,"Why or evidence needs the reason itself, in three words or more. ","")&amp;IF($Z75&gt;0,"Date needs the day it was decided, no later than As of. ","")&amp;IF($AA75=1,IF(ISNA(MATCH($F75,People!$B$30:$B$36,0)),"Gate isn't one of the gate names on People. ","People names "&amp;INDEX(People!$C$30:$C$36,MATCH($F75,People!$B$30:$B$36,0))&amp;" to decide "&amp;$F75&amp;". "),IF($AA75=2,"People names nobody to decide "&amp;$F75&amp;". ",IF($AA75=3,"The Decision opens with a gate's name, so pick that gate in Gate. ","")))&amp;IF($AB75&gt;0,"Replaces needs the Id of a row dated no later than this one. ","")&amp;IF($AC75&gt;0,"Record elsewhere needs the name of the record the other file keeps. ",""))))</f>
        <v/>
      </c>
      <c r="T75" s="32">
        <f>IF(COUNTA($A75:$I75)&gt;0,1,0)</f>
        <v/>
      </c>
      <c r="U75" s="32">
        <f>IF(OR($T75=0,$A75=""),0,IF(COUNTIF($I$4:$I$153,$A75)&gt;0,1,0))</f>
        <v/>
      </c>
      <c r="V75" s="32">
        <f>IF(AND($T75=1,$H75&lt;&gt;"",$H75&lt;&gt;"This log"),1,0)</f>
        <v/>
      </c>
      <c r="W75" s="26">
        <f>IF($T75=0,"",","&amp;SUBSTITUTE(SUBSTITUTE($G75&amp;","&amp;$F75," ",""),";",",")&amp;",")</f>
        <v/>
      </c>
      <c r="X75" s="32">
        <f>IF($T75=0,0,IF(LEN(TRIM($D75))=0,1,IF(COUNTIF(People!$D$6:$D$25,TRIM($D75))=0,1,IF(INDEX(People!$E$6:$E$25,MATCH(TRIM($D75),People!$D$6:$D$25,0))&lt;&gt;"Body",0,IF(OR(LEN(TRIM(INDEX(People!$F$6:$F$25,MATCH(TRIM($D75),People!$D$6:$D$25,0))))=0,LEN(TRIM(INDEX(People!$G$6:$G$25,MATCH(TRIM($D75),People!$D$6:$D$25,0))))=0),1,0)))))</f>
        <v/>
      </c>
      <c r="Y75" s="32">
        <f>IF($T75=0,0,IF(LEN(TRIM($E75))=0,1,IF(LEN(TRIM($E75))-LEN(SUBSTITUTE(TRIM($E75)," ",""))+1&lt;3,1,IF(SUMPRODUCT((People!$J$6:$J$12&lt;&gt;"")*(LEFT(LOWER(TRIM($E75))&amp;" ",LEN(People!$J$6:$J$12)+1)=LOWER(People!$J$6:$J$12)&amp;" "))&gt;0,1,0))))</f>
        <v/>
      </c>
      <c r="Z75" s="32">
        <f>IF($T75=0,0,IF(NOT(ISNUMBER($B75)),1,IF($B75&gt;Summary!$K$3,1,0)))</f>
        <v/>
      </c>
      <c r="AA75" s="32">
        <f>IF($T75=0,0,IF($F75="",IF(SUMPRODUCT(--(LOWER(LEFT($C75,LEN(People!$B$30:$B$36)+1))=LOWER(People!$B$30:$B$36)&amp;":"))&gt;0,3,0),IF(ISNA(MATCH($F75,People!$B$30:$B$36,0)),1,IF(LEN(INDEX(People!$C$30:$C$36,MATCH($F75,People!$B$30:$B$36,0))&amp;"")=0,2,IF(TRIM($D75)&lt;&gt;INDEX(People!$C$30:$C$36,MATCH($F75,People!$B$30:$B$36,0)),1,0)))))</f>
        <v/>
      </c>
      <c r="AB75" s="32">
        <f>IF(OR($T75=0,$I75=""),0,IF(OR($I75=$A75,COUNTIF($A$4:$A$153,$I75)=0),1,IF(INDEX($B$4:$B$153,MATCH($I75,$A$4:$A$153,0))&gt;$B75,1,0)))</f>
        <v/>
      </c>
      <c r="AC75" s="32">
        <f>IF(AND($V75=1,LEN(TRIM($G75))=0),1,0)</f>
        <v/>
      </c>
      <c r="AD75" s="32">
        <f>IF($T75=0,0,IFERROR(VALUE(MID($A75,4,9)),0))</f>
        <v/>
      </c>
    </row>
    <row r="76" ht="18" customHeight="1">
      <c r="A76" s="27" t="n"/>
      <c r="B76" s="28" t="n"/>
      <c r="C76" s="29" t="n"/>
      <c r="D76" s="29" t="n"/>
      <c r="E76" s="29" t="n"/>
      <c r="F76" s="29" t="n"/>
      <c r="G76" s="29" t="n"/>
      <c r="H76" s="29" t="n"/>
      <c r="I76" s="27" t="n"/>
      <c r="J76" s="30">
        <f>IF(OR($T76=0,$U76=0),"",INDEX($A$4:$A$153,MATCH($A76,$I$4:$I$153,0)))</f>
        <v/>
      </c>
      <c r="K76" s="31">
        <f>IF($T76=0,"",IF(COUNTIF($X76:$AC76,"&gt;0")=0,"○ Clear",TRIM("△ "&amp;COUNTIF($X76:$AC76,"&gt;0")&amp;IF(COUNTIF($X76:$AC76,"&gt;0")=1," problem: "," problems: ")&amp;IF($X76&gt;0,"Decided by needs one name from People, and a body needs members and a signer. ","")&amp;IF($Y76&gt;0,"Why or evidence needs the reason itself, in three words or more. ","")&amp;IF($Z76&gt;0,"Date needs the day it was decided, no later than As of. ","")&amp;IF($AA76=1,IF(ISNA(MATCH($F76,People!$B$30:$B$36,0)),"Gate isn't one of the gate names on People. ","People names "&amp;INDEX(People!$C$30:$C$36,MATCH($F76,People!$B$30:$B$36,0))&amp;" to decide "&amp;$F76&amp;". "),IF($AA76=2,"People names nobody to decide "&amp;$F76&amp;". ",IF($AA76=3,"The Decision opens with a gate's name, so pick that gate in Gate. ","")))&amp;IF($AB76&gt;0,"Replaces needs the Id of a row dated no later than this one. ","")&amp;IF($AC76&gt;0,"Record elsewhere needs the name of the record the other file keeps. ",""))))</f>
        <v/>
      </c>
      <c r="T76" s="32">
        <f>IF(COUNTA($A76:$I76)&gt;0,1,0)</f>
        <v/>
      </c>
      <c r="U76" s="32">
        <f>IF(OR($T76=0,$A76=""),0,IF(COUNTIF($I$4:$I$153,$A76)&gt;0,1,0))</f>
        <v/>
      </c>
      <c r="V76" s="32">
        <f>IF(AND($T76=1,$H76&lt;&gt;"",$H76&lt;&gt;"This log"),1,0)</f>
        <v/>
      </c>
      <c r="W76" s="26">
        <f>IF($T76=0,"",","&amp;SUBSTITUTE(SUBSTITUTE($G76&amp;","&amp;$F76," ",""),";",",")&amp;",")</f>
        <v/>
      </c>
      <c r="X76" s="32">
        <f>IF($T76=0,0,IF(LEN(TRIM($D76))=0,1,IF(COUNTIF(People!$D$6:$D$25,TRIM($D76))=0,1,IF(INDEX(People!$E$6:$E$25,MATCH(TRIM($D76),People!$D$6:$D$25,0))&lt;&gt;"Body",0,IF(OR(LEN(TRIM(INDEX(People!$F$6:$F$25,MATCH(TRIM($D76),People!$D$6:$D$25,0))))=0,LEN(TRIM(INDEX(People!$G$6:$G$25,MATCH(TRIM($D76),People!$D$6:$D$25,0))))=0),1,0)))))</f>
        <v/>
      </c>
      <c r="Y76" s="32">
        <f>IF($T76=0,0,IF(LEN(TRIM($E76))=0,1,IF(LEN(TRIM($E76))-LEN(SUBSTITUTE(TRIM($E76)," ",""))+1&lt;3,1,IF(SUMPRODUCT((People!$J$6:$J$12&lt;&gt;"")*(LEFT(LOWER(TRIM($E76))&amp;" ",LEN(People!$J$6:$J$12)+1)=LOWER(People!$J$6:$J$12)&amp;" "))&gt;0,1,0))))</f>
        <v/>
      </c>
      <c r="Z76" s="32">
        <f>IF($T76=0,0,IF(NOT(ISNUMBER($B76)),1,IF($B76&gt;Summary!$K$3,1,0)))</f>
        <v/>
      </c>
      <c r="AA76" s="32">
        <f>IF($T76=0,0,IF($F76="",IF(SUMPRODUCT(--(LOWER(LEFT($C76,LEN(People!$B$30:$B$36)+1))=LOWER(People!$B$30:$B$36)&amp;":"))&gt;0,3,0),IF(ISNA(MATCH($F76,People!$B$30:$B$36,0)),1,IF(LEN(INDEX(People!$C$30:$C$36,MATCH($F76,People!$B$30:$B$36,0))&amp;"")=0,2,IF(TRIM($D76)&lt;&gt;INDEX(People!$C$30:$C$36,MATCH($F76,People!$B$30:$B$36,0)),1,0)))))</f>
        <v/>
      </c>
      <c r="AB76" s="32">
        <f>IF(OR($T76=0,$I76=""),0,IF(OR($I76=$A76,COUNTIF($A$4:$A$153,$I76)=0),1,IF(INDEX($B$4:$B$153,MATCH($I76,$A$4:$A$153,0))&gt;$B76,1,0)))</f>
        <v/>
      </c>
      <c r="AC76" s="32">
        <f>IF(AND($V76=1,LEN(TRIM($G76))=0),1,0)</f>
        <v/>
      </c>
      <c r="AD76" s="32">
        <f>IF($T76=0,0,IFERROR(VALUE(MID($A76,4,9)),0))</f>
        <v/>
      </c>
    </row>
    <row r="77" ht="18" customHeight="1">
      <c r="A77" s="27" t="n"/>
      <c r="B77" s="28" t="n"/>
      <c r="C77" s="29" t="n"/>
      <c r="D77" s="29" t="n"/>
      <c r="E77" s="29" t="n"/>
      <c r="F77" s="29" t="n"/>
      <c r="G77" s="29" t="n"/>
      <c r="H77" s="29" t="n"/>
      <c r="I77" s="27" t="n"/>
      <c r="J77" s="30">
        <f>IF(OR($T77=0,$U77=0),"",INDEX($A$4:$A$153,MATCH($A77,$I$4:$I$153,0)))</f>
        <v/>
      </c>
      <c r="K77" s="31">
        <f>IF($T77=0,"",IF(COUNTIF($X77:$AC77,"&gt;0")=0,"○ Clear",TRIM("△ "&amp;COUNTIF($X77:$AC77,"&gt;0")&amp;IF(COUNTIF($X77:$AC77,"&gt;0")=1," problem: "," problems: ")&amp;IF($X77&gt;0,"Decided by needs one name from People, and a body needs members and a signer. ","")&amp;IF($Y77&gt;0,"Why or evidence needs the reason itself, in three words or more. ","")&amp;IF($Z77&gt;0,"Date needs the day it was decided, no later than As of. ","")&amp;IF($AA77=1,IF(ISNA(MATCH($F77,People!$B$30:$B$36,0)),"Gate isn't one of the gate names on People. ","People names "&amp;INDEX(People!$C$30:$C$36,MATCH($F77,People!$B$30:$B$36,0))&amp;" to decide "&amp;$F77&amp;". "),IF($AA77=2,"People names nobody to decide "&amp;$F77&amp;". ",IF($AA77=3,"The Decision opens with a gate's name, so pick that gate in Gate. ","")))&amp;IF($AB77&gt;0,"Replaces needs the Id of a row dated no later than this one. ","")&amp;IF($AC77&gt;0,"Record elsewhere needs the name of the record the other file keeps. ",""))))</f>
        <v/>
      </c>
      <c r="T77" s="32">
        <f>IF(COUNTA($A77:$I77)&gt;0,1,0)</f>
        <v/>
      </c>
      <c r="U77" s="32">
        <f>IF(OR($T77=0,$A77=""),0,IF(COUNTIF($I$4:$I$153,$A77)&gt;0,1,0))</f>
        <v/>
      </c>
      <c r="V77" s="32">
        <f>IF(AND($T77=1,$H77&lt;&gt;"",$H77&lt;&gt;"This log"),1,0)</f>
        <v/>
      </c>
      <c r="W77" s="26">
        <f>IF($T77=0,"",","&amp;SUBSTITUTE(SUBSTITUTE($G77&amp;","&amp;$F77," ",""),";",",")&amp;",")</f>
        <v/>
      </c>
      <c r="X77" s="32">
        <f>IF($T77=0,0,IF(LEN(TRIM($D77))=0,1,IF(COUNTIF(People!$D$6:$D$25,TRIM($D77))=0,1,IF(INDEX(People!$E$6:$E$25,MATCH(TRIM($D77),People!$D$6:$D$25,0))&lt;&gt;"Body",0,IF(OR(LEN(TRIM(INDEX(People!$F$6:$F$25,MATCH(TRIM($D77),People!$D$6:$D$25,0))))=0,LEN(TRIM(INDEX(People!$G$6:$G$25,MATCH(TRIM($D77),People!$D$6:$D$25,0))))=0),1,0)))))</f>
        <v/>
      </c>
      <c r="Y77" s="32">
        <f>IF($T77=0,0,IF(LEN(TRIM($E77))=0,1,IF(LEN(TRIM($E77))-LEN(SUBSTITUTE(TRIM($E77)," ",""))+1&lt;3,1,IF(SUMPRODUCT((People!$J$6:$J$12&lt;&gt;"")*(LEFT(LOWER(TRIM($E77))&amp;" ",LEN(People!$J$6:$J$12)+1)=LOWER(People!$J$6:$J$12)&amp;" "))&gt;0,1,0))))</f>
        <v/>
      </c>
      <c r="Z77" s="32">
        <f>IF($T77=0,0,IF(NOT(ISNUMBER($B77)),1,IF($B77&gt;Summary!$K$3,1,0)))</f>
        <v/>
      </c>
      <c r="AA77" s="32">
        <f>IF($T77=0,0,IF($F77="",IF(SUMPRODUCT(--(LOWER(LEFT($C77,LEN(People!$B$30:$B$36)+1))=LOWER(People!$B$30:$B$36)&amp;":"))&gt;0,3,0),IF(ISNA(MATCH($F77,People!$B$30:$B$36,0)),1,IF(LEN(INDEX(People!$C$30:$C$36,MATCH($F77,People!$B$30:$B$36,0))&amp;"")=0,2,IF(TRIM($D77)&lt;&gt;INDEX(People!$C$30:$C$36,MATCH($F77,People!$B$30:$B$36,0)),1,0)))))</f>
        <v/>
      </c>
      <c r="AB77" s="32">
        <f>IF(OR($T77=0,$I77=""),0,IF(OR($I77=$A77,COUNTIF($A$4:$A$153,$I77)=0),1,IF(INDEX($B$4:$B$153,MATCH($I77,$A$4:$A$153,0))&gt;$B77,1,0)))</f>
        <v/>
      </c>
      <c r="AC77" s="32">
        <f>IF(AND($V77=1,LEN(TRIM($G77))=0),1,0)</f>
        <v/>
      </c>
      <c r="AD77" s="32">
        <f>IF($T77=0,0,IFERROR(VALUE(MID($A77,4,9)),0))</f>
        <v/>
      </c>
    </row>
    <row r="78" ht="18" customHeight="1">
      <c r="A78" s="27" t="n"/>
      <c r="B78" s="28" t="n"/>
      <c r="C78" s="29" t="n"/>
      <c r="D78" s="29" t="n"/>
      <c r="E78" s="29" t="n"/>
      <c r="F78" s="29" t="n"/>
      <c r="G78" s="29" t="n"/>
      <c r="H78" s="29" t="n"/>
      <c r="I78" s="27" t="n"/>
      <c r="J78" s="30">
        <f>IF(OR($T78=0,$U78=0),"",INDEX($A$4:$A$153,MATCH($A78,$I$4:$I$153,0)))</f>
        <v/>
      </c>
      <c r="K78" s="31">
        <f>IF($T78=0,"",IF(COUNTIF($X78:$AC78,"&gt;0")=0,"○ Clear",TRIM("△ "&amp;COUNTIF($X78:$AC78,"&gt;0")&amp;IF(COUNTIF($X78:$AC78,"&gt;0")=1," problem: "," problems: ")&amp;IF($X78&gt;0,"Decided by needs one name from People, and a body needs members and a signer. ","")&amp;IF($Y78&gt;0,"Why or evidence needs the reason itself, in three words or more. ","")&amp;IF($Z78&gt;0,"Date needs the day it was decided, no later than As of. ","")&amp;IF($AA78=1,IF(ISNA(MATCH($F78,People!$B$30:$B$36,0)),"Gate isn't one of the gate names on People. ","People names "&amp;INDEX(People!$C$30:$C$36,MATCH($F78,People!$B$30:$B$36,0))&amp;" to decide "&amp;$F78&amp;". "),IF($AA78=2,"People names nobody to decide "&amp;$F78&amp;". ",IF($AA78=3,"The Decision opens with a gate's name, so pick that gate in Gate. ","")))&amp;IF($AB78&gt;0,"Replaces needs the Id of a row dated no later than this one. ","")&amp;IF($AC78&gt;0,"Record elsewhere needs the name of the record the other file keeps. ",""))))</f>
        <v/>
      </c>
      <c r="T78" s="32">
        <f>IF(COUNTA($A78:$I78)&gt;0,1,0)</f>
        <v/>
      </c>
      <c r="U78" s="32">
        <f>IF(OR($T78=0,$A78=""),0,IF(COUNTIF($I$4:$I$153,$A78)&gt;0,1,0))</f>
        <v/>
      </c>
      <c r="V78" s="32">
        <f>IF(AND($T78=1,$H78&lt;&gt;"",$H78&lt;&gt;"This log"),1,0)</f>
        <v/>
      </c>
      <c r="W78" s="26">
        <f>IF($T78=0,"",","&amp;SUBSTITUTE(SUBSTITUTE($G78&amp;","&amp;$F78," ",""),";",",")&amp;",")</f>
        <v/>
      </c>
      <c r="X78" s="32">
        <f>IF($T78=0,0,IF(LEN(TRIM($D78))=0,1,IF(COUNTIF(People!$D$6:$D$25,TRIM($D78))=0,1,IF(INDEX(People!$E$6:$E$25,MATCH(TRIM($D78),People!$D$6:$D$25,0))&lt;&gt;"Body",0,IF(OR(LEN(TRIM(INDEX(People!$F$6:$F$25,MATCH(TRIM($D78),People!$D$6:$D$25,0))))=0,LEN(TRIM(INDEX(People!$G$6:$G$25,MATCH(TRIM($D78),People!$D$6:$D$25,0))))=0),1,0)))))</f>
        <v/>
      </c>
      <c r="Y78" s="32">
        <f>IF($T78=0,0,IF(LEN(TRIM($E78))=0,1,IF(LEN(TRIM($E78))-LEN(SUBSTITUTE(TRIM($E78)," ",""))+1&lt;3,1,IF(SUMPRODUCT((People!$J$6:$J$12&lt;&gt;"")*(LEFT(LOWER(TRIM($E78))&amp;" ",LEN(People!$J$6:$J$12)+1)=LOWER(People!$J$6:$J$12)&amp;" "))&gt;0,1,0))))</f>
        <v/>
      </c>
      <c r="Z78" s="32">
        <f>IF($T78=0,0,IF(NOT(ISNUMBER($B78)),1,IF($B78&gt;Summary!$K$3,1,0)))</f>
        <v/>
      </c>
      <c r="AA78" s="32">
        <f>IF($T78=0,0,IF($F78="",IF(SUMPRODUCT(--(LOWER(LEFT($C78,LEN(People!$B$30:$B$36)+1))=LOWER(People!$B$30:$B$36)&amp;":"))&gt;0,3,0),IF(ISNA(MATCH($F78,People!$B$30:$B$36,0)),1,IF(LEN(INDEX(People!$C$30:$C$36,MATCH($F78,People!$B$30:$B$36,0))&amp;"")=0,2,IF(TRIM($D78)&lt;&gt;INDEX(People!$C$30:$C$36,MATCH($F78,People!$B$30:$B$36,0)),1,0)))))</f>
        <v/>
      </c>
      <c r="AB78" s="32">
        <f>IF(OR($T78=0,$I78=""),0,IF(OR($I78=$A78,COUNTIF($A$4:$A$153,$I78)=0),1,IF(INDEX($B$4:$B$153,MATCH($I78,$A$4:$A$153,0))&gt;$B78,1,0)))</f>
        <v/>
      </c>
      <c r="AC78" s="32">
        <f>IF(AND($V78=1,LEN(TRIM($G78))=0),1,0)</f>
        <v/>
      </c>
      <c r="AD78" s="32">
        <f>IF($T78=0,0,IFERROR(VALUE(MID($A78,4,9)),0))</f>
        <v/>
      </c>
    </row>
    <row r="79" ht="18" customHeight="1">
      <c r="A79" s="27" t="n"/>
      <c r="B79" s="28" t="n"/>
      <c r="C79" s="29" t="n"/>
      <c r="D79" s="29" t="n"/>
      <c r="E79" s="29" t="n"/>
      <c r="F79" s="29" t="n"/>
      <c r="G79" s="29" t="n"/>
      <c r="H79" s="29" t="n"/>
      <c r="I79" s="27" t="n"/>
      <c r="J79" s="30">
        <f>IF(OR($T79=0,$U79=0),"",INDEX($A$4:$A$153,MATCH($A79,$I$4:$I$153,0)))</f>
        <v/>
      </c>
      <c r="K79" s="31">
        <f>IF($T79=0,"",IF(COUNTIF($X79:$AC79,"&gt;0")=0,"○ Clear",TRIM("△ "&amp;COUNTIF($X79:$AC79,"&gt;0")&amp;IF(COUNTIF($X79:$AC79,"&gt;0")=1," problem: "," problems: ")&amp;IF($X79&gt;0,"Decided by needs one name from People, and a body needs members and a signer. ","")&amp;IF($Y79&gt;0,"Why or evidence needs the reason itself, in three words or more. ","")&amp;IF($Z79&gt;0,"Date needs the day it was decided, no later than As of. ","")&amp;IF($AA79=1,IF(ISNA(MATCH($F79,People!$B$30:$B$36,0)),"Gate isn't one of the gate names on People. ","People names "&amp;INDEX(People!$C$30:$C$36,MATCH($F79,People!$B$30:$B$36,0))&amp;" to decide "&amp;$F79&amp;". "),IF($AA79=2,"People names nobody to decide "&amp;$F79&amp;". ",IF($AA79=3,"The Decision opens with a gate's name, so pick that gate in Gate. ","")))&amp;IF($AB79&gt;0,"Replaces needs the Id of a row dated no later than this one. ","")&amp;IF($AC79&gt;0,"Record elsewhere needs the name of the record the other file keeps. ",""))))</f>
        <v/>
      </c>
      <c r="T79" s="32">
        <f>IF(COUNTA($A79:$I79)&gt;0,1,0)</f>
        <v/>
      </c>
      <c r="U79" s="32">
        <f>IF(OR($T79=0,$A79=""),0,IF(COUNTIF($I$4:$I$153,$A79)&gt;0,1,0))</f>
        <v/>
      </c>
      <c r="V79" s="32">
        <f>IF(AND($T79=1,$H79&lt;&gt;"",$H79&lt;&gt;"This log"),1,0)</f>
        <v/>
      </c>
      <c r="W79" s="26">
        <f>IF($T79=0,"",","&amp;SUBSTITUTE(SUBSTITUTE($G79&amp;","&amp;$F79," ",""),";",",")&amp;",")</f>
        <v/>
      </c>
      <c r="X79" s="32">
        <f>IF($T79=0,0,IF(LEN(TRIM($D79))=0,1,IF(COUNTIF(People!$D$6:$D$25,TRIM($D79))=0,1,IF(INDEX(People!$E$6:$E$25,MATCH(TRIM($D79),People!$D$6:$D$25,0))&lt;&gt;"Body",0,IF(OR(LEN(TRIM(INDEX(People!$F$6:$F$25,MATCH(TRIM($D79),People!$D$6:$D$25,0))))=0,LEN(TRIM(INDEX(People!$G$6:$G$25,MATCH(TRIM($D79),People!$D$6:$D$25,0))))=0),1,0)))))</f>
        <v/>
      </c>
      <c r="Y79" s="32">
        <f>IF($T79=0,0,IF(LEN(TRIM($E79))=0,1,IF(LEN(TRIM($E79))-LEN(SUBSTITUTE(TRIM($E79)," ",""))+1&lt;3,1,IF(SUMPRODUCT((People!$J$6:$J$12&lt;&gt;"")*(LEFT(LOWER(TRIM($E79))&amp;" ",LEN(People!$J$6:$J$12)+1)=LOWER(People!$J$6:$J$12)&amp;" "))&gt;0,1,0))))</f>
        <v/>
      </c>
      <c r="Z79" s="32">
        <f>IF($T79=0,0,IF(NOT(ISNUMBER($B79)),1,IF($B79&gt;Summary!$K$3,1,0)))</f>
        <v/>
      </c>
      <c r="AA79" s="32">
        <f>IF($T79=0,0,IF($F79="",IF(SUMPRODUCT(--(LOWER(LEFT($C79,LEN(People!$B$30:$B$36)+1))=LOWER(People!$B$30:$B$36)&amp;":"))&gt;0,3,0),IF(ISNA(MATCH($F79,People!$B$30:$B$36,0)),1,IF(LEN(INDEX(People!$C$30:$C$36,MATCH($F79,People!$B$30:$B$36,0))&amp;"")=0,2,IF(TRIM($D79)&lt;&gt;INDEX(People!$C$30:$C$36,MATCH($F79,People!$B$30:$B$36,0)),1,0)))))</f>
        <v/>
      </c>
      <c r="AB79" s="32">
        <f>IF(OR($T79=0,$I79=""),0,IF(OR($I79=$A79,COUNTIF($A$4:$A$153,$I79)=0),1,IF(INDEX($B$4:$B$153,MATCH($I79,$A$4:$A$153,0))&gt;$B79,1,0)))</f>
        <v/>
      </c>
      <c r="AC79" s="32">
        <f>IF(AND($V79=1,LEN(TRIM($G79))=0),1,0)</f>
        <v/>
      </c>
      <c r="AD79" s="32">
        <f>IF($T79=0,0,IFERROR(VALUE(MID($A79,4,9)),0))</f>
        <v/>
      </c>
    </row>
    <row r="80" ht="18" customHeight="1">
      <c r="A80" s="27" t="n"/>
      <c r="B80" s="28" t="n"/>
      <c r="C80" s="29" t="n"/>
      <c r="D80" s="29" t="n"/>
      <c r="E80" s="29" t="n"/>
      <c r="F80" s="29" t="n"/>
      <c r="G80" s="29" t="n"/>
      <c r="H80" s="29" t="n"/>
      <c r="I80" s="27" t="n"/>
      <c r="J80" s="30">
        <f>IF(OR($T80=0,$U80=0),"",INDEX($A$4:$A$153,MATCH($A80,$I$4:$I$153,0)))</f>
        <v/>
      </c>
      <c r="K80" s="31">
        <f>IF($T80=0,"",IF(COUNTIF($X80:$AC80,"&gt;0")=0,"○ Clear",TRIM("△ "&amp;COUNTIF($X80:$AC80,"&gt;0")&amp;IF(COUNTIF($X80:$AC80,"&gt;0")=1," problem: "," problems: ")&amp;IF($X80&gt;0,"Decided by needs one name from People, and a body needs members and a signer. ","")&amp;IF($Y80&gt;0,"Why or evidence needs the reason itself, in three words or more. ","")&amp;IF($Z80&gt;0,"Date needs the day it was decided, no later than As of. ","")&amp;IF($AA80=1,IF(ISNA(MATCH($F80,People!$B$30:$B$36,0)),"Gate isn't one of the gate names on People. ","People names "&amp;INDEX(People!$C$30:$C$36,MATCH($F80,People!$B$30:$B$36,0))&amp;" to decide "&amp;$F80&amp;". "),IF($AA80=2,"People names nobody to decide "&amp;$F80&amp;". ",IF($AA80=3,"The Decision opens with a gate's name, so pick that gate in Gate. ","")))&amp;IF($AB80&gt;0,"Replaces needs the Id of a row dated no later than this one. ","")&amp;IF($AC80&gt;0,"Record elsewhere needs the name of the record the other file keeps. ",""))))</f>
        <v/>
      </c>
      <c r="T80" s="32">
        <f>IF(COUNTA($A80:$I80)&gt;0,1,0)</f>
        <v/>
      </c>
      <c r="U80" s="32">
        <f>IF(OR($T80=0,$A80=""),0,IF(COUNTIF($I$4:$I$153,$A80)&gt;0,1,0))</f>
        <v/>
      </c>
      <c r="V80" s="32">
        <f>IF(AND($T80=1,$H80&lt;&gt;"",$H80&lt;&gt;"This log"),1,0)</f>
        <v/>
      </c>
      <c r="W80" s="26">
        <f>IF($T80=0,"",","&amp;SUBSTITUTE(SUBSTITUTE($G80&amp;","&amp;$F80," ",""),";",",")&amp;",")</f>
        <v/>
      </c>
      <c r="X80" s="32">
        <f>IF($T80=0,0,IF(LEN(TRIM($D80))=0,1,IF(COUNTIF(People!$D$6:$D$25,TRIM($D80))=0,1,IF(INDEX(People!$E$6:$E$25,MATCH(TRIM($D80),People!$D$6:$D$25,0))&lt;&gt;"Body",0,IF(OR(LEN(TRIM(INDEX(People!$F$6:$F$25,MATCH(TRIM($D80),People!$D$6:$D$25,0))))=0,LEN(TRIM(INDEX(People!$G$6:$G$25,MATCH(TRIM($D80),People!$D$6:$D$25,0))))=0),1,0)))))</f>
        <v/>
      </c>
      <c r="Y80" s="32">
        <f>IF($T80=0,0,IF(LEN(TRIM($E80))=0,1,IF(LEN(TRIM($E80))-LEN(SUBSTITUTE(TRIM($E80)," ",""))+1&lt;3,1,IF(SUMPRODUCT((People!$J$6:$J$12&lt;&gt;"")*(LEFT(LOWER(TRIM($E80))&amp;" ",LEN(People!$J$6:$J$12)+1)=LOWER(People!$J$6:$J$12)&amp;" "))&gt;0,1,0))))</f>
        <v/>
      </c>
      <c r="Z80" s="32">
        <f>IF($T80=0,0,IF(NOT(ISNUMBER($B80)),1,IF($B80&gt;Summary!$K$3,1,0)))</f>
        <v/>
      </c>
      <c r="AA80" s="32">
        <f>IF($T80=0,0,IF($F80="",IF(SUMPRODUCT(--(LOWER(LEFT($C80,LEN(People!$B$30:$B$36)+1))=LOWER(People!$B$30:$B$36)&amp;":"))&gt;0,3,0),IF(ISNA(MATCH($F80,People!$B$30:$B$36,0)),1,IF(LEN(INDEX(People!$C$30:$C$36,MATCH($F80,People!$B$30:$B$36,0))&amp;"")=0,2,IF(TRIM($D80)&lt;&gt;INDEX(People!$C$30:$C$36,MATCH($F80,People!$B$30:$B$36,0)),1,0)))))</f>
        <v/>
      </c>
      <c r="AB80" s="32">
        <f>IF(OR($T80=0,$I80=""),0,IF(OR($I80=$A80,COUNTIF($A$4:$A$153,$I80)=0),1,IF(INDEX($B$4:$B$153,MATCH($I80,$A$4:$A$153,0))&gt;$B80,1,0)))</f>
        <v/>
      </c>
      <c r="AC80" s="32">
        <f>IF(AND($V80=1,LEN(TRIM($G80))=0),1,0)</f>
        <v/>
      </c>
      <c r="AD80" s="32">
        <f>IF($T80=0,0,IFERROR(VALUE(MID($A80,4,9)),0))</f>
        <v/>
      </c>
    </row>
    <row r="81" ht="18" customHeight="1">
      <c r="A81" s="27" t="n"/>
      <c r="B81" s="28" t="n"/>
      <c r="C81" s="29" t="n"/>
      <c r="D81" s="29" t="n"/>
      <c r="E81" s="29" t="n"/>
      <c r="F81" s="29" t="n"/>
      <c r="G81" s="29" t="n"/>
      <c r="H81" s="29" t="n"/>
      <c r="I81" s="27" t="n"/>
      <c r="J81" s="30">
        <f>IF(OR($T81=0,$U81=0),"",INDEX($A$4:$A$153,MATCH($A81,$I$4:$I$153,0)))</f>
        <v/>
      </c>
      <c r="K81" s="31">
        <f>IF($T81=0,"",IF(COUNTIF($X81:$AC81,"&gt;0")=0,"○ Clear",TRIM("△ "&amp;COUNTIF($X81:$AC81,"&gt;0")&amp;IF(COUNTIF($X81:$AC81,"&gt;0")=1," problem: "," problems: ")&amp;IF($X81&gt;0,"Decided by needs one name from People, and a body needs members and a signer. ","")&amp;IF($Y81&gt;0,"Why or evidence needs the reason itself, in three words or more. ","")&amp;IF($Z81&gt;0,"Date needs the day it was decided, no later than As of. ","")&amp;IF($AA81=1,IF(ISNA(MATCH($F81,People!$B$30:$B$36,0)),"Gate isn't one of the gate names on People. ","People names "&amp;INDEX(People!$C$30:$C$36,MATCH($F81,People!$B$30:$B$36,0))&amp;" to decide "&amp;$F81&amp;". "),IF($AA81=2,"People names nobody to decide "&amp;$F81&amp;". ",IF($AA81=3,"The Decision opens with a gate's name, so pick that gate in Gate. ","")))&amp;IF($AB81&gt;0,"Replaces needs the Id of a row dated no later than this one. ","")&amp;IF($AC81&gt;0,"Record elsewhere needs the name of the record the other file keeps. ",""))))</f>
        <v/>
      </c>
      <c r="T81" s="32">
        <f>IF(COUNTA($A81:$I81)&gt;0,1,0)</f>
        <v/>
      </c>
      <c r="U81" s="32">
        <f>IF(OR($T81=0,$A81=""),0,IF(COUNTIF($I$4:$I$153,$A81)&gt;0,1,0))</f>
        <v/>
      </c>
      <c r="V81" s="32">
        <f>IF(AND($T81=1,$H81&lt;&gt;"",$H81&lt;&gt;"This log"),1,0)</f>
        <v/>
      </c>
      <c r="W81" s="26">
        <f>IF($T81=0,"",","&amp;SUBSTITUTE(SUBSTITUTE($G81&amp;","&amp;$F81," ",""),";",",")&amp;",")</f>
        <v/>
      </c>
      <c r="X81" s="32">
        <f>IF($T81=0,0,IF(LEN(TRIM($D81))=0,1,IF(COUNTIF(People!$D$6:$D$25,TRIM($D81))=0,1,IF(INDEX(People!$E$6:$E$25,MATCH(TRIM($D81),People!$D$6:$D$25,0))&lt;&gt;"Body",0,IF(OR(LEN(TRIM(INDEX(People!$F$6:$F$25,MATCH(TRIM($D81),People!$D$6:$D$25,0))))=0,LEN(TRIM(INDEX(People!$G$6:$G$25,MATCH(TRIM($D81),People!$D$6:$D$25,0))))=0),1,0)))))</f>
        <v/>
      </c>
      <c r="Y81" s="32">
        <f>IF($T81=0,0,IF(LEN(TRIM($E81))=0,1,IF(LEN(TRIM($E81))-LEN(SUBSTITUTE(TRIM($E81)," ",""))+1&lt;3,1,IF(SUMPRODUCT((People!$J$6:$J$12&lt;&gt;"")*(LEFT(LOWER(TRIM($E81))&amp;" ",LEN(People!$J$6:$J$12)+1)=LOWER(People!$J$6:$J$12)&amp;" "))&gt;0,1,0))))</f>
        <v/>
      </c>
      <c r="Z81" s="32">
        <f>IF($T81=0,0,IF(NOT(ISNUMBER($B81)),1,IF($B81&gt;Summary!$K$3,1,0)))</f>
        <v/>
      </c>
      <c r="AA81" s="32">
        <f>IF($T81=0,0,IF($F81="",IF(SUMPRODUCT(--(LOWER(LEFT($C81,LEN(People!$B$30:$B$36)+1))=LOWER(People!$B$30:$B$36)&amp;":"))&gt;0,3,0),IF(ISNA(MATCH($F81,People!$B$30:$B$36,0)),1,IF(LEN(INDEX(People!$C$30:$C$36,MATCH($F81,People!$B$30:$B$36,0))&amp;"")=0,2,IF(TRIM($D81)&lt;&gt;INDEX(People!$C$30:$C$36,MATCH($F81,People!$B$30:$B$36,0)),1,0)))))</f>
        <v/>
      </c>
      <c r="AB81" s="32">
        <f>IF(OR($T81=0,$I81=""),0,IF(OR($I81=$A81,COUNTIF($A$4:$A$153,$I81)=0),1,IF(INDEX($B$4:$B$153,MATCH($I81,$A$4:$A$153,0))&gt;$B81,1,0)))</f>
        <v/>
      </c>
      <c r="AC81" s="32">
        <f>IF(AND($V81=1,LEN(TRIM($G81))=0),1,0)</f>
        <v/>
      </c>
      <c r="AD81" s="32">
        <f>IF($T81=0,0,IFERROR(VALUE(MID($A81,4,9)),0))</f>
        <v/>
      </c>
    </row>
    <row r="82" ht="18" customHeight="1">
      <c r="A82" s="27" t="n"/>
      <c r="B82" s="28" t="n"/>
      <c r="C82" s="29" t="n"/>
      <c r="D82" s="29" t="n"/>
      <c r="E82" s="29" t="n"/>
      <c r="F82" s="29" t="n"/>
      <c r="G82" s="29" t="n"/>
      <c r="H82" s="29" t="n"/>
      <c r="I82" s="27" t="n"/>
      <c r="J82" s="30">
        <f>IF(OR($T82=0,$U82=0),"",INDEX($A$4:$A$153,MATCH($A82,$I$4:$I$153,0)))</f>
        <v/>
      </c>
      <c r="K82" s="31">
        <f>IF($T82=0,"",IF(COUNTIF($X82:$AC82,"&gt;0")=0,"○ Clear",TRIM("△ "&amp;COUNTIF($X82:$AC82,"&gt;0")&amp;IF(COUNTIF($X82:$AC82,"&gt;0")=1," problem: "," problems: ")&amp;IF($X82&gt;0,"Decided by needs one name from People, and a body needs members and a signer. ","")&amp;IF($Y82&gt;0,"Why or evidence needs the reason itself, in three words or more. ","")&amp;IF($Z82&gt;0,"Date needs the day it was decided, no later than As of. ","")&amp;IF($AA82=1,IF(ISNA(MATCH($F82,People!$B$30:$B$36,0)),"Gate isn't one of the gate names on People. ","People names "&amp;INDEX(People!$C$30:$C$36,MATCH($F82,People!$B$30:$B$36,0))&amp;" to decide "&amp;$F82&amp;". "),IF($AA82=2,"People names nobody to decide "&amp;$F82&amp;". ",IF($AA82=3,"The Decision opens with a gate's name, so pick that gate in Gate. ","")))&amp;IF($AB82&gt;0,"Replaces needs the Id of a row dated no later than this one. ","")&amp;IF($AC82&gt;0,"Record elsewhere needs the name of the record the other file keeps. ",""))))</f>
        <v/>
      </c>
      <c r="T82" s="32">
        <f>IF(COUNTA($A82:$I82)&gt;0,1,0)</f>
        <v/>
      </c>
      <c r="U82" s="32">
        <f>IF(OR($T82=0,$A82=""),0,IF(COUNTIF($I$4:$I$153,$A82)&gt;0,1,0))</f>
        <v/>
      </c>
      <c r="V82" s="32">
        <f>IF(AND($T82=1,$H82&lt;&gt;"",$H82&lt;&gt;"This log"),1,0)</f>
        <v/>
      </c>
      <c r="W82" s="26">
        <f>IF($T82=0,"",","&amp;SUBSTITUTE(SUBSTITUTE($G82&amp;","&amp;$F82," ",""),";",",")&amp;",")</f>
        <v/>
      </c>
      <c r="X82" s="32">
        <f>IF($T82=0,0,IF(LEN(TRIM($D82))=0,1,IF(COUNTIF(People!$D$6:$D$25,TRIM($D82))=0,1,IF(INDEX(People!$E$6:$E$25,MATCH(TRIM($D82),People!$D$6:$D$25,0))&lt;&gt;"Body",0,IF(OR(LEN(TRIM(INDEX(People!$F$6:$F$25,MATCH(TRIM($D82),People!$D$6:$D$25,0))))=0,LEN(TRIM(INDEX(People!$G$6:$G$25,MATCH(TRIM($D82),People!$D$6:$D$25,0))))=0),1,0)))))</f>
        <v/>
      </c>
      <c r="Y82" s="32">
        <f>IF($T82=0,0,IF(LEN(TRIM($E82))=0,1,IF(LEN(TRIM($E82))-LEN(SUBSTITUTE(TRIM($E82)," ",""))+1&lt;3,1,IF(SUMPRODUCT((People!$J$6:$J$12&lt;&gt;"")*(LEFT(LOWER(TRIM($E82))&amp;" ",LEN(People!$J$6:$J$12)+1)=LOWER(People!$J$6:$J$12)&amp;" "))&gt;0,1,0))))</f>
        <v/>
      </c>
      <c r="Z82" s="32">
        <f>IF($T82=0,0,IF(NOT(ISNUMBER($B82)),1,IF($B82&gt;Summary!$K$3,1,0)))</f>
        <v/>
      </c>
      <c r="AA82" s="32">
        <f>IF($T82=0,0,IF($F82="",IF(SUMPRODUCT(--(LOWER(LEFT($C82,LEN(People!$B$30:$B$36)+1))=LOWER(People!$B$30:$B$36)&amp;":"))&gt;0,3,0),IF(ISNA(MATCH($F82,People!$B$30:$B$36,0)),1,IF(LEN(INDEX(People!$C$30:$C$36,MATCH($F82,People!$B$30:$B$36,0))&amp;"")=0,2,IF(TRIM($D82)&lt;&gt;INDEX(People!$C$30:$C$36,MATCH($F82,People!$B$30:$B$36,0)),1,0)))))</f>
        <v/>
      </c>
      <c r="AB82" s="32">
        <f>IF(OR($T82=0,$I82=""),0,IF(OR($I82=$A82,COUNTIF($A$4:$A$153,$I82)=0),1,IF(INDEX($B$4:$B$153,MATCH($I82,$A$4:$A$153,0))&gt;$B82,1,0)))</f>
        <v/>
      </c>
      <c r="AC82" s="32">
        <f>IF(AND($V82=1,LEN(TRIM($G82))=0),1,0)</f>
        <v/>
      </c>
      <c r="AD82" s="32">
        <f>IF($T82=0,0,IFERROR(VALUE(MID($A82,4,9)),0))</f>
        <v/>
      </c>
    </row>
    <row r="83" ht="18" customHeight="1">
      <c r="A83" s="27" t="n"/>
      <c r="B83" s="28" t="n"/>
      <c r="C83" s="29" t="n"/>
      <c r="D83" s="29" t="n"/>
      <c r="E83" s="29" t="n"/>
      <c r="F83" s="29" t="n"/>
      <c r="G83" s="29" t="n"/>
      <c r="H83" s="29" t="n"/>
      <c r="I83" s="27" t="n"/>
      <c r="J83" s="30">
        <f>IF(OR($T83=0,$U83=0),"",INDEX($A$4:$A$153,MATCH($A83,$I$4:$I$153,0)))</f>
        <v/>
      </c>
      <c r="K83" s="31">
        <f>IF($T83=0,"",IF(COUNTIF($X83:$AC83,"&gt;0")=0,"○ Clear",TRIM("△ "&amp;COUNTIF($X83:$AC83,"&gt;0")&amp;IF(COUNTIF($X83:$AC83,"&gt;0")=1," problem: "," problems: ")&amp;IF($X83&gt;0,"Decided by needs one name from People, and a body needs members and a signer. ","")&amp;IF($Y83&gt;0,"Why or evidence needs the reason itself, in three words or more. ","")&amp;IF($Z83&gt;0,"Date needs the day it was decided, no later than As of. ","")&amp;IF($AA83=1,IF(ISNA(MATCH($F83,People!$B$30:$B$36,0)),"Gate isn't one of the gate names on People. ","People names "&amp;INDEX(People!$C$30:$C$36,MATCH($F83,People!$B$30:$B$36,0))&amp;" to decide "&amp;$F83&amp;". "),IF($AA83=2,"People names nobody to decide "&amp;$F83&amp;". ",IF($AA83=3,"The Decision opens with a gate's name, so pick that gate in Gate. ","")))&amp;IF($AB83&gt;0,"Replaces needs the Id of a row dated no later than this one. ","")&amp;IF($AC83&gt;0,"Record elsewhere needs the name of the record the other file keeps. ",""))))</f>
        <v/>
      </c>
      <c r="T83" s="32">
        <f>IF(COUNTA($A83:$I83)&gt;0,1,0)</f>
        <v/>
      </c>
      <c r="U83" s="32">
        <f>IF(OR($T83=0,$A83=""),0,IF(COUNTIF($I$4:$I$153,$A83)&gt;0,1,0))</f>
        <v/>
      </c>
      <c r="V83" s="32">
        <f>IF(AND($T83=1,$H83&lt;&gt;"",$H83&lt;&gt;"This log"),1,0)</f>
        <v/>
      </c>
      <c r="W83" s="26">
        <f>IF($T83=0,"",","&amp;SUBSTITUTE(SUBSTITUTE($G83&amp;","&amp;$F83," ",""),";",",")&amp;",")</f>
        <v/>
      </c>
      <c r="X83" s="32">
        <f>IF($T83=0,0,IF(LEN(TRIM($D83))=0,1,IF(COUNTIF(People!$D$6:$D$25,TRIM($D83))=0,1,IF(INDEX(People!$E$6:$E$25,MATCH(TRIM($D83),People!$D$6:$D$25,0))&lt;&gt;"Body",0,IF(OR(LEN(TRIM(INDEX(People!$F$6:$F$25,MATCH(TRIM($D83),People!$D$6:$D$25,0))))=0,LEN(TRIM(INDEX(People!$G$6:$G$25,MATCH(TRIM($D83),People!$D$6:$D$25,0))))=0),1,0)))))</f>
        <v/>
      </c>
      <c r="Y83" s="32">
        <f>IF($T83=0,0,IF(LEN(TRIM($E83))=0,1,IF(LEN(TRIM($E83))-LEN(SUBSTITUTE(TRIM($E83)," ",""))+1&lt;3,1,IF(SUMPRODUCT((People!$J$6:$J$12&lt;&gt;"")*(LEFT(LOWER(TRIM($E83))&amp;" ",LEN(People!$J$6:$J$12)+1)=LOWER(People!$J$6:$J$12)&amp;" "))&gt;0,1,0))))</f>
        <v/>
      </c>
      <c r="Z83" s="32">
        <f>IF($T83=0,0,IF(NOT(ISNUMBER($B83)),1,IF($B83&gt;Summary!$K$3,1,0)))</f>
        <v/>
      </c>
      <c r="AA83" s="32">
        <f>IF($T83=0,0,IF($F83="",IF(SUMPRODUCT(--(LOWER(LEFT($C83,LEN(People!$B$30:$B$36)+1))=LOWER(People!$B$30:$B$36)&amp;":"))&gt;0,3,0),IF(ISNA(MATCH($F83,People!$B$30:$B$36,0)),1,IF(LEN(INDEX(People!$C$30:$C$36,MATCH($F83,People!$B$30:$B$36,0))&amp;"")=0,2,IF(TRIM($D83)&lt;&gt;INDEX(People!$C$30:$C$36,MATCH($F83,People!$B$30:$B$36,0)),1,0)))))</f>
        <v/>
      </c>
      <c r="AB83" s="32">
        <f>IF(OR($T83=0,$I83=""),0,IF(OR($I83=$A83,COUNTIF($A$4:$A$153,$I83)=0),1,IF(INDEX($B$4:$B$153,MATCH($I83,$A$4:$A$153,0))&gt;$B83,1,0)))</f>
        <v/>
      </c>
      <c r="AC83" s="32">
        <f>IF(AND($V83=1,LEN(TRIM($G83))=0),1,0)</f>
        <v/>
      </c>
      <c r="AD83" s="32">
        <f>IF($T83=0,0,IFERROR(VALUE(MID($A83,4,9)),0))</f>
        <v/>
      </c>
    </row>
    <row r="84" ht="18" customHeight="1">
      <c r="A84" s="27" t="n"/>
      <c r="B84" s="28" t="n"/>
      <c r="C84" s="29" t="n"/>
      <c r="D84" s="29" t="n"/>
      <c r="E84" s="29" t="n"/>
      <c r="F84" s="29" t="n"/>
      <c r="G84" s="29" t="n"/>
      <c r="H84" s="29" t="n"/>
      <c r="I84" s="27" t="n"/>
      <c r="J84" s="30">
        <f>IF(OR($T84=0,$U84=0),"",INDEX($A$4:$A$153,MATCH($A84,$I$4:$I$153,0)))</f>
        <v/>
      </c>
      <c r="K84" s="31">
        <f>IF($T84=0,"",IF(COUNTIF($X84:$AC84,"&gt;0")=0,"○ Clear",TRIM("△ "&amp;COUNTIF($X84:$AC84,"&gt;0")&amp;IF(COUNTIF($X84:$AC84,"&gt;0")=1," problem: "," problems: ")&amp;IF($X84&gt;0,"Decided by needs one name from People, and a body needs members and a signer. ","")&amp;IF($Y84&gt;0,"Why or evidence needs the reason itself, in three words or more. ","")&amp;IF($Z84&gt;0,"Date needs the day it was decided, no later than As of. ","")&amp;IF($AA84=1,IF(ISNA(MATCH($F84,People!$B$30:$B$36,0)),"Gate isn't one of the gate names on People. ","People names "&amp;INDEX(People!$C$30:$C$36,MATCH($F84,People!$B$30:$B$36,0))&amp;" to decide "&amp;$F84&amp;". "),IF($AA84=2,"People names nobody to decide "&amp;$F84&amp;". ",IF($AA84=3,"The Decision opens with a gate's name, so pick that gate in Gate. ","")))&amp;IF($AB84&gt;0,"Replaces needs the Id of a row dated no later than this one. ","")&amp;IF($AC84&gt;0,"Record elsewhere needs the name of the record the other file keeps. ",""))))</f>
        <v/>
      </c>
      <c r="T84" s="32">
        <f>IF(COUNTA($A84:$I84)&gt;0,1,0)</f>
        <v/>
      </c>
      <c r="U84" s="32">
        <f>IF(OR($T84=0,$A84=""),0,IF(COUNTIF($I$4:$I$153,$A84)&gt;0,1,0))</f>
        <v/>
      </c>
      <c r="V84" s="32">
        <f>IF(AND($T84=1,$H84&lt;&gt;"",$H84&lt;&gt;"This log"),1,0)</f>
        <v/>
      </c>
      <c r="W84" s="26">
        <f>IF($T84=0,"",","&amp;SUBSTITUTE(SUBSTITUTE($G84&amp;","&amp;$F84," ",""),";",",")&amp;",")</f>
        <v/>
      </c>
      <c r="X84" s="32">
        <f>IF($T84=0,0,IF(LEN(TRIM($D84))=0,1,IF(COUNTIF(People!$D$6:$D$25,TRIM($D84))=0,1,IF(INDEX(People!$E$6:$E$25,MATCH(TRIM($D84),People!$D$6:$D$25,0))&lt;&gt;"Body",0,IF(OR(LEN(TRIM(INDEX(People!$F$6:$F$25,MATCH(TRIM($D84),People!$D$6:$D$25,0))))=0,LEN(TRIM(INDEX(People!$G$6:$G$25,MATCH(TRIM($D84),People!$D$6:$D$25,0))))=0),1,0)))))</f>
        <v/>
      </c>
      <c r="Y84" s="32">
        <f>IF($T84=0,0,IF(LEN(TRIM($E84))=0,1,IF(LEN(TRIM($E84))-LEN(SUBSTITUTE(TRIM($E84)," ",""))+1&lt;3,1,IF(SUMPRODUCT((People!$J$6:$J$12&lt;&gt;"")*(LEFT(LOWER(TRIM($E84))&amp;" ",LEN(People!$J$6:$J$12)+1)=LOWER(People!$J$6:$J$12)&amp;" "))&gt;0,1,0))))</f>
        <v/>
      </c>
      <c r="Z84" s="32">
        <f>IF($T84=0,0,IF(NOT(ISNUMBER($B84)),1,IF($B84&gt;Summary!$K$3,1,0)))</f>
        <v/>
      </c>
      <c r="AA84" s="32">
        <f>IF($T84=0,0,IF($F84="",IF(SUMPRODUCT(--(LOWER(LEFT($C84,LEN(People!$B$30:$B$36)+1))=LOWER(People!$B$30:$B$36)&amp;":"))&gt;0,3,0),IF(ISNA(MATCH($F84,People!$B$30:$B$36,0)),1,IF(LEN(INDEX(People!$C$30:$C$36,MATCH($F84,People!$B$30:$B$36,0))&amp;"")=0,2,IF(TRIM($D84)&lt;&gt;INDEX(People!$C$30:$C$36,MATCH($F84,People!$B$30:$B$36,0)),1,0)))))</f>
        <v/>
      </c>
      <c r="AB84" s="32">
        <f>IF(OR($T84=0,$I84=""),0,IF(OR($I84=$A84,COUNTIF($A$4:$A$153,$I84)=0),1,IF(INDEX($B$4:$B$153,MATCH($I84,$A$4:$A$153,0))&gt;$B84,1,0)))</f>
        <v/>
      </c>
      <c r="AC84" s="32">
        <f>IF(AND($V84=1,LEN(TRIM($G84))=0),1,0)</f>
        <v/>
      </c>
      <c r="AD84" s="32">
        <f>IF($T84=0,0,IFERROR(VALUE(MID($A84,4,9)),0))</f>
        <v/>
      </c>
    </row>
    <row r="85" ht="18" customHeight="1">
      <c r="A85" s="27" t="n"/>
      <c r="B85" s="28" t="n"/>
      <c r="C85" s="29" t="n"/>
      <c r="D85" s="29" t="n"/>
      <c r="E85" s="29" t="n"/>
      <c r="F85" s="29" t="n"/>
      <c r="G85" s="29" t="n"/>
      <c r="H85" s="29" t="n"/>
      <c r="I85" s="27" t="n"/>
      <c r="J85" s="30">
        <f>IF(OR($T85=0,$U85=0),"",INDEX($A$4:$A$153,MATCH($A85,$I$4:$I$153,0)))</f>
        <v/>
      </c>
      <c r="K85" s="31">
        <f>IF($T85=0,"",IF(COUNTIF($X85:$AC85,"&gt;0")=0,"○ Clear",TRIM("△ "&amp;COUNTIF($X85:$AC85,"&gt;0")&amp;IF(COUNTIF($X85:$AC85,"&gt;0")=1," problem: "," problems: ")&amp;IF($X85&gt;0,"Decided by needs one name from People, and a body needs members and a signer. ","")&amp;IF($Y85&gt;0,"Why or evidence needs the reason itself, in three words or more. ","")&amp;IF($Z85&gt;0,"Date needs the day it was decided, no later than As of. ","")&amp;IF($AA85=1,IF(ISNA(MATCH($F85,People!$B$30:$B$36,0)),"Gate isn't one of the gate names on People. ","People names "&amp;INDEX(People!$C$30:$C$36,MATCH($F85,People!$B$30:$B$36,0))&amp;" to decide "&amp;$F85&amp;". "),IF($AA85=2,"People names nobody to decide "&amp;$F85&amp;". ",IF($AA85=3,"The Decision opens with a gate's name, so pick that gate in Gate. ","")))&amp;IF($AB85&gt;0,"Replaces needs the Id of a row dated no later than this one. ","")&amp;IF($AC85&gt;0,"Record elsewhere needs the name of the record the other file keeps. ",""))))</f>
        <v/>
      </c>
      <c r="T85" s="32">
        <f>IF(COUNTA($A85:$I85)&gt;0,1,0)</f>
        <v/>
      </c>
      <c r="U85" s="32">
        <f>IF(OR($T85=0,$A85=""),0,IF(COUNTIF($I$4:$I$153,$A85)&gt;0,1,0))</f>
        <v/>
      </c>
      <c r="V85" s="32">
        <f>IF(AND($T85=1,$H85&lt;&gt;"",$H85&lt;&gt;"This log"),1,0)</f>
        <v/>
      </c>
      <c r="W85" s="26">
        <f>IF($T85=0,"",","&amp;SUBSTITUTE(SUBSTITUTE($G85&amp;","&amp;$F85," ",""),";",",")&amp;",")</f>
        <v/>
      </c>
      <c r="X85" s="32">
        <f>IF($T85=0,0,IF(LEN(TRIM($D85))=0,1,IF(COUNTIF(People!$D$6:$D$25,TRIM($D85))=0,1,IF(INDEX(People!$E$6:$E$25,MATCH(TRIM($D85),People!$D$6:$D$25,0))&lt;&gt;"Body",0,IF(OR(LEN(TRIM(INDEX(People!$F$6:$F$25,MATCH(TRIM($D85),People!$D$6:$D$25,0))))=0,LEN(TRIM(INDEX(People!$G$6:$G$25,MATCH(TRIM($D85),People!$D$6:$D$25,0))))=0),1,0)))))</f>
        <v/>
      </c>
      <c r="Y85" s="32">
        <f>IF($T85=0,0,IF(LEN(TRIM($E85))=0,1,IF(LEN(TRIM($E85))-LEN(SUBSTITUTE(TRIM($E85)," ",""))+1&lt;3,1,IF(SUMPRODUCT((People!$J$6:$J$12&lt;&gt;"")*(LEFT(LOWER(TRIM($E85))&amp;" ",LEN(People!$J$6:$J$12)+1)=LOWER(People!$J$6:$J$12)&amp;" "))&gt;0,1,0))))</f>
        <v/>
      </c>
      <c r="Z85" s="32">
        <f>IF($T85=0,0,IF(NOT(ISNUMBER($B85)),1,IF($B85&gt;Summary!$K$3,1,0)))</f>
        <v/>
      </c>
      <c r="AA85" s="32">
        <f>IF($T85=0,0,IF($F85="",IF(SUMPRODUCT(--(LOWER(LEFT($C85,LEN(People!$B$30:$B$36)+1))=LOWER(People!$B$30:$B$36)&amp;":"))&gt;0,3,0),IF(ISNA(MATCH($F85,People!$B$30:$B$36,0)),1,IF(LEN(INDEX(People!$C$30:$C$36,MATCH($F85,People!$B$30:$B$36,0))&amp;"")=0,2,IF(TRIM($D85)&lt;&gt;INDEX(People!$C$30:$C$36,MATCH($F85,People!$B$30:$B$36,0)),1,0)))))</f>
        <v/>
      </c>
      <c r="AB85" s="32">
        <f>IF(OR($T85=0,$I85=""),0,IF(OR($I85=$A85,COUNTIF($A$4:$A$153,$I85)=0),1,IF(INDEX($B$4:$B$153,MATCH($I85,$A$4:$A$153,0))&gt;$B85,1,0)))</f>
        <v/>
      </c>
      <c r="AC85" s="32">
        <f>IF(AND($V85=1,LEN(TRIM($G85))=0),1,0)</f>
        <v/>
      </c>
      <c r="AD85" s="32">
        <f>IF($T85=0,0,IFERROR(VALUE(MID($A85,4,9)),0))</f>
        <v/>
      </c>
    </row>
    <row r="86" ht="18" customHeight="1">
      <c r="A86" s="27" t="n"/>
      <c r="B86" s="28" t="n"/>
      <c r="C86" s="29" t="n"/>
      <c r="D86" s="29" t="n"/>
      <c r="E86" s="29" t="n"/>
      <c r="F86" s="29" t="n"/>
      <c r="G86" s="29" t="n"/>
      <c r="H86" s="29" t="n"/>
      <c r="I86" s="27" t="n"/>
      <c r="J86" s="30">
        <f>IF(OR($T86=0,$U86=0),"",INDEX($A$4:$A$153,MATCH($A86,$I$4:$I$153,0)))</f>
        <v/>
      </c>
      <c r="K86" s="31">
        <f>IF($T86=0,"",IF(COUNTIF($X86:$AC86,"&gt;0")=0,"○ Clear",TRIM("△ "&amp;COUNTIF($X86:$AC86,"&gt;0")&amp;IF(COUNTIF($X86:$AC86,"&gt;0")=1," problem: "," problems: ")&amp;IF($X86&gt;0,"Decided by needs one name from People, and a body needs members and a signer. ","")&amp;IF($Y86&gt;0,"Why or evidence needs the reason itself, in three words or more. ","")&amp;IF($Z86&gt;0,"Date needs the day it was decided, no later than As of. ","")&amp;IF($AA86=1,IF(ISNA(MATCH($F86,People!$B$30:$B$36,0)),"Gate isn't one of the gate names on People. ","People names "&amp;INDEX(People!$C$30:$C$36,MATCH($F86,People!$B$30:$B$36,0))&amp;" to decide "&amp;$F86&amp;". "),IF($AA86=2,"People names nobody to decide "&amp;$F86&amp;". ",IF($AA86=3,"The Decision opens with a gate's name, so pick that gate in Gate. ","")))&amp;IF($AB86&gt;0,"Replaces needs the Id of a row dated no later than this one. ","")&amp;IF($AC86&gt;0,"Record elsewhere needs the name of the record the other file keeps. ",""))))</f>
        <v/>
      </c>
      <c r="T86" s="32">
        <f>IF(COUNTA($A86:$I86)&gt;0,1,0)</f>
        <v/>
      </c>
      <c r="U86" s="32">
        <f>IF(OR($T86=0,$A86=""),0,IF(COUNTIF($I$4:$I$153,$A86)&gt;0,1,0))</f>
        <v/>
      </c>
      <c r="V86" s="32">
        <f>IF(AND($T86=1,$H86&lt;&gt;"",$H86&lt;&gt;"This log"),1,0)</f>
        <v/>
      </c>
      <c r="W86" s="26">
        <f>IF($T86=0,"",","&amp;SUBSTITUTE(SUBSTITUTE($G86&amp;","&amp;$F86," ",""),";",",")&amp;",")</f>
        <v/>
      </c>
      <c r="X86" s="32">
        <f>IF($T86=0,0,IF(LEN(TRIM($D86))=0,1,IF(COUNTIF(People!$D$6:$D$25,TRIM($D86))=0,1,IF(INDEX(People!$E$6:$E$25,MATCH(TRIM($D86),People!$D$6:$D$25,0))&lt;&gt;"Body",0,IF(OR(LEN(TRIM(INDEX(People!$F$6:$F$25,MATCH(TRIM($D86),People!$D$6:$D$25,0))))=0,LEN(TRIM(INDEX(People!$G$6:$G$25,MATCH(TRIM($D86),People!$D$6:$D$25,0))))=0),1,0)))))</f>
        <v/>
      </c>
      <c r="Y86" s="32">
        <f>IF($T86=0,0,IF(LEN(TRIM($E86))=0,1,IF(LEN(TRIM($E86))-LEN(SUBSTITUTE(TRIM($E86)," ",""))+1&lt;3,1,IF(SUMPRODUCT((People!$J$6:$J$12&lt;&gt;"")*(LEFT(LOWER(TRIM($E86))&amp;" ",LEN(People!$J$6:$J$12)+1)=LOWER(People!$J$6:$J$12)&amp;" "))&gt;0,1,0))))</f>
        <v/>
      </c>
      <c r="Z86" s="32">
        <f>IF($T86=0,0,IF(NOT(ISNUMBER($B86)),1,IF($B86&gt;Summary!$K$3,1,0)))</f>
        <v/>
      </c>
      <c r="AA86" s="32">
        <f>IF($T86=0,0,IF($F86="",IF(SUMPRODUCT(--(LOWER(LEFT($C86,LEN(People!$B$30:$B$36)+1))=LOWER(People!$B$30:$B$36)&amp;":"))&gt;0,3,0),IF(ISNA(MATCH($F86,People!$B$30:$B$36,0)),1,IF(LEN(INDEX(People!$C$30:$C$36,MATCH($F86,People!$B$30:$B$36,0))&amp;"")=0,2,IF(TRIM($D86)&lt;&gt;INDEX(People!$C$30:$C$36,MATCH($F86,People!$B$30:$B$36,0)),1,0)))))</f>
        <v/>
      </c>
      <c r="AB86" s="32">
        <f>IF(OR($T86=0,$I86=""),0,IF(OR($I86=$A86,COUNTIF($A$4:$A$153,$I86)=0),1,IF(INDEX($B$4:$B$153,MATCH($I86,$A$4:$A$153,0))&gt;$B86,1,0)))</f>
        <v/>
      </c>
      <c r="AC86" s="32">
        <f>IF(AND($V86=1,LEN(TRIM($G86))=0),1,0)</f>
        <v/>
      </c>
      <c r="AD86" s="32">
        <f>IF($T86=0,0,IFERROR(VALUE(MID($A86,4,9)),0))</f>
        <v/>
      </c>
    </row>
    <row r="87" ht="18" customHeight="1">
      <c r="A87" s="27" t="n"/>
      <c r="B87" s="28" t="n"/>
      <c r="C87" s="29" t="n"/>
      <c r="D87" s="29" t="n"/>
      <c r="E87" s="29" t="n"/>
      <c r="F87" s="29" t="n"/>
      <c r="G87" s="29" t="n"/>
      <c r="H87" s="29" t="n"/>
      <c r="I87" s="27" t="n"/>
      <c r="J87" s="30">
        <f>IF(OR($T87=0,$U87=0),"",INDEX($A$4:$A$153,MATCH($A87,$I$4:$I$153,0)))</f>
        <v/>
      </c>
      <c r="K87" s="31">
        <f>IF($T87=0,"",IF(COUNTIF($X87:$AC87,"&gt;0")=0,"○ Clear",TRIM("△ "&amp;COUNTIF($X87:$AC87,"&gt;0")&amp;IF(COUNTIF($X87:$AC87,"&gt;0")=1," problem: "," problems: ")&amp;IF($X87&gt;0,"Decided by needs one name from People, and a body needs members and a signer. ","")&amp;IF($Y87&gt;0,"Why or evidence needs the reason itself, in three words or more. ","")&amp;IF($Z87&gt;0,"Date needs the day it was decided, no later than As of. ","")&amp;IF($AA87=1,IF(ISNA(MATCH($F87,People!$B$30:$B$36,0)),"Gate isn't one of the gate names on People. ","People names "&amp;INDEX(People!$C$30:$C$36,MATCH($F87,People!$B$30:$B$36,0))&amp;" to decide "&amp;$F87&amp;". "),IF($AA87=2,"People names nobody to decide "&amp;$F87&amp;". ",IF($AA87=3,"The Decision opens with a gate's name, so pick that gate in Gate. ","")))&amp;IF($AB87&gt;0,"Replaces needs the Id of a row dated no later than this one. ","")&amp;IF($AC87&gt;0,"Record elsewhere needs the name of the record the other file keeps. ",""))))</f>
        <v/>
      </c>
      <c r="T87" s="32">
        <f>IF(COUNTA($A87:$I87)&gt;0,1,0)</f>
        <v/>
      </c>
      <c r="U87" s="32">
        <f>IF(OR($T87=0,$A87=""),0,IF(COUNTIF($I$4:$I$153,$A87)&gt;0,1,0))</f>
        <v/>
      </c>
      <c r="V87" s="32">
        <f>IF(AND($T87=1,$H87&lt;&gt;"",$H87&lt;&gt;"This log"),1,0)</f>
        <v/>
      </c>
      <c r="W87" s="26">
        <f>IF($T87=0,"",","&amp;SUBSTITUTE(SUBSTITUTE($G87&amp;","&amp;$F87," ",""),";",",")&amp;",")</f>
        <v/>
      </c>
      <c r="X87" s="32">
        <f>IF($T87=0,0,IF(LEN(TRIM($D87))=0,1,IF(COUNTIF(People!$D$6:$D$25,TRIM($D87))=0,1,IF(INDEX(People!$E$6:$E$25,MATCH(TRIM($D87),People!$D$6:$D$25,0))&lt;&gt;"Body",0,IF(OR(LEN(TRIM(INDEX(People!$F$6:$F$25,MATCH(TRIM($D87),People!$D$6:$D$25,0))))=0,LEN(TRIM(INDEX(People!$G$6:$G$25,MATCH(TRIM($D87),People!$D$6:$D$25,0))))=0),1,0)))))</f>
        <v/>
      </c>
      <c r="Y87" s="32">
        <f>IF($T87=0,0,IF(LEN(TRIM($E87))=0,1,IF(LEN(TRIM($E87))-LEN(SUBSTITUTE(TRIM($E87)," ",""))+1&lt;3,1,IF(SUMPRODUCT((People!$J$6:$J$12&lt;&gt;"")*(LEFT(LOWER(TRIM($E87))&amp;" ",LEN(People!$J$6:$J$12)+1)=LOWER(People!$J$6:$J$12)&amp;" "))&gt;0,1,0))))</f>
        <v/>
      </c>
      <c r="Z87" s="32">
        <f>IF($T87=0,0,IF(NOT(ISNUMBER($B87)),1,IF($B87&gt;Summary!$K$3,1,0)))</f>
        <v/>
      </c>
      <c r="AA87" s="32">
        <f>IF($T87=0,0,IF($F87="",IF(SUMPRODUCT(--(LOWER(LEFT($C87,LEN(People!$B$30:$B$36)+1))=LOWER(People!$B$30:$B$36)&amp;":"))&gt;0,3,0),IF(ISNA(MATCH($F87,People!$B$30:$B$36,0)),1,IF(LEN(INDEX(People!$C$30:$C$36,MATCH($F87,People!$B$30:$B$36,0))&amp;"")=0,2,IF(TRIM($D87)&lt;&gt;INDEX(People!$C$30:$C$36,MATCH($F87,People!$B$30:$B$36,0)),1,0)))))</f>
        <v/>
      </c>
      <c r="AB87" s="32">
        <f>IF(OR($T87=0,$I87=""),0,IF(OR($I87=$A87,COUNTIF($A$4:$A$153,$I87)=0),1,IF(INDEX($B$4:$B$153,MATCH($I87,$A$4:$A$153,0))&gt;$B87,1,0)))</f>
        <v/>
      </c>
      <c r="AC87" s="32">
        <f>IF(AND($V87=1,LEN(TRIM($G87))=0),1,0)</f>
        <v/>
      </c>
      <c r="AD87" s="32">
        <f>IF($T87=0,0,IFERROR(VALUE(MID($A87,4,9)),0))</f>
        <v/>
      </c>
    </row>
    <row r="88" ht="18" customHeight="1">
      <c r="A88" s="27" t="n"/>
      <c r="B88" s="28" t="n"/>
      <c r="C88" s="29" t="n"/>
      <c r="D88" s="29" t="n"/>
      <c r="E88" s="29" t="n"/>
      <c r="F88" s="29" t="n"/>
      <c r="G88" s="29" t="n"/>
      <c r="H88" s="29" t="n"/>
      <c r="I88" s="27" t="n"/>
      <c r="J88" s="30">
        <f>IF(OR($T88=0,$U88=0),"",INDEX($A$4:$A$153,MATCH($A88,$I$4:$I$153,0)))</f>
        <v/>
      </c>
      <c r="K88" s="31">
        <f>IF($T88=0,"",IF(COUNTIF($X88:$AC88,"&gt;0")=0,"○ Clear",TRIM("△ "&amp;COUNTIF($X88:$AC88,"&gt;0")&amp;IF(COUNTIF($X88:$AC88,"&gt;0")=1," problem: "," problems: ")&amp;IF($X88&gt;0,"Decided by needs one name from People, and a body needs members and a signer. ","")&amp;IF($Y88&gt;0,"Why or evidence needs the reason itself, in three words or more. ","")&amp;IF($Z88&gt;0,"Date needs the day it was decided, no later than As of. ","")&amp;IF($AA88=1,IF(ISNA(MATCH($F88,People!$B$30:$B$36,0)),"Gate isn't one of the gate names on People. ","People names "&amp;INDEX(People!$C$30:$C$36,MATCH($F88,People!$B$30:$B$36,0))&amp;" to decide "&amp;$F88&amp;". "),IF($AA88=2,"People names nobody to decide "&amp;$F88&amp;". ",IF($AA88=3,"The Decision opens with a gate's name, so pick that gate in Gate. ","")))&amp;IF($AB88&gt;0,"Replaces needs the Id of a row dated no later than this one. ","")&amp;IF($AC88&gt;0,"Record elsewhere needs the name of the record the other file keeps. ",""))))</f>
        <v/>
      </c>
      <c r="T88" s="32">
        <f>IF(COUNTA($A88:$I88)&gt;0,1,0)</f>
        <v/>
      </c>
      <c r="U88" s="32">
        <f>IF(OR($T88=0,$A88=""),0,IF(COUNTIF($I$4:$I$153,$A88)&gt;0,1,0))</f>
        <v/>
      </c>
      <c r="V88" s="32">
        <f>IF(AND($T88=1,$H88&lt;&gt;"",$H88&lt;&gt;"This log"),1,0)</f>
        <v/>
      </c>
      <c r="W88" s="26">
        <f>IF($T88=0,"",","&amp;SUBSTITUTE(SUBSTITUTE($G88&amp;","&amp;$F88," ",""),";",",")&amp;",")</f>
        <v/>
      </c>
      <c r="X88" s="32">
        <f>IF($T88=0,0,IF(LEN(TRIM($D88))=0,1,IF(COUNTIF(People!$D$6:$D$25,TRIM($D88))=0,1,IF(INDEX(People!$E$6:$E$25,MATCH(TRIM($D88),People!$D$6:$D$25,0))&lt;&gt;"Body",0,IF(OR(LEN(TRIM(INDEX(People!$F$6:$F$25,MATCH(TRIM($D88),People!$D$6:$D$25,0))))=0,LEN(TRIM(INDEX(People!$G$6:$G$25,MATCH(TRIM($D88),People!$D$6:$D$25,0))))=0),1,0)))))</f>
        <v/>
      </c>
      <c r="Y88" s="32">
        <f>IF($T88=0,0,IF(LEN(TRIM($E88))=0,1,IF(LEN(TRIM($E88))-LEN(SUBSTITUTE(TRIM($E88)," ",""))+1&lt;3,1,IF(SUMPRODUCT((People!$J$6:$J$12&lt;&gt;"")*(LEFT(LOWER(TRIM($E88))&amp;" ",LEN(People!$J$6:$J$12)+1)=LOWER(People!$J$6:$J$12)&amp;" "))&gt;0,1,0))))</f>
        <v/>
      </c>
      <c r="Z88" s="32">
        <f>IF($T88=0,0,IF(NOT(ISNUMBER($B88)),1,IF($B88&gt;Summary!$K$3,1,0)))</f>
        <v/>
      </c>
      <c r="AA88" s="32">
        <f>IF($T88=0,0,IF($F88="",IF(SUMPRODUCT(--(LOWER(LEFT($C88,LEN(People!$B$30:$B$36)+1))=LOWER(People!$B$30:$B$36)&amp;":"))&gt;0,3,0),IF(ISNA(MATCH($F88,People!$B$30:$B$36,0)),1,IF(LEN(INDEX(People!$C$30:$C$36,MATCH($F88,People!$B$30:$B$36,0))&amp;"")=0,2,IF(TRIM($D88)&lt;&gt;INDEX(People!$C$30:$C$36,MATCH($F88,People!$B$30:$B$36,0)),1,0)))))</f>
        <v/>
      </c>
      <c r="AB88" s="32">
        <f>IF(OR($T88=0,$I88=""),0,IF(OR($I88=$A88,COUNTIF($A$4:$A$153,$I88)=0),1,IF(INDEX($B$4:$B$153,MATCH($I88,$A$4:$A$153,0))&gt;$B88,1,0)))</f>
        <v/>
      </c>
      <c r="AC88" s="32">
        <f>IF(AND($V88=1,LEN(TRIM($G88))=0),1,0)</f>
        <v/>
      </c>
      <c r="AD88" s="32">
        <f>IF($T88=0,0,IFERROR(VALUE(MID($A88,4,9)),0))</f>
        <v/>
      </c>
    </row>
    <row r="89" ht="18" customHeight="1">
      <c r="A89" s="27" t="n"/>
      <c r="B89" s="28" t="n"/>
      <c r="C89" s="29" t="n"/>
      <c r="D89" s="29" t="n"/>
      <c r="E89" s="29" t="n"/>
      <c r="F89" s="29" t="n"/>
      <c r="G89" s="29" t="n"/>
      <c r="H89" s="29" t="n"/>
      <c r="I89" s="27" t="n"/>
      <c r="J89" s="30">
        <f>IF(OR($T89=0,$U89=0),"",INDEX($A$4:$A$153,MATCH($A89,$I$4:$I$153,0)))</f>
        <v/>
      </c>
      <c r="K89" s="31">
        <f>IF($T89=0,"",IF(COUNTIF($X89:$AC89,"&gt;0")=0,"○ Clear",TRIM("△ "&amp;COUNTIF($X89:$AC89,"&gt;0")&amp;IF(COUNTIF($X89:$AC89,"&gt;0")=1," problem: "," problems: ")&amp;IF($X89&gt;0,"Decided by needs one name from People, and a body needs members and a signer. ","")&amp;IF($Y89&gt;0,"Why or evidence needs the reason itself, in three words or more. ","")&amp;IF($Z89&gt;0,"Date needs the day it was decided, no later than As of. ","")&amp;IF($AA89=1,IF(ISNA(MATCH($F89,People!$B$30:$B$36,0)),"Gate isn't one of the gate names on People. ","People names "&amp;INDEX(People!$C$30:$C$36,MATCH($F89,People!$B$30:$B$36,0))&amp;" to decide "&amp;$F89&amp;". "),IF($AA89=2,"People names nobody to decide "&amp;$F89&amp;". ",IF($AA89=3,"The Decision opens with a gate's name, so pick that gate in Gate. ","")))&amp;IF($AB89&gt;0,"Replaces needs the Id of a row dated no later than this one. ","")&amp;IF($AC89&gt;0,"Record elsewhere needs the name of the record the other file keeps. ",""))))</f>
        <v/>
      </c>
      <c r="T89" s="32">
        <f>IF(COUNTA($A89:$I89)&gt;0,1,0)</f>
        <v/>
      </c>
      <c r="U89" s="32">
        <f>IF(OR($T89=0,$A89=""),0,IF(COUNTIF($I$4:$I$153,$A89)&gt;0,1,0))</f>
        <v/>
      </c>
      <c r="V89" s="32">
        <f>IF(AND($T89=1,$H89&lt;&gt;"",$H89&lt;&gt;"This log"),1,0)</f>
        <v/>
      </c>
      <c r="W89" s="26">
        <f>IF($T89=0,"",","&amp;SUBSTITUTE(SUBSTITUTE($G89&amp;","&amp;$F89," ",""),";",",")&amp;",")</f>
        <v/>
      </c>
      <c r="X89" s="32">
        <f>IF($T89=0,0,IF(LEN(TRIM($D89))=0,1,IF(COUNTIF(People!$D$6:$D$25,TRIM($D89))=0,1,IF(INDEX(People!$E$6:$E$25,MATCH(TRIM($D89),People!$D$6:$D$25,0))&lt;&gt;"Body",0,IF(OR(LEN(TRIM(INDEX(People!$F$6:$F$25,MATCH(TRIM($D89),People!$D$6:$D$25,0))))=0,LEN(TRIM(INDEX(People!$G$6:$G$25,MATCH(TRIM($D89),People!$D$6:$D$25,0))))=0),1,0)))))</f>
        <v/>
      </c>
      <c r="Y89" s="32">
        <f>IF($T89=0,0,IF(LEN(TRIM($E89))=0,1,IF(LEN(TRIM($E89))-LEN(SUBSTITUTE(TRIM($E89)," ",""))+1&lt;3,1,IF(SUMPRODUCT((People!$J$6:$J$12&lt;&gt;"")*(LEFT(LOWER(TRIM($E89))&amp;" ",LEN(People!$J$6:$J$12)+1)=LOWER(People!$J$6:$J$12)&amp;" "))&gt;0,1,0))))</f>
        <v/>
      </c>
      <c r="Z89" s="32">
        <f>IF($T89=0,0,IF(NOT(ISNUMBER($B89)),1,IF($B89&gt;Summary!$K$3,1,0)))</f>
        <v/>
      </c>
      <c r="AA89" s="32">
        <f>IF($T89=0,0,IF($F89="",IF(SUMPRODUCT(--(LOWER(LEFT($C89,LEN(People!$B$30:$B$36)+1))=LOWER(People!$B$30:$B$36)&amp;":"))&gt;0,3,0),IF(ISNA(MATCH($F89,People!$B$30:$B$36,0)),1,IF(LEN(INDEX(People!$C$30:$C$36,MATCH($F89,People!$B$30:$B$36,0))&amp;"")=0,2,IF(TRIM($D89)&lt;&gt;INDEX(People!$C$30:$C$36,MATCH($F89,People!$B$30:$B$36,0)),1,0)))))</f>
        <v/>
      </c>
      <c r="AB89" s="32">
        <f>IF(OR($T89=0,$I89=""),0,IF(OR($I89=$A89,COUNTIF($A$4:$A$153,$I89)=0),1,IF(INDEX($B$4:$B$153,MATCH($I89,$A$4:$A$153,0))&gt;$B89,1,0)))</f>
        <v/>
      </c>
      <c r="AC89" s="32">
        <f>IF(AND($V89=1,LEN(TRIM($G89))=0),1,0)</f>
        <v/>
      </c>
      <c r="AD89" s="32">
        <f>IF($T89=0,0,IFERROR(VALUE(MID($A89,4,9)),0))</f>
        <v/>
      </c>
    </row>
    <row r="90" ht="18" customHeight="1">
      <c r="A90" s="27" t="n"/>
      <c r="B90" s="28" t="n"/>
      <c r="C90" s="29" t="n"/>
      <c r="D90" s="29" t="n"/>
      <c r="E90" s="29" t="n"/>
      <c r="F90" s="29" t="n"/>
      <c r="G90" s="29" t="n"/>
      <c r="H90" s="29" t="n"/>
      <c r="I90" s="27" t="n"/>
      <c r="J90" s="30">
        <f>IF(OR($T90=0,$U90=0),"",INDEX($A$4:$A$153,MATCH($A90,$I$4:$I$153,0)))</f>
        <v/>
      </c>
      <c r="K90" s="31">
        <f>IF($T90=0,"",IF(COUNTIF($X90:$AC90,"&gt;0")=0,"○ Clear",TRIM("△ "&amp;COUNTIF($X90:$AC90,"&gt;0")&amp;IF(COUNTIF($X90:$AC90,"&gt;0")=1," problem: "," problems: ")&amp;IF($X90&gt;0,"Decided by needs one name from People, and a body needs members and a signer. ","")&amp;IF($Y90&gt;0,"Why or evidence needs the reason itself, in three words or more. ","")&amp;IF($Z90&gt;0,"Date needs the day it was decided, no later than As of. ","")&amp;IF($AA90=1,IF(ISNA(MATCH($F90,People!$B$30:$B$36,0)),"Gate isn't one of the gate names on People. ","People names "&amp;INDEX(People!$C$30:$C$36,MATCH($F90,People!$B$30:$B$36,0))&amp;" to decide "&amp;$F90&amp;". "),IF($AA90=2,"People names nobody to decide "&amp;$F90&amp;". ",IF($AA90=3,"The Decision opens with a gate's name, so pick that gate in Gate. ","")))&amp;IF($AB90&gt;0,"Replaces needs the Id of a row dated no later than this one. ","")&amp;IF($AC90&gt;0,"Record elsewhere needs the name of the record the other file keeps. ",""))))</f>
        <v/>
      </c>
      <c r="T90" s="32">
        <f>IF(COUNTA($A90:$I90)&gt;0,1,0)</f>
        <v/>
      </c>
      <c r="U90" s="32">
        <f>IF(OR($T90=0,$A90=""),0,IF(COUNTIF($I$4:$I$153,$A90)&gt;0,1,0))</f>
        <v/>
      </c>
      <c r="V90" s="32">
        <f>IF(AND($T90=1,$H90&lt;&gt;"",$H90&lt;&gt;"This log"),1,0)</f>
        <v/>
      </c>
      <c r="W90" s="26">
        <f>IF($T90=0,"",","&amp;SUBSTITUTE(SUBSTITUTE($G90&amp;","&amp;$F90," ",""),";",",")&amp;",")</f>
        <v/>
      </c>
      <c r="X90" s="32">
        <f>IF($T90=0,0,IF(LEN(TRIM($D90))=0,1,IF(COUNTIF(People!$D$6:$D$25,TRIM($D90))=0,1,IF(INDEX(People!$E$6:$E$25,MATCH(TRIM($D90),People!$D$6:$D$25,0))&lt;&gt;"Body",0,IF(OR(LEN(TRIM(INDEX(People!$F$6:$F$25,MATCH(TRIM($D90),People!$D$6:$D$25,0))))=0,LEN(TRIM(INDEX(People!$G$6:$G$25,MATCH(TRIM($D90),People!$D$6:$D$25,0))))=0),1,0)))))</f>
        <v/>
      </c>
      <c r="Y90" s="32">
        <f>IF($T90=0,0,IF(LEN(TRIM($E90))=0,1,IF(LEN(TRIM($E90))-LEN(SUBSTITUTE(TRIM($E90)," ",""))+1&lt;3,1,IF(SUMPRODUCT((People!$J$6:$J$12&lt;&gt;"")*(LEFT(LOWER(TRIM($E90))&amp;" ",LEN(People!$J$6:$J$12)+1)=LOWER(People!$J$6:$J$12)&amp;" "))&gt;0,1,0))))</f>
        <v/>
      </c>
      <c r="Z90" s="32">
        <f>IF($T90=0,0,IF(NOT(ISNUMBER($B90)),1,IF($B90&gt;Summary!$K$3,1,0)))</f>
        <v/>
      </c>
      <c r="AA90" s="32">
        <f>IF($T90=0,0,IF($F90="",IF(SUMPRODUCT(--(LOWER(LEFT($C90,LEN(People!$B$30:$B$36)+1))=LOWER(People!$B$30:$B$36)&amp;":"))&gt;0,3,0),IF(ISNA(MATCH($F90,People!$B$30:$B$36,0)),1,IF(LEN(INDEX(People!$C$30:$C$36,MATCH($F90,People!$B$30:$B$36,0))&amp;"")=0,2,IF(TRIM($D90)&lt;&gt;INDEX(People!$C$30:$C$36,MATCH($F90,People!$B$30:$B$36,0)),1,0)))))</f>
        <v/>
      </c>
      <c r="AB90" s="32">
        <f>IF(OR($T90=0,$I90=""),0,IF(OR($I90=$A90,COUNTIF($A$4:$A$153,$I90)=0),1,IF(INDEX($B$4:$B$153,MATCH($I90,$A$4:$A$153,0))&gt;$B90,1,0)))</f>
        <v/>
      </c>
      <c r="AC90" s="32">
        <f>IF(AND($V90=1,LEN(TRIM($G90))=0),1,0)</f>
        <v/>
      </c>
      <c r="AD90" s="32">
        <f>IF($T90=0,0,IFERROR(VALUE(MID($A90,4,9)),0))</f>
        <v/>
      </c>
    </row>
    <row r="91" ht="18" customHeight="1">
      <c r="A91" s="27" t="n"/>
      <c r="B91" s="28" t="n"/>
      <c r="C91" s="29" t="n"/>
      <c r="D91" s="29" t="n"/>
      <c r="E91" s="29" t="n"/>
      <c r="F91" s="29" t="n"/>
      <c r="G91" s="29" t="n"/>
      <c r="H91" s="29" t="n"/>
      <c r="I91" s="27" t="n"/>
      <c r="J91" s="30">
        <f>IF(OR($T91=0,$U91=0),"",INDEX($A$4:$A$153,MATCH($A91,$I$4:$I$153,0)))</f>
        <v/>
      </c>
      <c r="K91" s="31">
        <f>IF($T91=0,"",IF(COUNTIF($X91:$AC91,"&gt;0")=0,"○ Clear",TRIM("△ "&amp;COUNTIF($X91:$AC91,"&gt;0")&amp;IF(COUNTIF($X91:$AC91,"&gt;0")=1," problem: "," problems: ")&amp;IF($X91&gt;0,"Decided by needs one name from People, and a body needs members and a signer. ","")&amp;IF($Y91&gt;0,"Why or evidence needs the reason itself, in three words or more. ","")&amp;IF($Z91&gt;0,"Date needs the day it was decided, no later than As of. ","")&amp;IF($AA91=1,IF(ISNA(MATCH($F91,People!$B$30:$B$36,0)),"Gate isn't one of the gate names on People. ","People names "&amp;INDEX(People!$C$30:$C$36,MATCH($F91,People!$B$30:$B$36,0))&amp;" to decide "&amp;$F91&amp;". "),IF($AA91=2,"People names nobody to decide "&amp;$F91&amp;". ",IF($AA91=3,"The Decision opens with a gate's name, so pick that gate in Gate. ","")))&amp;IF($AB91&gt;0,"Replaces needs the Id of a row dated no later than this one. ","")&amp;IF($AC91&gt;0,"Record elsewhere needs the name of the record the other file keeps. ",""))))</f>
        <v/>
      </c>
      <c r="T91" s="32">
        <f>IF(COUNTA($A91:$I91)&gt;0,1,0)</f>
        <v/>
      </c>
      <c r="U91" s="32">
        <f>IF(OR($T91=0,$A91=""),0,IF(COUNTIF($I$4:$I$153,$A91)&gt;0,1,0))</f>
        <v/>
      </c>
      <c r="V91" s="32">
        <f>IF(AND($T91=1,$H91&lt;&gt;"",$H91&lt;&gt;"This log"),1,0)</f>
        <v/>
      </c>
      <c r="W91" s="26">
        <f>IF($T91=0,"",","&amp;SUBSTITUTE(SUBSTITUTE($G91&amp;","&amp;$F91," ",""),";",",")&amp;",")</f>
        <v/>
      </c>
      <c r="X91" s="32">
        <f>IF($T91=0,0,IF(LEN(TRIM($D91))=0,1,IF(COUNTIF(People!$D$6:$D$25,TRIM($D91))=0,1,IF(INDEX(People!$E$6:$E$25,MATCH(TRIM($D91),People!$D$6:$D$25,0))&lt;&gt;"Body",0,IF(OR(LEN(TRIM(INDEX(People!$F$6:$F$25,MATCH(TRIM($D91),People!$D$6:$D$25,0))))=0,LEN(TRIM(INDEX(People!$G$6:$G$25,MATCH(TRIM($D91),People!$D$6:$D$25,0))))=0),1,0)))))</f>
        <v/>
      </c>
      <c r="Y91" s="32">
        <f>IF($T91=0,0,IF(LEN(TRIM($E91))=0,1,IF(LEN(TRIM($E91))-LEN(SUBSTITUTE(TRIM($E91)," ",""))+1&lt;3,1,IF(SUMPRODUCT((People!$J$6:$J$12&lt;&gt;"")*(LEFT(LOWER(TRIM($E91))&amp;" ",LEN(People!$J$6:$J$12)+1)=LOWER(People!$J$6:$J$12)&amp;" "))&gt;0,1,0))))</f>
        <v/>
      </c>
      <c r="Z91" s="32">
        <f>IF($T91=0,0,IF(NOT(ISNUMBER($B91)),1,IF($B91&gt;Summary!$K$3,1,0)))</f>
        <v/>
      </c>
      <c r="AA91" s="32">
        <f>IF($T91=0,0,IF($F91="",IF(SUMPRODUCT(--(LOWER(LEFT($C91,LEN(People!$B$30:$B$36)+1))=LOWER(People!$B$30:$B$36)&amp;":"))&gt;0,3,0),IF(ISNA(MATCH($F91,People!$B$30:$B$36,0)),1,IF(LEN(INDEX(People!$C$30:$C$36,MATCH($F91,People!$B$30:$B$36,0))&amp;"")=0,2,IF(TRIM($D91)&lt;&gt;INDEX(People!$C$30:$C$36,MATCH($F91,People!$B$30:$B$36,0)),1,0)))))</f>
        <v/>
      </c>
      <c r="AB91" s="32">
        <f>IF(OR($T91=0,$I91=""),0,IF(OR($I91=$A91,COUNTIF($A$4:$A$153,$I91)=0),1,IF(INDEX($B$4:$B$153,MATCH($I91,$A$4:$A$153,0))&gt;$B91,1,0)))</f>
        <v/>
      </c>
      <c r="AC91" s="32">
        <f>IF(AND($V91=1,LEN(TRIM($G91))=0),1,0)</f>
        <v/>
      </c>
      <c r="AD91" s="32">
        <f>IF($T91=0,0,IFERROR(VALUE(MID($A91,4,9)),0))</f>
        <v/>
      </c>
    </row>
    <row r="92" ht="18" customHeight="1">
      <c r="A92" s="27" t="n"/>
      <c r="B92" s="28" t="n"/>
      <c r="C92" s="29" t="n"/>
      <c r="D92" s="29" t="n"/>
      <c r="E92" s="29" t="n"/>
      <c r="F92" s="29" t="n"/>
      <c r="G92" s="29" t="n"/>
      <c r="H92" s="29" t="n"/>
      <c r="I92" s="27" t="n"/>
      <c r="J92" s="30">
        <f>IF(OR($T92=0,$U92=0),"",INDEX($A$4:$A$153,MATCH($A92,$I$4:$I$153,0)))</f>
        <v/>
      </c>
      <c r="K92" s="31">
        <f>IF($T92=0,"",IF(COUNTIF($X92:$AC92,"&gt;0")=0,"○ Clear",TRIM("△ "&amp;COUNTIF($X92:$AC92,"&gt;0")&amp;IF(COUNTIF($X92:$AC92,"&gt;0")=1," problem: "," problems: ")&amp;IF($X92&gt;0,"Decided by needs one name from People, and a body needs members and a signer. ","")&amp;IF($Y92&gt;0,"Why or evidence needs the reason itself, in three words or more. ","")&amp;IF($Z92&gt;0,"Date needs the day it was decided, no later than As of. ","")&amp;IF($AA92=1,IF(ISNA(MATCH($F92,People!$B$30:$B$36,0)),"Gate isn't one of the gate names on People. ","People names "&amp;INDEX(People!$C$30:$C$36,MATCH($F92,People!$B$30:$B$36,0))&amp;" to decide "&amp;$F92&amp;". "),IF($AA92=2,"People names nobody to decide "&amp;$F92&amp;". ",IF($AA92=3,"The Decision opens with a gate's name, so pick that gate in Gate. ","")))&amp;IF($AB92&gt;0,"Replaces needs the Id of a row dated no later than this one. ","")&amp;IF($AC92&gt;0,"Record elsewhere needs the name of the record the other file keeps. ",""))))</f>
        <v/>
      </c>
      <c r="T92" s="32">
        <f>IF(COUNTA($A92:$I92)&gt;0,1,0)</f>
        <v/>
      </c>
      <c r="U92" s="32">
        <f>IF(OR($T92=0,$A92=""),0,IF(COUNTIF($I$4:$I$153,$A92)&gt;0,1,0))</f>
        <v/>
      </c>
      <c r="V92" s="32">
        <f>IF(AND($T92=1,$H92&lt;&gt;"",$H92&lt;&gt;"This log"),1,0)</f>
        <v/>
      </c>
      <c r="W92" s="26">
        <f>IF($T92=0,"",","&amp;SUBSTITUTE(SUBSTITUTE($G92&amp;","&amp;$F92," ",""),";",",")&amp;",")</f>
        <v/>
      </c>
      <c r="X92" s="32">
        <f>IF($T92=0,0,IF(LEN(TRIM($D92))=0,1,IF(COUNTIF(People!$D$6:$D$25,TRIM($D92))=0,1,IF(INDEX(People!$E$6:$E$25,MATCH(TRIM($D92),People!$D$6:$D$25,0))&lt;&gt;"Body",0,IF(OR(LEN(TRIM(INDEX(People!$F$6:$F$25,MATCH(TRIM($D92),People!$D$6:$D$25,0))))=0,LEN(TRIM(INDEX(People!$G$6:$G$25,MATCH(TRIM($D92),People!$D$6:$D$25,0))))=0),1,0)))))</f>
        <v/>
      </c>
      <c r="Y92" s="32">
        <f>IF($T92=0,0,IF(LEN(TRIM($E92))=0,1,IF(LEN(TRIM($E92))-LEN(SUBSTITUTE(TRIM($E92)," ",""))+1&lt;3,1,IF(SUMPRODUCT((People!$J$6:$J$12&lt;&gt;"")*(LEFT(LOWER(TRIM($E92))&amp;" ",LEN(People!$J$6:$J$12)+1)=LOWER(People!$J$6:$J$12)&amp;" "))&gt;0,1,0))))</f>
        <v/>
      </c>
      <c r="Z92" s="32">
        <f>IF($T92=0,0,IF(NOT(ISNUMBER($B92)),1,IF($B92&gt;Summary!$K$3,1,0)))</f>
        <v/>
      </c>
      <c r="AA92" s="32">
        <f>IF($T92=0,0,IF($F92="",IF(SUMPRODUCT(--(LOWER(LEFT($C92,LEN(People!$B$30:$B$36)+1))=LOWER(People!$B$30:$B$36)&amp;":"))&gt;0,3,0),IF(ISNA(MATCH($F92,People!$B$30:$B$36,0)),1,IF(LEN(INDEX(People!$C$30:$C$36,MATCH($F92,People!$B$30:$B$36,0))&amp;"")=0,2,IF(TRIM($D92)&lt;&gt;INDEX(People!$C$30:$C$36,MATCH($F92,People!$B$30:$B$36,0)),1,0)))))</f>
        <v/>
      </c>
      <c r="AB92" s="32">
        <f>IF(OR($T92=0,$I92=""),0,IF(OR($I92=$A92,COUNTIF($A$4:$A$153,$I92)=0),1,IF(INDEX($B$4:$B$153,MATCH($I92,$A$4:$A$153,0))&gt;$B92,1,0)))</f>
        <v/>
      </c>
      <c r="AC92" s="32">
        <f>IF(AND($V92=1,LEN(TRIM($G92))=0),1,0)</f>
        <v/>
      </c>
      <c r="AD92" s="32">
        <f>IF($T92=0,0,IFERROR(VALUE(MID($A92,4,9)),0))</f>
        <v/>
      </c>
    </row>
    <row r="93" ht="18" customHeight="1">
      <c r="A93" s="27" t="n"/>
      <c r="B93" s="28" t="n"/>
      <c r="C93" s="29" t="n"/>
      <c r="D93" s="29" t="n"/>
      <c r="E93" s="29" t="n"/>
      <c r="F93" s="29" t="n"/>
      <c r="G93" s="29" t="n"/>
      <c r="H93" s="29" t="n"/>
      <c r="I93" s="27" t="n"/>
      <c r="J93" s="30">
        <f>IF(OR($T93=0,$U93=0),"",INDEX($A$4:$A$153,MATCH($A93,$I$4:$I$153,0)))</f>
        <v/>
      </c>
      <c r="K93" s="31">
        <f>IF($T93=0,"",IF(COUNTIF($X93:$AC93,"&gt;0")=0,"○ Clear",TRIM("△ "&amp;COUNTIF($X93:$AC93,"&gt;0")&amp;IF(COUNTIF($X93:$AC93,"&gt;0")=1," problem: "," problems: ")&amp;IF($X93&gt;0,"Decided by needs one name from People, and a body needs members and a signer. ","")&amp;IF($Y93&gt;0,"Why or evidence needs the reason itself, in three words or more. ","")&amp;IF($Z93&gt;0,"Date needs the day it was decided, no later than As of. ","")&amp;IF($AA93=1,IF(ISNA(MATCH($F93,People!$B$30:$B$36,0)),"Gate isn't one of the gate names on People. ","People names "&amp;INDEX(People!$C$30:$C$36,MATCH($F93,People!$B$30:$B$36,0))&amp;" to decide "&amp;$F93&amp;". "),IF($AA93=2,"People names nobody to decide "&amp;$F93&amp;". ",IF($AA93=3,"The Decision opens with a gate's name, so pick that gate in Gate. ","")))&amp;IF($AB93&gt;0,"Replaces needs the Id of a row dated no later than this one. ","")&amp;IF($AC93&gt;0,"Record elsewhere needs the name of the record the other file keeps. ",""))))</f>
        <v/>
      </c>
      <c r="T93" s="32">
        <f>IF(COUNTA($A93:$I93)&gt;0,1,0)</f>
        <v/>
      </c>
      <c r="U93" s="32">
        <f>IF(OR($T93=0,$A93=""),0,IF(COUNTIF($I$4:$I$153,$A93)&gt;0,1,0))</f>
        <v/>
      </c>
      <c r="V93" s="32">
        <f>IF(AND($T93=1,$H93&lt;&gt;"",$H93&lt;&gt;"This log"),1,0)</f>
        <v/>
      </c>
      <c r="W93" s="26">
        <f>IF($T93=0,"",","&amp;SUBSTITUTE(SUBSTITUTE($G93&amp;","&amp;$F93," ",""),";",",")&amp;",")</f>
        <v/>
      </c>
      <c r="X93" s="32">
        <f>IF($T93=0,0,IF(LEN(TRIM($D93))=0,1,IF(COUNTIF(People!$D$6:$D$25,TRIM($D93))=0,1,IF(INDEX(People!$E$6:$E$25,MATCH(TRIM($D93),People!$D$6:$D$25,0))&lt;&gt;"Body",0,IF(OR(LEN(TRIM(INDEX(People!$F$6:$F$25,MATCH(TRIM($D93),People!$D$6:$D$25,0))))=0,LEN(TRIM(INDEX(People!$G$6:$G$25,MATCH(TRIM($D93),People!$D$6:$D$25,0))))=0),1,0)))))</f>
        <v/>
      </c>
      <c r="Y93" s="32">
        <f>IF($T93=0,0,IF(LEN(TRIM($E93))=0,1,IF(LEN(TRIM($E93))-LEN(SUBSTITUTE(TRIM($E93)," ",""))+1&lt;3,1,IF(SUMPRODUCT((People!$J$6:$J$12&lt;&gt;"")*(LEFT(LOWER(TRIM($E93))&amp;" ",LEN(People!$J$6:$J$12)+1)=LOWER(People!$J$6:$J$12)&amp;" "))&gt;0,1,0))))</f>
        <v/>
      </c>
      <c r="Z93" s="32">
        <f>IF($T93=0,0,IF(NOT(ISNUMBER($B93)),1,IF($B93&gt;Summary!$K$3,1,0)))</f>
        <v/>
      </c>
      <c r="AA93" s="32">
        <f>IF($T93=0,0,IF($F93="",IF(SUMPRODUCT(--(LOWER(LEFT($C93,LEN(People!$B$30:$B$36)+1))=LOWER(People!$B$30:$B$36)&amp;":"))&gt;0,3,0),IF(ISNA(MATCH($F93,People!$B$30:$B$36,0)),1,IF(LEN(INDEX(People!$C$30:$C$36,MATCH($F93,People!$B$30:$B$36,0))&amp;"")=0,2,IF(TRIM($D93)&lt;&gt;INDEX(People!$C$30:$C$36,MATCH($F93,People!$B$30:$B$36,0)),1,0)))))</f>
        <v/>
      </c>
      <c r="AB93" s="32">
        <f>IF(OR($T93=0,$I93=""),0,IF(OR($I93=$A93,COUNTIF($A$4:$A$153,$I93)=0),1,IF(INDEX($B$4:$B$153,MATCH($I93,$A$4:$A$153,0))&gt;$B93,1,0)))</f>
        <v/>
      </c>
      <c r="AC93" s="32">
        <f>IF(AND($V93=1,LEN(TRIM($G93))=0),1,0)</f>
        <v/>
      </c>
      <c r="AD93" s="32">
        <f>IF($T93=0,0,IFERROR(VALUE(MID($A93,4,9)),0))</f>
        <v/>
      </c>
    </row>
    <row r="94" ht="18" customHeight="1">
      <c r="A94" s="27" t="n"/>
      <c r="B94" s="28" t="n"/>
      <c r="C94" s="29" t="n"/>
      <c r="D94" s="29" t="n"/>
      <c r="E94" s="29" t="n"/>
      <c r="F94" s="29" t="n"/>
      <c r="G94" s="29" t="n"/>
      <c r="H94" s="29" t="n"/>
      <c r="I94" s="27" t="n"/>
      <c r="J94" s="30">
        <f>IF(OR($T94=0,$U94=0),"",INDEX($A$4:$A$153,MATCH($A94,$I$4:$I$153,0)))</f>
        <v/>
      </c>
      <c r="K94" s="31">
        <f>IF($T94=0,"",IF(COUNTIF($X94:$AC94,"&gt;0")=0,"○ Clear",TRIM("△ "&amp;COUNTIF($X94:$AC94,"&gt;0")&amp;IF(COUNTIF($X94:$AC94,"&gt;0")=1," problem: "," problems: ")&amp;IF($X94&gt;0,"Decided by needs one name from People, and a body needs members and a signer. ","")&amp;IF($Y94&gt;0,"Why or evidence needs the reason itself, in three words or more. ","")&amp;IF($Z94&gt;0,"Date needs the day it was decided, no later than As of. ","")&amp;IF($AA94=1,IF(ISNA(MATCH($F94,People!$B$30:$B$36,0)),"Gate isn't one of the gate names on People. ","People names "&amp;INDEX(People!$C$30:$C$36,MATCH($F94,People!$B$30:$B$36,0))&amp;" to decide "&amp;$F94&amp;". "),IF($AA94=2,"People names nobody to decide "&amp;$F94&amp;". ",IF($AA94=3,"The Decision opens with a gate's name, so pick that gate in Gate. ","")))&amp;IF($AB94&gt;0,"Replaces needs the Id of a row dated no later than this one. ","")&amp;IF($AC94&gt;0,"Record elsewhere needs the name of the record the other file keeps. ",""))))</f>
        <v/>
      </c>
      <c r="T94" s="32">
        <f>IF(COUNTA($A94:$I94)&gt;0,1,0)</f>
        <v/>
      </c>
      <c r="U94" s="32">
        <f>IF(OR($T94=0,$A94=""),0,IF(COUNTIF($I$4:$I$153,$A94)&gt;0,1,0))</f>
        <v/>
      </c>
      <c r="V94" s="32">
        <f>IF(AND($T94=1,$H94&lt;&gt;"",$H94&lt;&gt;"This log"),1,0)</f>
        <v/>
      </c>
      <c r="W94" s="26">
        <f>IF($T94=0,"",","&amp;SUBSTITUTE(SUBSTITUTE($G94&amp;","&amp;$F94," ",""),";",",")&amp;",")</f>
        <v/>
      </c>
      <c r="X94" s="32">
        <f>IF($T94=0,0,IF(LEN(TRIM($D94))=0,1,IF(COUNTIF(People!$D$6:$D$25,TRIM($D94))=0,1,IF(INDEX(People!$E$6:$E$25,MATCH(TRIM($D94),People!$D$6:$D$25,0))&lt;&gt;"Body",0,IF(OR(LEN(TRIM(INDEX(People!$F$6:$F$25,MATCH(TRIM($D94),People!$D$6:$D$25,0))))=0,LEN(TRIM(INDEX(People!$G$6:$G$25,MATCH(TRIM($D94),People!$D$6:$D$25,0))))=0),1,0)))))</f>
        <v/>
      </c>
      <c r="Y94" s="32">
        <f>IF($T94=0,0,IF(LEN(TRIM($E94))=0,1,IF(LEN(TRIM($E94))-LEN(SUBSTITUTE(TRIM($E94)," ",""))+1&lt;3,1,IF(SUMPRODUCT((People!$J$6:$J$12&lt;&gt;"")*(LEFT(LOWER(TRIM($E94))&amp;" ",LEN(People!$J$6:$J$12)+1)=LOWER(People!$J$6:$J$12)&amp;" "))&gt;0,1,0))))</f>
        <v/>
      </c>
      <c r="Z94" s="32">
        <f>IF($T94=0,0,IF(NOT(ISNUMBER($B94)),1,IF($B94&gt;Summary!$K$3,1,0)))</f>
        <v/>
      </c>
      <c r="AA94" s="32">
        <f>IF($T94=0,0,IF($F94="",IF(SUMPRODUCT(--(LOWER(LEFT($C94,LEN(People!$B$30:$B$36)+1))=LOWER(People!$B$30:$B$36)&amp;":"))&gt;0,3,0),IF(ISNA(MATCH($F94,People!$B$30:$B$36,0)),1,IF(LEN(INDEX(People!$C$30:$C$36,MATCH($F94,People!$B$30:$B$36,0))&amp;"")=0,2,IF(TRIM($D94)&lt;&gt;INDEX(People!$C$30:$C$36,MATCH($F94,People!$B$30:$B$36,0)),1,0)))))</f>
        <v/>
      </c>
      <c r="AB94" s="32">
        <f>IF(OR($T94=0,$I94=""),0,IF(OR($I94=$A94,COUNTIF($A$4:$A$153,$I94)=0),1,IF(INDEX($B$4:$B$153,MATCH($I94,$A$4:$A$153,0))&gt;$B94,1,0)))</f>
        <v/>
      </c>
      <c r="AC94" s="32">
        <f>IF(AND($V94=1,LEN(TRIM($G94))=0),1,0)</f>
        <v/>
      </c>
      <c r="AD94" s="32">
        <f>IF($T94=0,0,IFERROR(VALUE(MID($A94,4,9)),0))</f>
        <v/>
      </c>
    </row>
    <row r="95" ht="18" customHeight="1">
      <c r="A95" s="27" t="n"/>
      <c r="B95" s="28" t="n"/>
      <c r="C95" s="29" t="n"/>
      <c r="D95" s="29" t="n"/>
      <c r="E95" s="29" t="n"/>
      <c r="F95" s="29" t="n"/>
      <c r="G95" s="29" t="n"/>
      <c r="H95" s="29" t="n"/>
      <c r="I95" s="27" t="n"/>
      <c r="J95" s="30">
        <f>IF(OR($T95=0,$U95=0),"",INDEX($A$4:$A$153,MATCH($A95,$I$4:$I$153,0)))</f>
        <v/>
      </c>
      <c r="K95" s="31">
        <f>IF($T95=0,"",IF(COUNTIF($X95:$AC95,"&gt;0")=0,"○ Clear",TRIM("△ "&amp;COUNTIF($X95:$AC95,"&gt;0")&amp;IF(COUNTIF($X95:$AC95,"&gt;0")=1," problem: "," problems: ")&amp;IF($X95&gt;0,"Decided by needs one name from People, and a body needs members and a signer. ","")&amp;IF($Y95&gt;0,"Why or evidence needs the reason itself, in three words or more. ","")&amp;IF($Z95&gt;0,"Date needs the day it was decided, no later than As of. ","")&amp;IF($AA95=1,IF(ISNA(MATCH($F95,People!$B$30:$B$36,0)),"Gate isn't one of the gate names on People. ","People names "&amp;INDEX(People!$C$30:$C$36,MATCH($F95,People!$B$30:$B$36,0))&amp;" to decide "&amp;$F95&amp;". "),IF($AA95=2,"People names nobody to decide "&amp;$F95&amp;". ",IF($AA95=3,"The Decision opens with a gate's name, so pick that gate in Gate. ","")))&amp;IF($AB95&gt;0,"Replaces needs the Id of a row dated no later than this one. ","")&amp;IF($AC95&gt;0,"Record elsewhere needs the name of the record the other file keeps. ",""))))</f>
        <v/>
      </c>
      <c r="T95" s="32">
        <f>IF(COUNTA($A95:$I95)&gt;0,1,0)</f>
        <v/>
      </c>
      <c r="U95" s="32">
        <f>IF(OR($T95=0,$A95=""),0,IF(COUNTIF($I$4:$I$153,$A95)&gt;0,1,0))</f>
        <v/>
      </c>
      <c r="V95" s="32">
        <f>IF(AND($T95=1,$H95&lt;&gt;"",$H95&lt;&gt;"This log"),1,0)</f>
        <v/>
      </c>
      <c r="W95" s="26">
        <f>IF($T95=0,"",","&amp;SUBSTITUTE(SUBSTITUTE($G95&amp;","&amp;$F95," ",""),";",",")&amp;",")</f>
        <v/>
      </c>
      <c r="X95" s="32">
        <f>IF($T95=0,0,IF(LEN(TRIM($D95))=0,1,IF(COUNTIF(People!$D$6:$D$25,TRIM($D95))=0,1,IF(INDEX(People!$E$6:$E$25,MATCH(TRIM($D95),People!$D$6:$D$25,0))&lt;&gt;"Body",0,IF(OR(LEN(TRIM(INDEX(People!$F$6:$F$25,MATCH(TRIM($D95),People!$D$6:$D$25,0))))=0,LEN(TRIM(INDEX(People!$G$6:$G$25,MATCH(TRIM($D95),People!$D$6:$D$25,0))))=0),1,0)))))</f>
        <v/>
      </c>
      <c r="Y95" s="32">
        <f>IF($T95=0,0,IF(LEN(TRIM($E95))=0,1,IF(LEN(TRIM($E95))-LEN(SUBSTITUTE(TRIM($E95)," ",""))+1&lt;3,1,IF(SUMPRODUCT((People!$J$6:$J$12&lt;&gt;"")*(LEFT(LOWER(TRIM($E95))&amp;" ",LEN(People!$J$6:$J$12)+1)=LOWER(People!$J$6:$J$12)&amp;" "))&gt;0,1,0))))</f>
        <v/>
      </c>
      <c r="Z95" s="32">
        <f>IF($T95=0,0,IF(NOT(ISNUMBER($B95)),1,IF($B95&gt;Summary!$K$3,1,0)))</f>
        <v/>
      </c>
      <c r="AA95" s="32">
        <f>IF($T95=0,0,IF($F95="",IF(SUMPRODUCT(--(LOWER(LEFT($C95,LEN(People!$B$30:$B$36)+1))=LOWER(People!$B$30:$B$36)&amp;":"))&gt;0,3,0),IF(ISNA(MATCH($F95,People!$B$30:$B$36,0)),1,IF(LEN(INDEX(People!$C$30:$C$36,MATCH($F95,People!$B$30:$B$36,0))&amp;"")=0,2,IF(TRIM($D95)&lt;&gt;INDEX(People!$C$30:$C$36,MATCH($F95,People!$B$30:$B$36,0)),1,0)))))</f>
        <v/>
      </c>
      <c r="AB95" s="32">
        <f>IF(OR($T95=0,$I95=""),0,IF(OR($I95=$A95,COUNTIF($A$4:$A$153,$I95)=0),1,IF(INDEX($B$4:$B$153,MATCH($I95,$A$4:$A$153,0))&gt;$B95,1,0)))</f>
        <v/>
      </c>
      <c r="AC95" s="32">
        <f>IF(AND($V95=1,LEN(TRIM($G95))=0),1,0)</f>
        <v/>
      </c>
      <c r="AD95" s="32">
        <f>IF($T95=0,0,IFERROR(VALUE(MID($A95,4,9)),0))</f>
        <v/>
      </c>
    </row>
    <row r="96" ht="18" customHeight="1">
      <c r="A96" s="27" t="n"/>
      <c r="B96" s="28" t="n"/>
      <c r="C96" s="29" t="n"/>
      <c r="D96" s="29" t="n"/>
      <c r="E96" s="29" t="n"/>
      <c r="F96" s="29" t="n"/>
      <c r="G96" s="29" t="n"/>
      <c r="H96" s="29" t="n"/>
      <c r="I96" s="27" t="n"/>
      <c r="J96" s="30">
        <f>IF(OR($T96=0,$U96=0),"",INDEX($A$4:$A$153,MATCH($A96,$I$4:$I$153,0)))</f>
        <v/>
      </c>
      <c r="K96" s="31">
        <f>IF($T96=0,"",IF(COUNTIF($X96:$AC96,"&gt;0")=0,"○ Clear",TRIM("△ "&amp;COUNTIF($X96:$AC96,"&gt;0")&amp;IF(COUNTIF($X96:$AC96,"&gt;0")=1," problem: "," problems: ")&amp;IF($X96&gt;0,"Decided by needs one name from People, and a body needs members and a signer. ","")&amp;IF($Y96&gt;0,"Why or evidence needs the reason itself, in three words or more. ","")&amp;IF($Z96&gt;0,"Date needs the day it was decided, no later than As of. ","")&amp;IF($AA96=1,IF(ISNA(MATCH($F96,People!$B$30:$B$36,0)),"Gate isn't one of the gate names on People. ","People names "&amp;INDEX(People!$C$30:$C$36,MATCH($F96,People!$B$30:$B$36,0))&amp;" to decide "&amp;$F96&amp;". "),IF($AA96=2,"People names nobody to decide "&amp;$F96&amp;". ",IF($AA96=3,"The Decision opens with a gate's name, so pick that gate in Gate. ","")))&amp;IF($AB96&gt;0,"Replaces needs the Id of a row dated no later than this one. ","")&amp;IF($AC96&gt;0,"Record elsewhere needs the name of the record the other file keeps. ",""))))</f>
        <v/>
      </c>
      <c r="T96" s="32">
        <f>IF(COUNTA($A96:$I96)&gt;0,1,0)</f>
        <v/>
      </c>
      <c r="U96" s="32">
        <f>IF(OR($T96=0,$A96=""),0,IF(COUNTIF($I$4:$I$153,$A96)&gt;0,1,0))</f>
        <v/>
      </c>
      <c r="V96" s="32">
        <f>IF(AND($T96=1,$H96&lt;&gt;"",$H96&lt;&gt;"This log"),1,0)</f>
        <v/>
      </c>
      <c r="W96" s="26">
        <f>IF($T96=0,"",","&amp;SUBSTITUTE(SUBSTITUTE($G96&amp;","&amp;$F96," ",""),";",",")&amp;",")</f>
        <v/>
      </c>
      <c r="X96" s="32">
        <f>IF($T96=0,0,IF(LEN(TRIM($D96))=0,1,IF(COUNTIF(People!$D$6:$D$25,TRIM($D96))=0,1,IF(INDEX(People!$E$6:$E$25,MATCH(TRIM($D96),People!$D$6:$D$25,0))&lt;&gt;"Body",0,IF(OR(LEN(TRIM(INDEX(People!$F$6:$F$25,MATCH(TRIM($D96),People!$D$6:$D$25,0))))=0,LEN(TRIM(INDEX(People!$G$6:$G$25,MATCH(TRIM($D96),People!$D$6:$D$25,0))))=0),1,0)))))</f>
        <v/>
      </c>
      <c r="Y96" s="32">
        <f>IF($T96=0,0,IF(LEN(TRIM($E96))=0,1,IF(LEN(TRIM($E96))-LEN(SUBSTITUTE(TRIM($E96)," ",""))+1&lt;3,1,IF(SUMPRODUCT((People!$J$6:$J$12&lt;&gt;"")*(LEFT(LOWER(TRIM($E96))&amp;" ",LEN(People!$J$6:$J$12)+1)=LOWER(People!$J$6:$J$12)&amp;" "))&gt;0,1,0))))</f>
        <v/>
      </c>
      <c r="Z96" s="32">
        <f>IF($T96=0,0,IF(NOT(ISNUMBER($B96)),1,IF($B96&gt;Summary!$K$3,1,0)))</f>
        <v/>
      </c>
      <c r="AA96" s="32">
        <f>IF($T96=0,0,IF($F96="",IF(SUMPRODUCT(--(LOWER(LEFT($C96,LEN(People!$B$30:$B$36)+1))=LOWER(People!$B$30:$B$36)&amp;":"))&gt;0,3,0),IF(ISNA(MATCH($F96,People!$B$30:$B$36,0)),1,IF(LEN(INDEX(People!$C$30:$C$36,MATCH($F96,People!$B$30:$B$36,0))&amp;"")=0,2,IF(TRIM($D96)&lt;&gt;INDEX(People!$C$30:$C$36,MATCH($F96,People!$B$30:$B$36,0)),1,0)))))</f>
        <v/>
      </c>
      <c r="AB96" s="32">
        <f>IF(OR($T96=0,$I96=""),0,IF(OR($I96=$A96,COUNTIF($A$4:$A$153,$I96)=0),1,IF(INDEX($B$4:$B$153,MATCH($I96,$A$4:$A$153,0))&gt;$B96,1,0)))</f>
        <v/>
      </c>
      <c r="AC96" s="32">
        <f>IF(AND($V96=1,LEN(TRIM($G96))=0),1,0)</f>
        <v/>
      </c>
      <c r="AD96" s="32">
        <f>IF($T96=0,0,IFERROR(VALUE(MID($A96,4,9)),0))</f>
        <v/>
      </c>
    </row>
    <row r="97" ht="18" customHeight="1">
      <c r="A97" s="27" t="n"/>
      <c r="B97" s="28" t="n"/>
      <c r="C97" s="29" t="n"/>
      <c r="D97" s="29" t="n"/>
      <c r="E97" s="29" t="n"/>
      <c r="F97" s="29" t="n"/>
      <c r="G97" s="29" t="n"/>
      <c r="H97" s="29" t="n"/>
      <c r="I97" s="27" t="n"/>
      <c r="J97" s="30">
        <f>IF(OR($T97=0,$U97=0),"",INDEX($A$4:$A$153,MATCH($A97,$I$4:$I$153,0)))</f>
        <v/>
      </c>
      <c r="K97" s="31">
        <f>IF($T97=0,"",IF(COUNTIF($X97:$AC97,"&gt;0")=0,"○ Clear",TRIM("△ "&amp;COUNTIF($X97:$AC97,"&gt;0")&amp;IF(COUNTIF($X97:$AC97,"&gt;0")=1," problem: "," problems: ")&amp;IF($X97&gt;0,"Decided by needs one name from People, and a body needs members and a signer. ","")&amp;IF($Y97&gt;0,"Why or evidence needs the reason itself, in three words or more. ","")&amp;IF($Z97&gt;0,"Date needs the day it was decided, no later than As of. ","")&amp;IF($AA97=1,IF(ISNA(MATCH($F97,People!$B$30:$B$36,0)),"Gate isn't one of the gate names on People. ","People names "&amp;INDEX(People!$C$30:$C$36,MATCH($F97,People!$B$30:$B$36,0))&amp;" to decide "&amp;$F97&amp;". "),IF($AA97=2,"People names nobody to decide "&amp;$F97&amp;". ",IF($AA97=3,"The Decision opens with a gate's name, so pick that gate in Gate. ","")))&amp;IF($AB97&gt;0,"Replaces needs the Id of a row dated no later than this one. ","")&amp;IF($AC97&gt;0,"Record elsewhere needs the name of the record the other file keeps. ",""))))</f>
        <v/>
      </c>
      <c r="T97" s="32">
        <f>IF(COUNTA($A97:$I97)&gt;0,1,0)</f>
        <v/>
      </c>
      <c r="U97" s="32">
        <f>IF(OR($T97=0,$A97=""),0,IF(COUNTIF($I$4:$I$153,$A97)&gt;0,1,0))</f>
        <v/>
      </c>
      <c r="V97" s="32">
        <f>IF(AND($T97=1,$H97&lt;&gt;"",$H97&lt;&gt;"This log"),1,0)</f>
        <v/>
      </c>
      <c r="W97" s="26">
        <f>IF($T97=0,"",","&amp;SUBSTITUTE(SUBSTITUTE($G97&amp;","&amp;$F97," ",""),";",",")&amp;",")</f>
        <v/>
      </c>
      <c r="X97" s="32">
        <f>IF($T97=0,0,IF(LEN(TRIM($D97))=0,1,IF(COUNTIF(People!$D$6:$D$25,TRIM($D97))=0,1,IF(INDEX(People!$E$6:$E$25,MATCH(TRIM($D97),People!$D$6:$D$25,0))&lt;&gt;"Body",0,IF(OR(LEN(TRIM(INDEX(People!$F$6:$F$25,MATCH(TRIM($D97),People!$D$6:$D$25,0))))=0,LEN(TRIM(INDEX(People!$G$6:$G$25,MATCH(TRIM($D97),People!$D$6:$D$25,0))))=0),1,0)))))</f>
        <v/>
      </c>
      <c r="Y97" s="32">
        <f>IF($T97=0,0,IF(LEN(TRIM($E97))=0,1,IF(LEN(TRIM($E97))-LEN(SUBSTITUTE(TRIM($E97)," ",""))+1&lt;3,1,IF(SUMPRODUCT((People!$J$6:$J$12&lt;&gt;"")*(LEFT(LOWER(TRIM($E97))&amp;" ",LEN(People!$J$6:$J$12)+1)=LOWER(People!$J$6:$J$12)&amp;" "))&gt;0,1,0))))</f>
        <v/>
      </c>
      <c r="Z97" s="32">
        <f>IF($T97=0,0,IF(NOT(ISNUMBER($B97)),1,IF($B97&gt;Summary!$K$3,1,0)))</f>
        <v/>
      </c>
      <c r="AA97" s="32">
        <f>IF($T97=0,0,IF($F97="",IF(SUMPRODUCT(--(LOWER(LEFT($C97,LEN(People!$B$30:$B$36)+1))=LOWER(People!$B$30:$B$36)&amp;":"))&gt;0,3,0),IF(ISNA(MATCH($F97,People!$B$30:$B$36,0)),1,IF(LEN(INDEX(People!$C$30:$C$36,MATCH($F97,People!$B$30:$B$36,0))&amp;"")=0,2,IF(TRIM($D97)&lt;&gt;INDEX(People!$C$30:$C$36,MATCH($F97,People!$B$30:$B$36,0)),1,0)))))</f>
        <v/>
      </c>
      <c r="AB97" s="32">
        <f>IF(OR($T97=0,$I97=""),0,IF(OR($I97=$A97,COUNTIF($A$4:$A$153,$I97)=0),1,IF(INDEX($B$4:$B$153,MATCH($I97,$A$4:$A$153,0))&gt;$B97,1,0)))</f>
        <v/>
      </c>
      <c r="AC97" s="32">
        <f>IF(AND($V97=1,LEN(TRIM($G97))=0),1,0)</f>
        <v/>
      </c>
      <c r="AD97" s="32">
        <f>IF($T97=0,0,IFERROR(VALUE(MID($A97,4,9)),0))</f>
        <v/>
      </c>
    </row>
    <row r="98" ht="18" customHeight="1">
      <c r="A98" s="27" t="n"/>
      <c r="B98" s="28" t="n"/>
      <c r="C98" s="29" t="n"/>
      <c r="D98" s="29" t="n"/>
      <c r="E98" s="29" t="n"/>
      <c r="F98" s="29" t="n"/>
      <c r="G98" s="29" t="n"/>
      <c r="H98" s="29" t="n"/>
      <c r="I98" s="27" t="n"/>
      <c r="J98" s="30">
        <f>IF(OR($T98=0,$U98=0),"",INDEX($A$4:$A$153,MATCH($A98,$I$4:$I$153,0)))</f>
        <v/>
      </c>
      <c r="K98" s="31">
        <f>IF($T98=0,"",IF(COUNTIF($X98:$AC98,"&gt;0")=0,"○ Clear",TRIM("△ "&amp;COUNTIF($X98:$AC98,"&gt;0")&amp;IF(COUNTIF($X98:$AC98,"&gt;0")=1," problem: "," problems: ")&amp;IF($X98&gt;0,"Decided by needs one name from People, and a body needs members and a signer. ","")&amp;IF($Y98&gt;0,"Why or evidence needs the reason itself, in three words or more. ","")&amp;IF($Z98&gt;0,"Date needs the day it was decided, no later than As of. ","")&amp;IF($AA98=1,IF(ISNA(MATCH($F98,People!$B$30:$B$36,0)),"Gate isn't one of the gate names on People. ","People names "&amp;INDEX(People!$C$30:$C$36,MATCH($F98,People!$B$30:$B$36,0))&amp;" to decide "&amp;$F98&amp;". "),IF($AA98=2,"People names nobody to decide "&amp;$F98&amp;". ",IF($AA98=3,"The Decision opens with a gate's name, so pick that gate in Gate. ","")))&amp;IF($AB98&gt;0,"Replaces needs the Id of a row dated no later than this one. ","")&amp;IF($AC98&gt;0,"Record elsewhere needs the name of the record the other file keeps. ",""))))</f>
        <v/>
      </c>
      <c r="T98" s="32">
        <f>IF(COUNTA($A98:$I98)&gt;0,1,0)</f>
        <v/>
      </c>
      <c r="U98" s="32">
        <f>IF(OR($T98=0,$A98=""),0,IF(COUNTIF($I$4:$I$153,$A98)&gt;0,1,0))</f>
        <v/>
      </c>
      <c r="V98" s="32">
        <f>IF(AND($T98=1,$H98&lt;&gt;"",$H98&lt;&gt;"This log"),1,0)</f>
        <v/>
      </c>
      <c r="W98" s="26">
        <f>IF($T98=0,"",","&amp;SUBSTITUTE(SUBSTITUTE($G98&amp;","&amp;$F98," ",""),";",",")&amp;",")</f>
        <v/>
      </c>
      <c r="X98" s="32">
        <f>IF($T98=0,0,IF(LEN(TRIM($D98))=0,1,IF(COUNTIF(People!$D$6:$D$25,TRIM($D98))=0,1,IF(INDEX(People!$E$6:$E$25,MATCH(TRIM($D98),People!$D$6:$D$25,0))&lt;&gt;"Body",0,IF(OR(LEN(TRIM(INDEX(People!$F$6:$F$25,MATCH(TRIM($D98),People!$D$6:$D$25,0))))=0,LEN(TRIM(INDEX(People!$G$6:$G$25,MATCH(TRIM($D98),People!$D$6:$D$25,0))))=0),1,0)))))</f>
        <v/>
      </c>
      <c r="Y98" s="32">
        <f>IF($T98=0,0,IF(LEN(TRIM($E98))=0,1,IF(LEN(TRIM($E98))-LEN(SUBSTITUTE(TRIM($E98)," ",""))+1&lt;3,1,IF(SUMPRODUCT((People!$J$6:$J$12&lt;&gt;"")*(LEFT(LOWER(TRIM($E98))&amp;" ",LEN(People!$J$6:$J$12)+1)=LOWER(People!$J$6:$J$12)&amp;" "))&gt;0,1,0))))</f>
        <v/>
      </c>
      <c r="Z98" s="32">
        <f>IF($T98=0,0,IF(NOT(ISNUMBER($B98)),1,IF($B98&gt;Summary!$K$3,1,0)))</f>
        <v/>
      </c>
      <c r="AA98" s="32">
        <f>IF($T98=0,0,IF($F98="",IF(SUMPRODUCT(--(LOWER(LEFT($C98,LEN(People!$B$30:$B$36)+1))=LOWER(People!$B$30:$B$36)&amp;":"))&gt;0,3,0),IF(ISNA(MATCH($F98,People!$B$30:$B$36,0)),1,IF(LEN(INDEX(People!$C$30:$C$36,MATCH($F98,People!$B$30:$B$36,0))&amp;"")=0,2,IF(TRIM($D98)&lt;&gt;INDEX(People!$C$30:$C$36,MATCH($F98,People!$B$30:$B$36,0)),1,0)))))</f>
        <v/>
      </c>
      <c r="AB98" s="32">
        <f>IF(OR($T98=0,$I98=""),0,IF(OR($I98=$A98,COUNTIF($A$4:$A$153,$I98)=0),1,IF(INDEX($B$4:$B$153,MATCH($I98,$A$4:$A$153,0))&gt;$B98,1,0)))</f>
        <v/>
      </c>
      <c r="AC98" s="32">
        <f>IF(AND($V98=1,LEN(TRIM($G98))=0),1,0)</f>
        <v/>
      </c>
      <c r="AD98" s="32">
        <f>IF($T98=0,0,IFERROR(VALUE(MID($A98,4,9)),0))</f>
        <v/>
      </c>
    </row>
    <row r="99" ht="18" customHeight="1">
      <c r="A99" s="27" t="n"/>
      <c r="B99" s="28" t="n"/>
      <c r="C99" s="29" t="n"/>
      <c r="D99" s="29" t="n"/>
      <c r="E99" s="29" t="n"/>
      <c r="F99" s="29" t="n"/>
      <c r="G99" s="29" t="n"/>
      <c r="H99" s="29" t="n"/>
      <c r="I99" s="27" t="n"/>
      <c r="J99" s="30">
        <f>IF(OR($T99=0,$U99=0),"",INDEX($A$4:$A$153,MATCH($A99,$I$4:$I$153,0)))</f>
        <v/>
      </c>
      <c r="K99" s="31">
        <f>IF($T99=0,"",IF(COUNTIF($X99:$AC99,"&gt;0")=0,"○ Clear",TRIM("△ "&amp;COUNTIF($X99:$AC99,"&gt;0")&amp;IF(COUNTIF($X99:$AC99,"&gt;0")=1," problem: "," problems: ")&amp;IF($X99&gt;0,"Decided by needs one name from People, and a body needs members and a signer. ","")&amp;IF($Y99&gt;0,"Why or evidence needs the reason itself, in three words or more. ","")&amp;IF($Z99&gt;0,"Date needs the day it was decided, no later than As of. ","")&amp;IF($AA99=1,IF(ISNA(MATCH($F99,People!$B$30:$B$36,0)),"Gate isn't one of the gate names on People. ","People names "&amp;INDEX(People!$C$30:$C$36,MATCH($F99,People!$B$30:$B$36,0))&amp;" to decide "&amp;$F99&amp;". "),IF($AA99=2,"People names nobody to decide "&amp;$F99&amp;". ",IF($AA99=3,"The Decision opens with a gate's name, so pick that gate in Gate. ","")))&amp;IF($AB99&gt;0,"Replaces needs the Id of a row dated no later than this one. ","")&amp;IF($AC99&gt;0,"Record elsewhere needs the name of the record the other file keeps. ",""))))</f>
        <v/>
      </c>
      <c r="T99" s="32">
        <f>IF(COUNTA($A99:$I99)&gt;0,1,0)</f>
        <v/>
      </c>
      <c r="U99" s="32">
        <f>IF(OR($T99=0,$A99=""),0,IF(COUNTIF($I$4:$I$153,$A99)&gt;0,1,0))</f>
        <v/>
      </c>
      <c r="V99" s="32">
        <f>IF(AND($T99=1,$H99&lt;&gt;"",$H99&lt;&gt;"This log"),1,0)</f>
        <v/>
      </c>
      <c r="W99" s="26">
        <f>IF($T99=0,"",","&amp;SUBSTITUTE(SUBSTITUTE($G99&amp;","&amp;$F99," ",""),";",",")&amp;",")</f>
        <v/>
      </c>
      <c r="X99" s="32">
        <f>IF($T99=0,0,IF(LEN(TRIM($D99))=0,1,IF(COUNTIF(People!$D$6:$D$25,TRIM($D99))=0,1,IF(INDEX(People!$E$6:$E$25,MATCH(TRIM($D99),People!$D$6:$D$25,0))&lt;&gt;"Body",0,IF(OR(LEN(TRIM(INDEX(People!$F$6:$F$25,MATCH(TRIM($D99),People!$D$6:$D$25,0))))=0,LEN(TRIM(INDEX(People!$G$6:$G$25,MATCH(TRIM($D99),People!$D$6:$D$25,0))))=0),1,0)))))</f>
        <v/>
      </c>
      <c r="Y99" s="32">
        <f>IF($T99=0,0,IF(LEN(TRIM($E99))=0,1,IF(LEN(TRIM($E99))-LEN(SUBSTITUTE(TRIM($E99)," ",""))+1&lt;3,1,IF(SUMPRODUCT((People!$J$6:$J$12&lt;&gt;"")*(LEFT(LOWER(TRIM($E99))&amp;" ",LEN(People!$J$6:$J$12)+1)=LOWER(People!$J$6:$J$12)&amp;" "))&gt;0,1,0))))</f>
        <v/>
      </c>
      <c r="Z99" s="32">
        <f>IF($T99=0,0,IF(NOT(ISNUMBER($B99)),1,IF($B99&gt;Summary!$K$3,1,0)))</f>
        <v/>
      </c>
      <c r="AA99" s="32">
        <f>IF($T99=0,0,IF($F99="",IF(SUMPRODUCT(--(LOWER(LEFT($C99,LEN(People!$B$30:$B$36)+1))=LOWER(People!$B$30:$B$36)&amp;":"))&gt;0,3,0),IF(ISNA(MATCH($F99,People!$B$30:$B$36,0)),1,IF(LEN(INDEX(People!$C$30:$C$36,MATCH($F99,People!$B$30:$B$36,0))&amp;"")=0,2,IF(TRIM($D99)&lt;&gt;INDEX(People!$C$30:$C$36,MATCH($F99,People!$B$30:$B$36,0)),1,0)))))</f>
        <v/>
      </c>
      <c r="AB99" s="32">
        <f>IF(OR($T99=0,$I99=""),0,IF(OR($I99=$A99,COUNTIF($A$4:$A$153,$I99)=0),1,IF(INDEX($B$4:$B$153,MATCH($I99,$A$4:$A$153,0))&gt;$B99,1,0)))</f>
        <v/>
      </c>
      <c r="AC99" s="32">
        <f>IF(AND($V99=1,LEN(TRIM($G99))=0),1,0)</f>
        <v/>
      </c>
      <c r="AD99" s="32">
        <f>IF($T99=0,0,IFERROR(VALUE(MID($A99,4,9)),0))</f>
        <v/>
      </c>
    </row>
    <row r="100" ht="18" customHeight="1">
      <c r="A100" s="27" t="n"/>
      <c r="B100" s="28" t="n"/>
      <c r="C100" s="29" t="n"/>
      <c r="D100" s="29" t="n"/>
      <c r="E100" s="29" t="n"/>
      <c r="F100" s="29" t="n"/>
      <c r="G100" s="29" t="n"/>
      <c r="H100" s="29" t="n"/>
      <c r="I100" s="27" t="n"/>
      <c r="J100" s="30">
        <f>IF(OR($T100=0,$U100=0),"",INDEX($A$4:$A$153,MATCH($A100,$I$4:$I$153,0)))</f>
        <v/>
      </c>
      <c r="K100" s="31">
        <f>IF($T100=0,"",IF(COUNTIF($X100:$AC100,"&gt;0")=0,"○ Clear",TRIM("△ "&amp;COUNTIF($X100:$AC100,"&gt;0")&amp;IF(COUNTIF($X100:$AC100,"&gt;0")=1," problem: "," problems: ")&amp;IF($X100&gt;0,"Decided by needs one name from People, and a body needs members and a signer. ","")&amp;IF($Y100&gt;0,"Why or evidence needs the reason itself, in three words or more. ","")&amp;IF($Z100&gt;0,"Date needs the day it was decided, no later than As of. ","")&amp;IF($AA100=1,IF(ISNA(MATCH($F100,People!$B$30:$B$36,0)),"Gate isn't one of the gate names on People. ","People names "&amp;INDEX(People!$C$30:$C$36,MATCH($F100,People!$B$30:$B$36,0))&amp;" to decide "&amp;$F100&amp;". "),IF($AA100=2,"People names nobody to decide "&amp;$F100&amp;". ",IF($AA100=3,"The Decision opens with a gate's name, so pick that gate in Gate. ","")))&amp;IF($AB100&gt;0,"Replaces needs the Id of a row dated no later than this one. ","")&amp;IF($AC100&gt;0,"Record elsewhere needs the name of the record the other file keeps. ",""))))</f>
        <v/>
      </c>
      <c r="T100" s="32">
        <f>IF(COUNTA($A100:$I100)&gt;0,1,0)</f>
        <v/>
      </c>
      <c r="U100" s="32">
        <f>IF(OR($T100=0,$A100=""),0,IF(COUNTIF($I$4:$I$153,$A100)&gt;0,1,0))</f>
        <v/>
      </c>
      <c r="V100" s="32">
        <f>IF(AND($T100=1,$H100&lt;&gt;"",$H100&lt;&gt;"This log"),1,0)</f>
        <v/>
      </c>
      <c r="W100" s="26">
        <f>IF($T100=0,"",","&amp;SUBSTITUTE(SUBSTITUTE($G100&amp;","&amp;$F100," ",""),";",",")&amp;",")</f>
        <v/>
      </c>
      <c r="X100" s="32">
        <f>IF($T100=0,0,IF(LEN(TRIM($D100))=0,1,IF(COUNTIF(People!$D$6:$D$25,TRIM($D100))=0,1,IF(INDEX(People!$E$6:$E$25,MATCH(TRIM($D100),People!$D$6:$D$25,0))&lt;&gt;"Body",0,IF(OR(LEN(TRIM(INDEX(People!$F$6:$F$25,MATCH(TRIM($D100),People!$D$6:$D$25,0))))=0,LEN(TRIM(INDEX(People!$G$6:$G$25,MATCH(TRIM($D100),People!$D$6:$D$25,0))))=0),1,0)))))</f>
        <v/>
      </c>
      <c r="Y100" s="32">
        <f>IF($T100=0,0,IF(LEN(TRIM($E100))=0,1,IF(LEN(TRIM($E100))-LEN(SUBSTITUTE(TRIM($E100)," ",""))+1&lt;3,1,IF(SUMPRODUCT((People!$J$6:$J$12&lt;&gt;"")*(LEFT(LOWER(TRIM($E100))&amp;" ",LEN(People!$J$6:$J$12)+1)=LOWER(People!$J$6:$J$12)&amp;" "))&gt;0,1,0))))</f>
        <v/>
      </c>
      <c r="Z100" s="32">
        <f>IF($T100=0,0,IF(NOT(ISNUMBER($B100)),1,IF($B100&gt;Summary!$K$3,1,0)))</f>
        <v/>
      </c>
      <c r="AA100" s="32">
        <f>IF($T100=0,0,IF($F100="",IF(SUMPRODUCT(--(LOWER(LEFT($C100,LEN(People!$B$30:$B$36)+1))=LOWER(People!$B$30:$B$36)&amp;":"))&gt;0,3,0),IF(ISNA(MATCH($F100,People!$B$30:$B$36,0)),1,IF(LEN(INDEX(People!$C$30:$C$36,MATCH($F100,People!$B$30:$B$36,0))&amp;"")=0,2,IF(TRIM($D100)&lt;&gt;INDEX(People!$C$30:$C$36,MATCH($F100,People!$B$30:$B$36,0)),1,0)))))</f>
        <v/>
      </c>
      <c r="AB100" s="32">
        <f>IF(OR($T100=0,$I100=""),0,IF(OR($I100=$A100,COUNTIF($A$4:$A$153,$I100)=0),1,IF(INDEX($B$4:$B$153,MATCH($I100,$A$4:$A$153,0))&gt;$B100,1,0)))</f>
        <v/>
      </c>
      <c r="AC100" s="32">
        <f>IF(AND($V100=1,LEN(TRIM($G100))=0),1,0)</f>
        <v/>
      </c>
      <c r="AD100" s="32">
        <f>IF($T100=0,0,IFERROR(VALUE(MID($A100,4,9)),0))</f>
        <v/>
      </c>
    </row>
    <row r="101" ht="18" customHeight="1">
      <c r="A101" s="27" t="n"/>
      <c r="B101" s="28" t="n"/>
      <c r="C101" s="29" t="n"/>
      <c r="D101" s="29" t="n"/>
      <c r="E101" s="29" t="n"/>
      <c r="F101" s="29" t="n"/>
      <c r="G101" s="29" t="n"/>
      <c r="H101" s="29" t="n"/>
      <c r="I101" s="27" t="n"/>
      <c r="J101" s="30">
        <f>IF(OR($T101=0,$U101=0),"",INDEX($A$4:$A$153,MATCH($A101,$I$4:$I$153,0)))</f>
        <v/>
      </c>
      <c r="K101" s="31">
        <f>IF($T101=0,"",IF(COUNTIF($X101:$AC101,"&gt;0")=0,"○ Clear",TRIM("△ "&amp;COUNTIF($X101:$AC101,"&gt;0")&amp;IF(COUNTIF($X101:$AC101,"&gt;0")=1," problem: "," problems: ")&amp;IF($X101&gt;0,"Decided by needs one name from People, and a body needs members and a signer. ","")&amp;IF($Y101&gt;0,"Why or evidence needs the reason itself, in three words or more. ","")&amp;IF($Z101&gt;0,"Date needs the day it was decided, no later than As of. ","")&amp;IF($AA101=1,IF(ISNA(MATCH($F101,People!$B$30:$B$36,0)),"Gate isn't one of the gate names on People. ","People names "&amp;INDEX(People!$C$30:$C$36,MATCH($F101,People!$B$30:$B$36,0))&amp;" to decide "&amp;$F101&amp;". "),IF($AA101=2,"People names nobody to decide "&amp;$F101&amp;". ",IF($AA101=3,"The Decision opens with a gate's name, so pick that gate in Gate. ","")))&amp;IF($AB101&gt;0,"Replaces needs the Id of a row dated no later than this one. ","")&amp;IF($AC101&gt;0,"Record elsewhere needs the name of the record the other file keeps. ",""))))</f>
        <v/>
      </c>
      <c r="T101" s="32">
        <f>IF(COUNTA($A101:$I101)&gt;0,1,0)</f>
        <v/>
      </c>
      <c r="U101" s="32">
        <f>IF(OR($T101=0,$A101=""),0,IF(COUNTIF($I$4:$I$153,$A101)&gt;0,1,0))</f>
        <v/>
      </c>
      <c r="V101" s="32">
        <f>IF(AND($T101=1,$H101&lt;&gt;"",$H101&lt;&gt;"This log"),1,0)</f>
        <v/>
      </c>
      <c r="W101" s="26">
        <f>IF($T101=0,"",","&amp;SUBSTITUTE(SUBSTITUTE($G101&amp;","&amp;$F101," ",""),";",",")&amp;",")</f>
        <v/>
      </c>
      <c r="X101" s="32">
        <f>IF($T101=0,0,IF(LEN(TRIM($D101))=0,1,IF(COUNTIF(People!$D$6:$D$25,TRIM($D101))=0,1,IF(INDEX(People!$E$6:$E$25,MATCH(TRIM($D101),People!$D$6:$D$25,0))&lt;&gt;"Body",0,IF(OR(LEN(TRIM(INDEX(People!$F$6:$F$25,MATCH(TRIM($D101),People!$D$6:$D$25,0))))=0,LEN(TRIM(INDEX(People!$G$6:$G$25,MATCH(TRIM($D101),People!$D$6:$D$25,0))))=0),1,0)))))</f>
        <v/>
      </c>
      <c r="Y101" s="32">
        <f>IF($T101=0,0,IF(LEN(TRIM($E101))=0,1,IF(LEN(TRIM($E101))-LEN(SUBSTITUTE(TRIM($E101)," ",""))+1&lt;3,1,IF(SUMPRODUCT((People!$J$6:$J$12&lt;&gt;"")*(LEFT(LOWER(TRIM($E101))&amp;" ",LEN(People!$J$6:$J$12)+1)=LOWER(People!$J$6:$J$12)&amp;" "))&gt;0,1,0))))</f>
        <v/>
      </c>
      <c r="Z101" s="32">
        <f>IF($T101=0,0,IF(NOT(ISNUMBER($B101)),1,IF($B101&gt;Summary!$K$3,1,0)))</f>
        <v/>
      </c>
      <c r="AA101" s="32">
        <f>IF($T101=0,0,IF($F101="",IF(SUMPRODUCT(--(LOWER(LEFT($C101,LEN(People!$B$30:$B$36)+1))=LOWER(People!$B$30:$B$36)&amp;":"))&gt;0,3,0),IF(ISNA(MATCH($F101,People!$B$30:$B$36,0)),1,IF(LEN(INDEX(People!$C$30:$C$36,MATCH($F101,People!$B$30:$B$36,0))&amp;"")=0,2,IF(TRIM($D101)&lt;&gt;INDEX(People!$C$30:$C$36,MATCH($F101,People!$B$30:$B$36,0)),1,0)))))</f>
        <v/>
      </c>
      <c r="AB101" s="32">
        <f>IF(OR($T101=0,$I101=""),0,IF(OR($I101=$A101,COUNTIF($A$4:$A$153,$I101)=0),1,IF(INDEX($B$4:$B$153,MATCH($I101,$A$4:$A$153,0))&gt;$B101,1,0)))</f>
        <v/>
      </c>
      <c r="AC101" s="32">
        <f>IF(AND($V101=1,LEN(TRIM($G101))=0),1,0)</f>
        <v/>
      </c>
      <c r="AD101" s="32">
        <f>IF($T101=0,0,IFERROR(VALUE(MID($A101,4,9)),0))</f>
        <v/>
      </c>
    </row>
    <row r="102" ht="18" customHeight="1">
      <c r="A102" s="27" t="n"/>
      <c r="B102" s="28" t="n"/>
      <c r="C102" s="29" t="n"/>
      <c r="D102" s="29" t="n"/>
      <c r="E102" s="29" t="n"/>
      <c r="F102" s="29" t="n"/>
      <c r="G102" s="29" t="n"/>
      <c r="H102" s="29" t="n"/>
      <c r="I102" s="27" t="n"/>
      <c r="J102" s="30">
        <f>IF(OR($T102=0,$U102=0),"",INDEX($A$4:$A$153,MATCH($A102,$I$4:$I$153,0)))</f>
        <v/>
      </c>
      <c r="K102" s="31">
        <f>IF($T102=0,"",IF(COUNTIF($X102:$AC102,"&gt;0")=0,"○ Clear",TRIM("△ "&amp;COUNTIF($X102:$AC102,"&gt;0")&amp;IF(COUNTIF($X102:$AC102,"&gt;0")=1," problem: "," problems: ")&amp;IF($X102&gt;0,"Decided by needs one name from People, and a body needs members and a signer. ","")&amp;IF($Y102&gt;0,"Why or evidence needs the reason itself, in three words or more. ","")&amp;IF($Z102&gt;0,"Date needs the day it was decided, no later than As of. ","")&amp;IF($AA102=1,IF(ISNA(MATCH($F102,People!$B$30:$B$36,0)),"Gate isn't one of the gate names on People. ","People names "&amp;INDEX(People!$C$30:$C$36,MATCH($F102,People!$B$30:$B$36,0))&amp;" to decide "&amp;$F102&amp;". "),IF($AA102=2,"People names nobody to decide "&amp;$F102&amp;". ",IF($AA102=3,"The Decision opens with a gate's name, so pick that gate in Gate. ","")))&amp;IF($AB102&gt;0,"Replaces needs the Id of a row dated no later than this one. ","")&amp;IF($AC102&gt;0,"Record elsewhere needs the name of the record the other file keeps. ",""))))</f>
        <v/>
      </c>
      <c r="T102" s="32">
        <f>IF(COUNTA($A102:$I102)&gt;0,1,0)</f>
        <v/>
      </c>
      <c r="U102" s="32">
        <f>IF(OR($T102=0,$A102=""),0,IF(COUNTIF($I$4:$I$153,$A102)&gt;0,1,0))</f>
        <v/>
      </c>
      <c r="V102" s="32">
        <f>IF(AND($T102=1,$H102&lt;&gt;"",$H102&lt;&gt;"This log"),1,0)</f>
        <v/>
      </c>
      <c r="W102" s="26">
        <f>IF($T102=0,"",","&amp;SUBSTITUTE(SUBSTITUTE($G102&amp;","&amp;$F102," ",""),";",",")&amp;",")</f>
        <v/>
      </c>
      <c r="X102" s="32">
        <f>IF($T102=0,0,IF(LEN(TRIM($D102))=0,1,IF(COUNTIF(People!$D$6:$D$25,TRIM($D102))=0,1,IF(INDEX(People!$E$6:$E$25,MATCH(TRIM($D102),People!$D$6:$D$25,0))&lt;&gt;"Body",0,IF(OR(LEN(TRIM(INDEX(People!$F$6:$F$25,MATCH(TRIM($D102),People!$D$6:$D$25,0))))=0,LEN(TRIM(INDEX(People!$G$6:$G$25,MATCH(TRIM($D102),People!$D$6:$D$25,0))))=0),1,0)))))</f>
        <v/>
      </c>
      <c r="Y102" s="32">
        <f>IF($T102=0,0,IF(LEN(TRIM($E102))=0,1,IF(LEN(TRIM($E102))-LEN(SUBSTITUTE(TRIM($E102)," ",""))+1&lt;3,1,IF(SUMPRODUCT((People!$J$6:$J$12&lt;&gt;"")*(LEFT(LOWER(TRIM($E102))&amp;" ",LEN(People!$J$6:$J$12)+1)=LOWER(People!$J$6:$J$12)&amp;" "))&gt;0,1,0))))</f>
        <v/>
      </c>
      <c r="Z102" s="32">
        <f>IF($T102=0,0,IF(NOT(ISNUMBER($B102)),1,IF($B102&gt;Summary!$K$3,1,0)))</f>
        <v/>
      </c>
      <c r="AA102" s="32">
        <f>IF($T102=0,0,IF($F102="",IF(SUMPRODUCT(--(LOWER(LEFT($C102,LEN(People!$B$30:$B$36)+1))=LOWER(People!$B$30:$B$36)&amp;":"))&gt;0,3,0),IF(ISNA(MATCH($F102,People!$B$30:$B$36,0)),1,IF(LEN(INDEX(People!$C$30:$C$36,MATCH($F102,People!$B$30:$B$36,0))&amp;"")=0,2,IF(TRIM($D102)&lt;&gt;INDEX(People!$C$30:$C$36,MATCH($F102,People!$B$30:$B$36,0)),1,0)))))</f>
        <v/>
      </c>
      <c r="AB102" s="32">
        <f>IF(OR($T102=0,$I102=""),0,IF(OR($I102=$A102,COUNTIF($A$4:$A$153,$I102)=0),1,IF(INDEX($B$4:$B$153,MATCH($I102,$A$4:$A$153,0))&gt;$B102,1,0)))</f>
        <v/>
      </c>
      <c r="AC102" s="32">
        <f>IF(AND($V102=1,LEN(TRIM($G102))=0),1,0)</f>
        <v/>
      </c>
      <c r="AD102" s="32">
        <f>IF($T102=0,0,IFERROR(VALUE(MID($A102,4,9)),0))</f>
        <v/>
      </c>
    </row>
    <row r="103" ht="18" customHeight="1">
      <c r="A103" s="27" t="n"/>
      <c r="B103" s="28" t="n"/>
      <c r="C103" s="29" t="n"/>
      <c r="D103" s="29" t="n"/>
      <c r="E103" s="29" t="n"/>
      <c r="F103" s="29" t="n"/>
      <c r="G103" s="29" t="n"/>
      <c r="H103" s="29" t="n"/>
      <c r="I103" s="27" t="n"/>
      <c r="J103" s="30">
        <f>IF(OR($T103=0,$U103=0),"",INDEX($A$4:$A$153,MATCH($A103,$I$4:$I$153,0)))</f>
        <v/>
      </c>
      <c r="K103" s="31">
        <f>IF($T103=0,"",IF(COUNTIF($X103:$AC103,"&gt;0")=0,"○ Clear",TRIM("△ "&amp;COUNTIF($X103:$AC103,"&gt;0")&amp;IF(COUNTIF($X103:$AC103,"&gt;0")=1," problem: "," problems: ")&amp;IF($X103&gt;0,"Decided by needs one name from People, and a body needs members and a signer. ","")&amp;IF($Y103&gt;0,"Why or evidence needs the reason itself, in three words or more. ","")&amp;IF($Z103&gt;0,"Date needs the day it was decided, no later than As of. ","")&amp;IF($AA103=1,IF(ISNA(MATCH($F103,People!$B$30:$B$36,0)),"Gate isn't one of the gate names on People. ","People names "&amp;INDEX(People!$C$30:$C$36,MATCH($F103,People!$B$30:$B$36,0))&amp;" to decide "&amp;$F103&amp;". "),IF($AA103=2,"People names nobody to decide "&amp;$F103&amp;". ",IF($AA103=3,"The Decision opens with a gate's name, so pick that gate in Gate. ","")))&amp;IF($AB103&gt;0,"Replaces needs the Id of a row dated no later than this one. ","")&amp;IF($AC103&gt;0,"Record elsewhere needs the name of the record the other file keeps. ",""))))</f>
        <v/>
      </c>
      <c r="T103" s="32">
        <f>IF(COUNTA($A103:$I103)&gt;0,1,0)</f>
        <v/>
      </c>
      <c r="U103" s="32">
        <f>IF(OR($T103=0,$A103=""),0,IF(COUNTIF($I$4:$I$153,$A103)&gt;0,1,0))</f>
        <v/>
      </c>
      <c r="V103" s="32">
        <f>IF(AND($T103=1,$H103&lt;&gt;"",$H103&lt;&gt;"This log"),1,0)</f>
        <v/>
      </c>
      <c r="W103" s="26">
        <f>IF($T103=0,"",","&amp;SUBSTITUTE(SUBSTITUTE($G103&amp;","&amp;$F103," ",""),";",",")&amp;",")</f>
        <v/>
      </c>
      <c r="X103" s="32">
        <f>IF($T103=0,0,IF(LEN(TRIM($D103))=0,1,IF(COUNTIF(People!$D$6:$D$25,TRIM($D103))=0,1,IF(INDEX(People!$E$6:$E$25,MATCH(TRIM($D103),People!$D$6:$D$25,0))&lt;&gt;"Body",0,IF(OR(LEN(TRIM(INDEX(People!$F$6:$F$25,MATCH(TRIM($D103),People!$D$6:$D$25,0))))=0,LEN(TRIM(INDEX(People!$G$6:$G$25,MATCH(TRIM($D103),People!$D$6:$D$25,0))))=0),1,0)))))</f>
        <v/>
      </c>
      <c r="Y103" s="32">
        <f>IF($T103=0,0,IF(LEN(TRIM($E103))=0,1,IF(LEN(TRIM($E103))-LEN(SUBSTITUTE(TRIM($E103)," ",""))+1&lt;3,1,IF(SUMPRODUCT((People!$J$6:$J$12&lt;&gt;"")*(LEFT(LOWER(TRIM($E103))&amp;" ",LEN(People!$J$6:$J$12)+1)=LOWER(People!$J$6:$J$12)&amp;" "))&gt;0,1,0))))</f>
        <v/>
      </c>
      <c r="Z103" s="32">
        <f>IF($T103=0,0,IF(NOT(ISNUMBER($B103)),1,IF($B103&gt;Summary!$K$3,1,0)))</f>
        <v/>
      </c>
      <c r="AA103" s="32">
        <f>IF($T103=0,0,IF($F103="",IF(SUMPRODUCT(--(LOWER(LEFT($C103,LEN(People!$B$30:$B$36)+1))=LOWER(People!$B$30:$B$36)&amp;":"))&gt;0,3,0),IF(ISNA(MATCH($F103,People!$B$30:$B$36,0)),1,IF(LEN(INDEX(People!$C$30:$C$36,MATCH($F103,People!$B$30:$B$36,0))&amp;"")=0,2,IF(TRIM($D103)&lt;&gt;INDEX(People!$C$30:$C$36,MATCH($F103,People!$B$30:$B$36,0)),1,0)))))</f>
        <v/>
      </c>
      <c r="AB103" s="32">
        <f>IF(OR($T103=0,$I103=""),0,IF(OR($I103=$A103,COUNTIF($A$4:$A$153,$I103)=0),1,IF(INDEX($B$4:$B$153,MATCH($I103,$A$4:$A$153,0))&gt;$B103,1,0)))</f>
        <v/>
      </c>
      <c r="AC103" s="32">
        <f>IF(AND($V103=1,LEN(TRIM($G103))=0),1,0)</f>
        <v/>
      </c>
      <c r="AD103" s="32">
        <f>IF($T103=0,0,IFERROR(VALUE(MID($A103,4,9)),0))</f>
        <v/>
      </c>
    </row>
    <row r="104" ht="18" customHeight="1">
      <c r="A104" s="27" t="n"/>
      <c r="B104" s="28" t="n"/>
      <c r="C104" s="29" t="n"/>
      <c r="D104" s="29" t="n"/>
      <c r="E104" s="29" t="n"/>
      <c r="F104" s="29" t="n"/>
      <c r="G104" s="29" t="n"/>
      <c r="H104" s="29" t="n"/>
      <c r="I104" s="27" t="n"/>
      <c r="J104" s="30">
        <f>IF(OR($T104=0,$U104=0),"",INDEX($A$4:$A$153,MATCH($A104,$I$4:$I$153,0)))</f>
        <v/>
      </c>
      <c r="K104" s="31">
        <f>IF($T104=0,"",IF(COUNTIF($X104:$AC104,"&gt;0")=0,"○ Clear",TRIM("△ "&amp;COUNTIF($X104:$AC104,"&gt;0")&amp;IF(COUNTIF($X104:$AC104,"&gt;0")=1," problem: "," problems: ")&amp;IF($X104&gt;0,"Decided by needs one name from People, and a body needs members and a signer. ","")&amp;IF($Y104&gt;0,"Why or evidence needs the reason itself, in three words or more. ","")&amp;IF($Z104&gt;0,"Date needs the day it was decided, no later than As of. ","")&amp;IF($AA104=1,IF(ISNA(MATCH($F104,People!$B$30:$B$36,0)),"Gate isn't one of the gate names on People. ","People names "&amp;INDEX(People!$C$30:$C$36,MATCH($F104,People!$B$30:$B$36,0))&amp;" to decide "&amp;$F104&amp;". "),IF($AA104=2,"People names nobody to decide "&amp;$F104&amp;". ",IF($AA104=3,"The Decision opens with a gate's name, so pick that gate in Gate. ","")))&amp;IF($AB104&gt;0,"Replaces needs the Id of a row dated no later than this one. ","")&amp;IF($AC104&gt;0,"Record elsewhere needs the name of the record the other file keeps. ",""))))</f>
        <v/>
      </c>
      <c r="T104" s="32">
        <f>IF(COUNTA($A104:$I104)&gt;0,1,0)</f>
        <v/>
      </c>
      <c r="U104" s="32">
        <f>IF(OR($T104=0,$A104=""),0,IF(COUNTIF($I$4:$I$153,$A104)&gt;0,1,0))</f>
        <v/>
      </c>
      <c r="V104" s="32">
        <f>IF(AND($T104=1,$H104&lt;&gt;"",$H104&lt;&gt;"This log"),1,0)</f>
        <v/>
      </c>
      <c r="W104" s="26">
        <f>IF($T104=0,"",","&amp;SUBSTITUTE(SUBSTITUTE($G104&amp;","&amp;$F104," ",""),";",",")&amp;",")</f>
        <v/>
      </c>
      <c r="X104" s="32">
        <f>IF($T104=0,0,IF(LEN(TRIM($D104))=0,1,IF(COUNTIF(People!$D$6:$D$25,TRIM($D104))=0,1,IF(INDEX(People!$E$6:$E$25,MATCH(TRIM($D104),People!$D$6:$D$25,0))&lt;&gt;"Body",0,IF(OR(LEN(TRIM(INDEX(People!$F$6:$F$25,MATCH(TRIM($D104),People!$D$6:$D$25,0))))=0,LEN(TRIM(INDEX(People!$G$6:$G$25,MATCH(TRIM($D104),People!$D$6:$D$25,0))))=0),1,0)))))</f>
        <v/>
      </c>
      <c r="Y104" s="32">
        <f>IF($T104=0,0,IF(LEN(TRIM($E104))=0,1,IF(LEN(TRIM($E104))-LEN(SUBSTITUTE(TRIM($E104)," ",""))+1&lt;3,1,IF(SUMPRODUCT((People!$J$6:$J$12&lt;&gt;"")*(LEFT(LOWER(TRIM($E104))&amp;" ",LEN(People!$J$6:$J$12)+1)=LOWER(People!$J$6:$J$12)&amp;" "))&gt;0,1,0))))</f>
        <v/>
      </c>
      <c r="Z104" s="32">
        <f>IF($T104=0,0,IF(NOT(ISNUMBER($B104)),1,IF($B104&gt;Summary!$K$3,1,0)))</f>
        <v/>
      </c>
      <c r="AA104" s="32">
        <f>IF($T104=0,0,IF($F104="",IF(SUMPRODUCT(--(LOWER(LEFT($C104,LEN(People!$B$30:$B$36)+1))=LOWER(People!$B$30:$B$36)&amp;":"))&gt;0,3,0),IF(ISNA(MATCH($F104,People!$B$30:$B$36,0)),1,IF(LEN(INDEX(People!$C$30:$C$36,MATCH($F104,People!$B$30:$B$36,0))&amp;"")=0,2,IF(TRIM($D104)&lt;&gt;INDEX(People!$C$30:$C$36,MATCH($F104,People!$B$30:$B$36,0)),1,0)))))</f>
        <v/>
      </c>
      <c r="AB104" s="32">
        <f>IF(OR($T104=0,$I104=""),0,IF(OR($I104=$A104,COUNTIF($A$4:$A$153,$I104)=0),1,IF(INDEX($B$4:$B$153,MATCH($I104,$A$4:$A$153,0))&gt;$B104,1,0)))</f>
        <v/>
      </c>
      <c r="AC104" s="32">
        <f>IF(AND($V104=1,LEN(TRIM($G104))=0),1,0)</f>
        <v/>
      </c>
      <c r="AD104" s="32">
        <f>IF($T104=0,0,IFERROR(VALUE(MID($A104,4,9)),0))</f>
        <v/>
      </c>
    </row>
    <row r="105" ht="18" customHeight="1">
      <c r="A105" s="27" t="n"/>
      <c r="B105" s="28" t="n"/>
      <c r="C105" s="29" t="n"/>
      <c r="D105" s="29" t="n"/>
      <c r="E105" s="29" t="n"/>
      <c r="F105" s="29" t="n"/>
      <c r="G105" s="29" t="n"/>
      <c r="H105" s="29" t="n"/>
      <c r="I105" s="27" t="n"/>
      <c r="J105" s="30">
        <f>IF(OR($T105=0,$U105=0),"",INDEX($A$4:$A$153,MATCH($A105,$I$4:$I$153,0)))</f>
        <v/>
      </c>
      <c r="K105" s="31">
        <f>IF($T105=0,"",IF(COUNTIF($X105:$AC105,"&gt;0")=0,"○ Clear",TRIM("△ "&amp;COUNTIF($X105:$AC105,"&gt;0")&amp;IF(COUNTIF($X105:$AC105,"&gt;0")=1," problem: "," problems: ")&amp;IF($X105&gt;0,"Decided by needs one name from People, and a body needs members and a signer. ","")&amp;IF($Y105&gt;0,"Why or evidence needs the reason itself, in three words or more. ","")&amp;IF($Z105&gt;0,"Date needs the day it was decided, no later than As of. ","")&amp;IF($AA105=1,IF(ISNA(MATCH($F105,People!$B$30:$B$36,0)),"Gate isn't one of the gate names on People. ","People names "&amp;INDEX(People!$C$30:$C$36,MATCH($F105,People!$B$30:$B$36,0))&amp;" to decide "&amp;$F105&amp;". "),IF($AA105=2,"People names nobody to decide "&amp;$F105&amp;". ",IF($AA105=3,"The Decision opens with a gate's name, so pick that gate in Gate. ","")))&amp;IF($AB105&gt;0,"Replaces needs the Id of a row dated no later than this one. ","")&amp;IF($AC105&gt;0,"Record elsewhere needs the name of the record the other file keeps. ",""))))</f>
        <v/>
      </c>
      <c r="T105" s="32">
        <f>IF(COUNTA($A105:$I105)&gt;0,1,0)</f>
        <v/>
      </c>
      <c r="U105" s="32">
        <f>IF(OR($T105=0,$A105=""),0,IF(COUNTIF($I$4:$I$153,$A105)&gt;0,1,0))</f>
        <v/>
      </c>
      <c r="V105" s="32">
        <f>IF(AND($T105=1,$H105&lt;&gt;"",$H105&lt;&gt;"This log"),1,0)</f>
        <v/>
      </c>
      <c r="W105" s="26">
        <f>IF($T105=0,"",","&amp;SUBSTITUTE(SUBSTITUTE($G105&amp;","&amp;$F105," ",""),";",",")&amp;",")</f>
        <v/>
      </c>
      <c r="X105" s="32">
        <f>IF($T105=0,0,IF(LEN(TRIM($D105))=0,1,IF(COUNTIF(People!$D$6:$D$25,TRIM($D105))=0,1,IF(INDEX(People!$E$6:$E$25,MATCH(TRIM($D105),People!$D$6:$D$25,0))&lt;&gt;"Body",0,IF(OR(LEN(TRIM(INDEX(People!$F$6:$F$25,MATCH(TRIM($D105),People!$D$6:$D$25,0))))=0,LEN(TRIM(INDEX(People!$G$6:$G$25,MATCH(TRIM($D105),People!$D$6:$D$25,0))))=0),1,0)))))</f>
        <v/>
      </c>
      <c r="Y105" s="32">
        <f>IF($T105=0,0,IF(LEN(TRIM($E105))=0,1,IF(LEN(TRIM($E105))-LEN(SUBSTITUTE(TRIM($E105)," ",""))+1&lt;3,1,IF(SUMPRODUCT((People!$J$6:$J$12&lt;&gt;"")*(LEFT(LOWER(TRIM($E105))&amp;" ",LEN(People!$J$6:$J$12)+1)=LOWER(People!$J$6:$J$12)&amp;" "))&gt;0,1,0))))</f>
        <v/>
      </c>
      <c r="Z105" s="32">
        <f>IF($T105=0,0,IF(NOT(ISNUMBER($B105)),1,IF($B105&gt;Summary!$K$3,1,0)))</f>
        <v/>
      </c>
      <c r="AA105" s="32">
        <f>IF($T105=0,0,IF($F105="",IF(SUMPRODUCT(--(LOWER(LEFT($C105,LEN(People!$B$30:$B$36)+1))=LOWER(People!$B$30:$B$36)&amp;":"))&gt;0,3,0),IF(ISNA(MATCH($F105,People!$B$30:$B$36,0)),1,IF(LEN(INDEX(People!$C$30:$C$36,MATCH($F105,People!$B$30:$B$36,0))&amp;"")=0,2,IF(TRIM($D105)&lt;&gt;INDEX(People!$C$30:$C$36,MATCH($F105,People!$B$30:$B$36,0)),1,0)))))</f>
        <v/>
      </c>
      <c r="AB105" s="32">
        <f>IF(OR($T105=0,$I105=""),0,IF(OR($I105=$A105,COUNTIF($A$4:$A$153,$I105)=0),1,IF(INDEX($B$4:$B$153,MATCH($I105,$A$4:$A$153,0))&gt;$B105,1,0)))</f>
        <v/>
      </c>
      <c r="AC105" s="32">
        <f>IF(AND($V105=1,LEN(TRIM($G105))=0),1,0)</f>
        <v/>
      </c>
      <c r="AD105" s="32">
        <f>IF($T105=0,0,IFERROR(VALUE(MID($A105,4,9)),0))</f>
        <v/>
      </c>
    </row>
    <row r="106" ht="18" customHeight="1">
      <c r="A106" s="27" t="n"/>
      <c r="B106" s="28" t="n"/>
      <c r="C106" s="29" t="n"/>
      <c r="D106" s="29" t="n"/>
      <c r="E106" s="29" t="n"/>
      <c r="F106" s="29" t="n"/>
      <c r="G106" s="29" t="n"/>
      <c r="H106" s="29" t="n"/>
      <c r="I106" s="27" t="n"/>
      <c r="J106" s="30">
        <f>IF(OR($T106=0,$U106=0),"",INDEX($A$4:$A$153,MATCH($A106,$I$4:$I$153,0)))</f>
        <v/>
      </c>
      <c r="K106" s="31">
        <f>IF($T106=0,"",IF(COUNTIF($X106:$AC106,"&gt;0")=0,"○ Clear",TRIM("△ "&amp;COUNTIF($X106:$AC106,"&gt;0")&amp;IF(COUNTIF($X106:$AC106,"&gt;0")=1," problem: "," problems: ")&amp;IF($X106&gt;0,"Decided by needs one name from People, and a body needs members and a signer. ","")&amp;IF($Y106&gt;0,"Why or evidence needs the reason itself, in three words or more. ","")&amp;IF($Z106&gt;0,"Date needs the day it was decided, no later than As of. ","")&amp;IF($AA106=1,IF(ISNA(MATCH($F106,People!$B$30:$B$36,0)),"Gate isn't one of the gate names on People. ","People names "&amp;INDEX(People!$C$30:$C$36,MATCH($F106,People!$B$30:$B$36,0))&amp;" to decide "&amp;$F106&amp;". "),IF($AA106=2,"People names nobody to decide "&amp;$F106&amp;". ",IF($AA106=3,"The Decision opens with a gate's name, so pick that gate in Gate. ","")))&amp;IF($AB106&gt;0,"Replaces needs the Id of a row dated no later than this one. ","")&amp;IF($AC106&gt;0,"Record elsewhere needs the name of the record the other file keeps. ",""))))</f>
        <v/>
      </c>
      <c r="T106" s="32">
        <f>IF(COUNTA($A106:$I106)&gt;0,1,0)</f>
        <v/>
      </c>
      <c r="U106" s="32">
        <f>IF(OR($T106=0,$A106=""),0,IF(COUNTIF($I$4:$I$153,$A106)&gt;0,1,0))</f>
        <v/>
      </c>
      <c r="V106" s="32">
        <f>IF(AND($T106=1,$H106&lt;&gt;"",$H106&lt;&gt;"This log"),1,0)</f>
        <v/>
      </c>
      <c r="W106" s="26">
        <f>IF($T106=0,"",","&amp;SUBSTITUTE(SUBSTITUTE($G106&amp;","&amp;$F106," ",""),";",",")&amp;",")</f>
        <v/>
      </c>
      <c r="X106" s="32">
        <f>IF($T106=0,0,IF(LEN(TRIM($D106))=0,1,IF(COUNTIF(People!$D$6:$D$25,TRIM($D106))=0,1,IF(INDEX(People!$E$6:$E$25,MATCH(TRIM($D106),People!$D$6:$D$25,0))&lt;&gt;"Body",0,IF(OR(LEN(TRIM(INDEX(People!$F$6:$F$25,MATCH(TRIM($D106),People!$D$6:$D$25,0))))=0,LEN(TRIM(INDEX(People!$G$6:$G$25,MATCH(TRIM($D106),People!$D$6:$D$25,0))))=0),1,0)))))</f>
        <v/>
      </c>
      <c r="Y106" s="32">
        <f>IF($T106=0,0,IF(LEN(TRIM($E106))=0,1,IF(LEN(TRIM($E106))-LEN(SUBSTITUTE(TRIM($E106)," ",""))+1&lt;3,1,IF(SUMPRODUCT((People!$J$6:$J$12&lt;&gt;"")*(LEFT(LOWER(TRIM($E106))&amp;" ",LEN(People!$J$6:$J$12)+1)=LOWER(People!$J$6:$J$12)&amp;" "))&gt;0,1,0))))</f>
        <v/>
      </c>
      <c r="Z106" s="32">
        <f>IF($T106=0,0,IF(NOT(ISNUMBER($B106)),1,IF($B106&gt;Summary!$K$3,1,0)))</f>
        <v/>
      </c>
      <c r="AA106" s="32">
        <f>IF($T106=0,0,IF($F106="",IF(SUMPRODUCT(--(LOWER(LEFT($C106,LEN(People!$B$30:$B$36)+1))=LOWER(People!$B$30:$B$36)&amp;":"))&gt;0,3,0),IF(ISNA(MATCH($F106,People!$B$30:$B$36,0)),1,IF(LEN(INDEX(People!$C$30:$C$36,MATCH($F106,People!$B$30:$B$36,0))&amp;"")=0,2,IF(TRIM($D106)&lt;&gt;INDEX(People!$C$30:$C$36,MATCH($F106,People!$B$30:$B$36,0)),1,0)))))</f>
        <v/>
      </c>
      <c r="AB106" s="32">
        <f>IF(OR($T106=0,$I106=""),0,IF(OR($I106=$A106,COUNTIF($A$4:$A$153,$I106)=0),1,IF(INDEX($B$4:$B$153,MATCH($I106,$A$4:$A$153,0))&gt;$B106,1,0)))</f>
        <v/>
      </c>
      <c r="AC106" s="32">
        <f>IF(AND($V106=1,LEN(TRIM($G106))=0),1,0)</f>
        <v/>
      </c>
      <c r="AD106" s="32">
        <f>IF($T106=0,0,IFERROR(VALUE(MID($A106,4,9)),0))</f>
        <v/>
      </c>
    </row>
    <row r="107" ht="18" customHeight="1">
      <c r="A107" s="27" t="n"/>
      <c r="B107" s="28" t="n"/>
      <c r="C107" s="29" t="n"/>
      <c r="D107" s="29" t="n"/>
      <c r="E107" s="29" t="n"/>
      <c r="F107" s="29" t="n"/>
      <c r="G107" s="29" t="n"/>
      <c r="H107" s="29" t="n"/>
      <c r="I107" s="27" t="n"/>
      <c r="J107" s="30">
        <f>IF(OR($T107=0,$U107=0),"",INDEX($A$4:$A$153,MATCH($A107,$I$4:$I$153,0)))</f>
        <v/>
      </c>
      <c r="K107" s="31">
        <f>IF($T107=0,"",IF(COUNTIF($X107:$AC107,"&gt;0")=0,"○ Clear",TRIM("△ "&amp;COUNTIF($X107:$AC107,"&gt;0")&amp;IF(COUNTIF($X107:$AC107,"&gt;0")=1," problem: "," problems: ")&amp;IF($X107&gt;0,"Decided by needs one name from People, and a body needs members and a signer. ","")&amp;IF($Y107&gt;0,"Why or evidence needs the reason itself, in three words or more. ","")&amp;IF($Z107&gt;0,"Date needs the day it was decided, no later than As of. ","")&amp;IF($AA107=1,IF(ISNA(MATCH($F107,People!$B$30:$B$36,0)),"Gate isn't one of the gate names on People. ","People names "&amp;INDEX(People!$C$30:$C$36,MATCH($F107,People!$B$30:$B$36,0))&amp;" to decide "&amp;$F107&amp;". "),IF($AA107=2,"People names nobody to decide "&amp;$F107&amp;". ",IF($AA107=3,"The Decision opens with a gate's name, so pick that gate in Gate. ","")))&amp;IF($AB107&gt;0,"Replaces needs the Id of a row dated no later than this one. ","")&amp;IF($AC107&gt;0,"Record elsewhere needs the name of the record the other file keeps. ",""))))</f>
        <v/>
      </c>
      <c r="T107" s="32">
        <f>IF(COUNTA($A107:$I107)&gt;0,1,0)</f>
        <v/>
      </c>
      <c r="U107" s="32">
        <f>IF(OR($T107=0,$A107=""),0,IF(COUNTIF($I$4:$I$153,$A107)&gt;0,1,0))</f>
        <v/>
      </c>
      <c r="V107" s="32">
        <f>IF(AND($T107=1,$H107&lt;&gt;"",$H107&lt;&gt;"This log"),1,0)</f>
        <v/>
      </c>
      <c r="W107" s="26">
        <f>IF($T107=0,"",","&amp;SUBSTITUTE(SUBSTITUTE($G107&amp;","&amp;$F107," ",""),";",",")&amp;",")</f>
        <v/>
      </c>
      <c r="X107" s="32">
        <f>IF($T107=0,0,IF(LEN(TRIM($D107))=0,1,IF(COUNTIF(People!$D$6:$D$25,TRIM($D107))=0,1,IF(INDEX(People!$E$6:$E$25,MATCH(TRIM($D107),People!$D$6:$D$25,0))&lt;&gt;"Body",0,IF(OR(LEN(TRIM(INDEX(People!$F$6:$F$25,MATCH(TRIM($D107),People!$D$6:$D$25,0))))=0,LEN(TRIM(INDEX(People!$G$6:$G$25,MATCH(TRIM($D107),People!$D$6:$D$25,0))))=0),1,0)))))</f>
        <v/>
      </c>
      <c r="Y107" s="32">
        <f>IF($T107=0,0,IF(LEN(TRIM($E107))=0,1,IF(LEN(TRIM($E107))-LEN(SUBSTITUTE(TRIM($E107)," ",""))+1&lt;3,1,IF(SUMPRODUCT((People!$J$6:$J$12&lt;&gt;"")*(LEFT(LOWER(TRIM($E107))&amp;" ",LEN(People!$J$6:$J$12)+1)=LOWER(People!$J$6:$J$12)&amp;" "))&gt;0,1,0))))</f>
        <v/>
      </c>
      <c r="Z107" s="32">
        <f>IF($T107=0,0,IF(NOT(ISNUMBER($B107)),1,IF($B107&gt;Summary!$K$3,1,0)))</f>
        <v/>
      </c>
      <c r="AA107" s="32">
        <f>IF($T107=0,0,IF($F107="",IF(SUMPRODUCT(--(LOWER(LEFT($C107,LEN(People!$B$30:$B$36)+1))=LOWER(People!$B$30:$B$36)&amp;":"))&gt;0,3,0),IF(ISNA(MATCH($F107,People!$B$30:$B$36,0)),1,IF(LEN(INDEX(People!$C$30:$C$36,MATCH($F107,People!$B$30:$B$36,0))&amp;"")=0,2,IF(TRIM($D107)&lt;&gt;INDEX(People!$C$30:$C$36,MATCH($F107,People!$B$30:$B$36,0)),1,0)))))</f>
        <v/>
      </c>
      <c r="AB107" s="32">
        <f>IF(OR($T107=0,$I107=""),0,IF(OR($I107=$A107,COUNTIF($A$4:$A$153,$I107)=0),1,IF(INDEX($B$4:$B$153,MATCH($I107,$A$4:$A$153,0))&gt;$B107,1,0)))</f>
        <v/>
      </c>
      <c r="AC107" s="32">
        <f>IF(AND($V107=1,LEN(TRIM($G107))=0),1,0)</f>
        <v/>
      </c>
      <c r="AD107" s="32">
        <f>IF($T107=0,0,IFERROR(VALUE(MID($A107,4,9)),0))</f>
        <v/>
      </c>
    </row>
    <row r="108" ht="18" customHeight="1">
      <c r="A108" s="27" t="n"/>
      <c r="B108" s="28" t="n"/>
      <c r="C108" s="29" t="n"/>
      <c r="D108" s="29" t="n"/>
      <c r="E108" s="29" t="n"/>
      <c r="F108" s="29" t="n"/>
      <c r="G108" s="29" t="n"/>
      <c r="H108" s="29" t="n"/>
      <c r="I108" s="27" t="n"/>
      <c r="J108" s="30">
        <f>IF(OR($T108=0,$U108=0),"",INDEX($A$4:$A$153,MATCH($A108,$I$4:$I$153,0)))</f>
        <v/>
      </c>
      <c r="K108" s="31">
        <f>IF($T108=0,"",IF(COUNTIF($X108:$AC108,"&gt;0")=0,"○ Clear",TRIM("△ "&amp;COUNTIF($X108:$AC108,"&gt;0")&amp;IF(COUNTIF($X108:$AC108,"&gt;0")=1," problem: "," problems: ")&amp;IF($X108&gt;0,"Decided by needs one name from People, and a body needs members and a signer. ","")&amp;IF($Y108&gt;0,"Why or evidence needs the reason itself, in three words or more. ","")&amp;IF($Z108&gt;0,"Date needs the day it was decided, no later than As of. ","")&amp;IF($AA108=1,IF(ISNA(MATCH($F108,People!$B$30:$B$36,0)),"Gate isn't one of the gate names on People. ","People names "&amp;INDEX(People!$C$30:$C$36,MATCH($F108,People!$B$30:$B$36,0))&amp;" to decide "&amp;$F108&amp;". "),IF($AA108=2,"People names nobody to decide "&amp;$F108&amp;". ",IF($AA108=3,"The Decision opens with a gate's name, so pick that gate in Gate. ","")))&amp;IF($AB108&gt;0,"Replaces needs the Id of a row dated no later than this one. ","")&amp;IF($AC108&gt;0,"Record elsewhere needs the name of the record the other file keeps. ",""))))</f>
        <v/>
      </c>
      <c r="T108" s="32">
        <f>IF(COUNTA($A108:$I108)&gt;0,1,0)</f>
        <v/>
      </c>
      <c r="U108" s="32">
        <f>IF(OR($T108=0,$A108=""),0,IF(COUNTIF($I$4:$I$153,$A108)&gt;0,1,0))</f>
        <v/>
      </c>
      <c r="V108" s="32">
        <f>IF(AND($T108=1,$H108&lt;&gt;"",$H108&lt;&gt;"This log"),1,0)</f>
        <v/>
      </c>
      <c r="W108" s="26">
        <f>IF($T108=0,"",","&amp;SUBSTITUTE(SUBSTITUTE($G108&amp;","&amp;$F108," ",""),";",",")&amp;",")</f>
        <v/>
      </c>
      <c r="X108" s="32">
        <f>IF($T108=0,0,IF(LEN(TRIM($D108))=0,1,IF(COUNTIF(People!$D$6:$D$25,TRIM($D108))=0,1,IF(INDEX(People!$E$6:$E$25,MATCH(TRIM($D108),People!$D$6:$D$25,0))&lt;&gt;"Body",0,IF(OR(LEN(TRIM(INDEX(People!$F$6:$F$25,MATCH(TRIM($D108),People!$D$6:$D$25,0))))=0,LEN(TRIM(INDEX(People!$G$6:$G$25,MATCH(TRIM($D108),People!$D$6:$D$25,0))))=0),1,0)))))</f>
        <v/>
      </c>
      <c r="Y108" s="32">
        <f>IF($T108=0,0,IF(LEN(TRIM($E108))=0,1,IF(LEN(TRIM($E108))-LEN(SUBSTITUTE(TRIM($E108)," ",""))+1&lt;3,1,IF(SUMPRODUCT((People!$J$6:$J$12&lt;&gt;"")*(LEFT(LOWER(TRIM($E108))&amp;" ",LEN(People!$J$6:$J$12)+1)=LOWER(People!$J$6:$J$12)&amp;" "))&gt;0,1,0))))</f>
        <v/>
      </c>
      <c r="Z108" s="32">
        <f>IF($T108=0,0,IF(NOT(ISNUMBER($B108)),1,IF($B108&gt;Summary!$K$3,1,0)))</f>
        <v/>
      </c>
      <c r="AA108" s="32">
        <f>IF($T108=0,0,IF($F108="",IF(SUMPRODUCT(--(LOWER(LEFT($C108,LEN(People!$B$30:$B$36)+1))=LOWER(People!$B$30:$B$36)&amp;":"))&gt;0,3,0),IF(ISNA(MATCH($F108,People!$B$30:$B$36,0)),1,IF(LEN(INDEX(People!$C$30:$C$36,MATCH($F108,People!$B$30:$B$36,0))&amp;"")=0,2,IF(TRIM($D108)&lt;&gt;INDEX(People!$C$30:$C$36,MATCH($F108,People!$B$30:$B$36,0)),1,0)))))</f>
        <v/>
      </c>
      <c r="AB108" s="32">
        <f>IF(OR($T108=0,$I108=""),0,IF(OR($I108=$A108,COUNTIF($A$4:$A$153,$I108)=0),1,IF(INDEX($B$4:$B$153,MATCH($I108,$A$4:$A$153,0))&gt;$B108,1,0)))</f>
        <v/>
      </c>
      <c r="AC108" s="32">
        <f>IF(AND($V108=1,LEN(TRIM($G108))=0),1,0)</f>
        <v/>
      </c>
      <c r="AD108" s="32">
        <f>IF($T108=0,0,IFERROR(VALUE(MID($A108,4,9)),0))</f>
        <v/>
      </c>
    </row>
    <row r="109" ht="18" customHeight="1">
      <c r="A109" s="27" t="n"/>
      <c r="B109" s="28" t="n"/>
      <c r="C109" s="29" t="n"/>
      <c r="D109" s="29" t="n"/>
      <c r="E109" s="29" t="n"/>
      <c r="F109" s="29" t="n"/>
      <c r="G109" s="29" t="n"/>
      <c r="H109" s="29" t="n"/>
      <c r="I109" s="27" t="n"/>
      <c r="J109" s="30">
        <f>IF(OR($T109=0,$U109=0),"",INDEX($A$4:$A$153,MATCH($A109,$I$4:$I$153,0)))</f>
        <v/>
      </c>
      <c r="K109" s="31">
        <f>IF($T109=0,"",IF(COUNTIF($X109:$AC109,"&gt;0")=0,"○ Clear",TRIM("△ "&amp;COUNTIF($X109:$AC109,"&gt;0")&amp;IF(COUNTIF($X109:$AC109,"&gt;0")=1," problem: "," problems: ")&amp;IF($X109&gt;0,"Decided by needs one name from People, and a body needs members and a signer. ","")&amp;IF($Y109&gt;0,"Why or evidence needs the reason itself, in three words or more. ","")&amp;IF($Z109&gt;0,"Date needs the day it was decided, no later than As of. ","")&amp;IF($AA109=1,IF(ISNA(MATCH($F109,People!$B$30:$B$36,0)),"Gate isn't one of the gate names on People. ","People names "&amp;INDEX(People!$C$30:$C$36,MATCH($F109,People!$B$30:$B$36,0))&amp;" to decide "&amp;$F109&amp;". "),IF($AA109=2,"People names nobody to decide "&amp;$F109&amp;". ",IF($AA109=3,"The Decision opens with a gate's name, so pick that gate in Gate. ","")))&amp;IF($AB109&gt;0,"Replaces needs the Id of a row dated no later than this one. ","")&amp;IF($AC109&gt;0,"Record elsewhere needs the name of the record the other file keeps. ",""))))</f>
        <v/>
      </c>
      <c r="T109" s="32">
        <f>IF(COUNTA($A109:$I109)&gt;0,1,0)</f>
        <v/>
      </c>
      <c r="U109" s="32">
        <f>IF(OR($T109=0,$A109=""),0,IF(COUNTIF($I$4:$I$153,$A109)&gt;0,1,0))</f>
        <v/>
      </c>
      <c r="V109" s="32">
        <f>IF(AND($T109=1,$H109&lt;&gt;"",$H109&lt;&gt;"This log"),1,0)</f>
        <v/>
      </c>
      <c r="W109" s="26">
        <f>IF($T109=0,"",","&amp;SUBSTITUTE(SUBSTITUTE($G109&amp;","&amp;$F109," ",""),";",",")&amp;",")</f>
        <v/>
      </c>
      <c r="X109" s="32">
        <f>IF($T109=0,0,IF(LEN(TRIM($D109))=0,1,IF(COUNTIF(People!$D$6:$D$25,TRIM($D109))=0,1,IF(INDEX(People!$E$6:$E$25,MATCH(TRIM($D109),People!$D$6:$D$25,0))&lt;&gt;"Body",0,IF(OR(LEN(TRIM(INDEX(People!$F$6:$F$25,MATCH(TRIM($D109),People!$D$6:$D$25,0))))=0,LEN(TRIM(INDEX(People!$G$6:$G$25,MATCH(TRIM($D109),People!$D$6:$D$25,0))))=0),1,0)))))</f>
        <v/>
      </c>
      <c r="Y109" s="32">
        <f>IF($T109=0,0,IF(LEN(TRIM($E109))=0,1,IF(LEN(TRIM($E109))-LEN(SUBSTITUTE(TRIM($E109)," ",""))+1&lt;3,1,IF(SUMPRODUCT((People!$J$6:$J$12&lt;&gt;"")*(LEFT(LOWER(TRIM($E109))&amp;" ",LEN(People!$J$6:$J$12)+1)=LOWER(People!$J$6:$J$12)&amp;" "))&gt;0,1,0))))</f>
        <v/>
      </c>
      <c r="Z109" s="32">
        <f>IF($T109=0,0,IF(NOT(ISNUMBER($B109)),1,IF($B109&gt;Summary!$K$3,1,0)))</f>
        <v/>
      </c>
      <c r="AA109" s="32">
        <f>IF($T109=0,0,IF($F109="",IF(SUMPRODUCT(--(LOWER(LEFT($C109,LEN(People!$B$30:$B$36)+1))=LOWER(People!$B$30:$B$36)&amp;":"))&gt;0,3,0),IF(ISNA(MATCH($F109,People!$B$30:$B$36,0)),1,IF(LEN(INDEX(People!$C$30:$C$36,MATCH($F109,People!$B$30:$B$36,0))&amp;"")=0,2,IF(TRIM($D109)&lt;&gt;INDEX(People!$C$30:$C$36,MATCH($F109,People!$B$30:$B$36,0)),1,0)))))</f>
        <v/>
      </c>
      <c r="AB109" s="32">
        <f>IF(OR($T109=0,$I109=""),0,IF(OR($I109=$A109,COUNTIF($A$4:$A$153,$I109)=0),1,IF(INDEX($B$4:$B$153,MATCH($I109,$A$4:$A$153,0))&gt;$B109,1,0)))</f>
        <v/>
      </c>
      <c r="AC109" s="32">
        <f>IF(AND($V109=1,LEN(TRIM($G109))=0),1,0)</f>
        <v/>
      </c>
      <c r="AD109" s="32">
        <f>IF($T109=0,0,IFERROR(VALUE(MID($A109,4,9)),0))</f>
        <v/>
      </c>
    </row>
    <row r="110" ht="18" customHeight="1">
      <c r="A110" s="27" t="n"/>
      <c r="B110" s="28" t="n"/>
      <c r="C110" s="29" t="n"/>
      <c r="D110" s="29" t="n"/>
      <c r="E110" s="29" t="n"/>
      <c r="F110" s="29" t="n"/>
      <c r="G110" s="29" t="n"/>
      <c r="H110" s="29" t="n"/>
      <c r="I110" s="27" t="n"/>
      <c r="J110" s="30">
        <f>IF(OR($T110=0,$U110=0),"",INDEX($A$4:$A$153,MATCH($A110,$I$4:$I$153,0)))</f>
        <v/>
      </c>
      <c r="K110" s="31">
        <f>IF($T110=0,"",IF(COUNTIF($X110:$AC110,"&gt;0")=0,"○ Clear",TRIM("△ "&amp;COUNTIF($X110:$AC110,"&gt;0")&amp;IF(COUNTIF($X110:$AC110,"&gt;0")=1," problem: "," problems: ")&amp;IF($X110&gt;0,"Decided by needs one name from People, and a body needs members and a signer. ","")&amp;IF($Y110&gt;0,"Why or evidence needs the reason itself, in three words or more. ","")&amp;IF($Z110&gt;0,"Date needs the day it was decided, no later than As of. ","")&amp;IF($AA110=1,IF(ISNA(MATCH($F110,People!$B$30:$B$36,0)),"Gate isn't one of the gate names on People. ","People names "&amp;INDEX(People!$C$30:$C$36,MATCH($F110,People!$B$30:$B$36,0))&amp;" to decide "&amp;$F110&amp;". "),IF($AA110=2,"People names nobody to decide "&amp;$F110&amp;". ",IF($AA110=3,"The Decision opens with a gate's name, so pick that gate in Gate. ","")))&amp;IF($AB110&gt;0,"Replaces needs the Id of a row dated no later than this one. ","")&amp;IF($AC110&gt;0,"Record elsewhere needs the name of the record the other file keeps. ",""))))</f>
        <v/>
      </c>
      <c r="T110" s="32">
        <f>IF(COUNTA($A110:$I110)&gt;0,1,0)</f>
        <v/>
      </c>
      <c r="U110" s="32">
        <f>IF(OR($T110=0,$A110=""),0,IF(COUNTIF($I$4:$I$153,$A110)&gt;0,1,0))</f>
        <v/>
      </c>
      <c r="V110" s="32">
        <f>IF(AND($T110=1,$H110&lt;&gt;"",$H110&lt;&gt;"This log"),1,0)</f>
        <v/>
      </c>
      <c r="W110" s="26">
        <f>IF($T110=0,"",","&amp;SUBSTITUTE(SUBSTITUTE($G110&amp;","&amp;$F110," ",""),";",",")&amp;",")</f>
        <v/>
      </c>
      <c r="X110" s="32">
        <f>IF($T110=0,0,IF(LEN(TRIM($D110))=0,1,IF(COUNTIF(People!$D$6:$D$25,TRIM($D110))=0,1,IF(INDEX(People!$E$6:$E$25,MATCH(TRIM($D110),People!$D$6:$D$25,0))&lt;&gt;"Body",0,IF(OR(LEN(TRIM(INDEX(People!$F$6:$F$25,MATCH(TRIM($D110),People!$D$6:$D$25,0))))=0,LEN(TRIM(INDEX(People!$G$6:$G$25,MATCH(TRIM($D110),People!$D$6:$D$25,0))))=0),1,0)))))</f>
        <v/>
      </c>
      <c r="Y110" s="32">
        <f>IF($T110=0,0,IF(LEN(TRIM($E110))=0,1,IF(LEN(TRIM($E110))-LEN(SUBSTITUTE(TRIM($E110)," ",""))+1&lt;3,1,IF(SUMPRODUCT((People!$J$6:$J$12&lt;&gt;"")*(LEFT(LOWER(TRIM($E110))&amp;" ",LEN(People!$J$6:$J$12)+1)=LOWER(People!$J$6:$J$12)&amp;" "))&gt;0,1,0))))</f>
        <v/>
      </c>
      <c r="Z110" s="32">
        <f>IF($T110=0,0,IF(NOT(ISNUMBER($B110)),1,IF($B110&gt;Summary!$K$3,1,0)))</f>
        <v/>
      </c>
      <c r="AA110" s="32">
        <f>IF($T110=0,0,IF($F110="",IF(SUMPRODUCT(--(LOWER(LEFT($C110,LEN(People!$B$30:$B$36)+1))=LOWER(People!$B$30:$B$36)&amp;":"))&gt;0,3,0),IF(ISNA(MATCH($F110,People!$B$30:$B$36,0)),1,IF(LEN(INDEX(People!$C$30:$C$36,MATCH($F110,People!$B$30:$B$36,0))&amp;"")=0,2,IF(TRIM($D110)&lt;&gt;INDEX(People!$C$30:$C$36,MATCH($F110,People!$B$30:$B$36,0)),1,0)))))</f>
        <v/>
      </c>
      <c r="AB110" s="32">
        <f>IF(OR($T110=0,$I110=""),0,IF(OR($I110=$A110,COUNTIF($A$4:$A$153,$I110)=0),1,IF(INDEX($B$4:$B$153,MATCH($I110,$A$4:$A$153,0))&gt;$B110,1,0)))</f>
        <v/>
      </c>
      <c r="AC110" s="32">
        <f>IF(AND($V110=1,LEN(TRIM($G110))=0),1,0)</f>
        <v/>
      </c>
      <c r="AD110" s="32">
        <f>IF($T110=0,0,IFERROR(VALUE(MID($A110,4,9)),0))</f>
        <v/>
      </c>
    </row>
    <row r="111" ht="18" customHeight="1">
      <c r="A111" s="27" t="n"/>
      <c r="B111" s="28" t="n"/>
      <c r="C111" s="29" t="n"/>
      <c r="D111" s="29" t="n"/>
      <c r="E111" s="29" t="n"/>
      <c r="F111" s="29" t="n"/>
      <c r="G111" s="29" t="n"/>
      <c r="H111" s="29" t="n"/>
      <c r="I111" s="27" t="n"/>
      <c r="J111" s="30">
        <f>IF(OR($T111=0,$U111=0),"",INDEX($A$4:$A$153,MATCH($A111,$I$4:$I$153,0)))</f>
        <v/>
      </c>
      <c r="K111" s="31">
        <f>IF($T111=0,"",IF(COUNTIF($X111:$AC111,"&gt;0")=0,"○ Clear",TRIM("△ "&amp;COUNTIF($X111:$AC111,"&gt;0")&amp;IF(COUNTIF($X111:$AC111,"&gt;0")=1," problem: "," problems: ")&amp;IF($X111&gt;0,"Decided by needs one name from People, and a body needs members and a signer. ","")&amp;IF($Y111&gt;0,"Why or evidence needs the reason itself, in three words or more. ","")&amp;IF($Z111&gt;0,"Date needs the day it was decided, no later than As of. ","")&amp;IF($AA111=1,IF(ISNA(MATCH($F111,People!$B$30:$B$36,0)),"Gate isn't one of the gate names on People. ","People names "&amp;INDEX(People!$C$30:$C$36,MATCH($F111,People!$B$30:$B$36,0))&amp;" to decide "&amp;$F111&amp;". "),IF($AA111=2,"People names nobody to decide "&amp;$F111&amp;". ",IF($AA111=3,"The Decision opens with a gate's name, so pick that gate in Gate. ","")))&amp;IF($AB111&gt;0,"Replaces needs the Id of a row dated no later than this one. ","")&amp;IF($AC111&gt;0,"Record elsewhere needs the name of the record the other file keeps. ",""))))</f>
        <v/>
      </c>
      <c r="T111" s="32">
        <f>IF(COUNTA($A111:$I111)&gt;0,1,0)</f>
        <v/>
      </c>
      <c r="U111" s="32">
        <f>IF(OR($T111=0,$A111=""),0,IF(COUNTIF($I$4:$I$153,$A111)&gt;0,1,0))</f>
        <v/>
      </c>
      <c r="V111" s="32">
        <f>IF(AND($T111=1,$H111&lt;&gt;"",$H111&lt;&gt;"This log"),1,0)</f>
        <v/>
      </c>
      <c r="W111" s="26">
        <f>IF($T111=0,"",","&amp;SUBSTITUTE(SUBSTITUTE($G111&amp;","&amp;$F111," ",""),";",",")&amp;",")</f>
        <v/>
      </c>
      <c r="X111" s="32">
        <f>IF($T111=0,0,IF(LEN(TRIM($D111))=0,1,IF(COUNTIF(People!$D$6:$D$25,TRIM($D111))=0,1,IF(INDEX(People!$E$6:$E$25,MATCH(TRIM($D111),People!$D$6:$D$25,0))&lt;&gt;"Body",0,IF(OR(LEN(TRIM(INDEX(People!$F$6:$F$25,MATCH(TRIM($D111),People!$D$6:$D$25,0))))=0,LEN(TRIM(INDEX(People!$G$6:$G$25,MATCH(TRIM($D111),People!$D$6:$D$25,0))))=0),1,0)))))</f>
        <v/>
      </c>
      <c r="Y111" s="32">
        <f>IF($T111=0,0,IF(LEN(TRIM($E111))=0,1,IF(LEN(TRIM($E111))-LEN(SUBSTITUTE(TRIM($E111)," ",""))+1&lt;3,1,IF(SUMPRODUCT((People!$J$6:$J$12&lt;&gt;"")*(LEFT(LOWER(TRIM($E111))&amp;" ",LEN(People!$J$6:$J$12)+1)=LOWER(People!$J$6:$J$12)&amp;" "))&gt;0,1,0))))</f>
        <v/>
      </c>
      <c r="Z111" s="32">
        <f>IF($T111=0,0,IF(NOT(ISNUMBER($B111)),1,IF($B111&gt;Summary!$K$3,1,0)))</f>
        <v/>
      </c>
      <c r="AA111" s="32">
        <f>IF($T111=0,0,IF($F111="",IF(SUMPRODUCT(--(LOWER(LEFT($C111,LEN(People!$B$30:$B$36)+1))=LOWER(People!$B$30:$B$36)&amp;":"))&gt;0,3,0),IF(ISNA(MATCH($F111,People!$B$30:$B$36,0)),1,IF(LEN(INDEX(People!$C$30:$C$36,MATCH($F111,People!$B$30:$B$36,0))&amp;"")=0,2,IF(TRIM($D111)&lt;&gt;INDEX(People!$C$30:$C$36,MATCH($F111,People!$B$30:$B$36,0)),1,0)))))</f>
        <v/>
      </c>
      <c r="AB111" s="32">
        <f>IF(OR($T111=0,$I111=""),0,IF(OR($I111=$A111,COUNTIF($A$4:$A$153,$I111)=0),1,IF(INDEX($B$4:$B$153,MATCH($I111,$A$4:$A$153,0))&gt;$B111,1,0)))</f>
        <v/>
      </c>
      <c r="AC111" s="32">
        <f>IF(AND($V111=1,LEN(TRIM($G111))=0),1,0)</f>
        <v/>
      </c>
      <c r="AD111" s="32">
        <f>IF($T111=0,0,IFERROR(VALUE(MID($A111,4,9)),0))</f>
        <v/>
      </c>
    </row>
    <row r="112" ht="18" customHeight="1">
      <c r="A112" s="27" t="n"/>
      <c r="B112" s="28" t="n"/>
      <c r="C112" s="29" t="n"/>
      <c r="D112" s="29" t="n"/>
      <c r="E112" s="29" t="n"/>
      <c r="F112" s="29" t="n"/>
      <c r="G112" s="29" t="n"/>
      <c r="H112" s="29" t="n"/>
      <c r="I112" s="27" t="n"/>
      <c r="J112" s="30">
        <f>IF(OR($T112=0,$U112=0),"",INDEX($A$4:$A$153,MATCH($A112,$I$4:$I$153,0)))</f>
        <v/>
      </c>
      <c r="K112" s="31">
        <f>IF($T112=0,"",IF(COUNTIF($X112:$AC112,"&gt;0")=0,"○ Clear",TRIM("△ "&amp;COUNTIF($X112:$AC112,"&gt;0")&amp;IF(COUNTIF($X112:$AC112,"&gt;0")=1," problem: "," problems: ")&amp;IF($X112&gt;0,"Decided by needs one name from People, and a body needs members and a signer. ","")&amp;IF($Y112&gt;0,"Why or evidence needs the reason itself, in three words or more. ","")&amp;IF($Z112&gt;0,"Date needs the day it was decided, no later than As of. ","")&amp;IF($AA112=1,IF(ISNA(MATCH($F112,People!$B$30:$B$36,0)),"Gate isn't one of the gate names on People. ","People names "&amp;INDEX(People!$C$30:$C$36,MATCH($F112,People!$B$30:$B$36,0))&amp;" to decide "&amp;$F112&amp;". "),IF($AA112=2,"People names nobody to decide "&amp;$F112&amp;". ",IF($AA112=3,"The Decision opens with a gate's name, so pick that gate in Gate. ","")))&amp;IF($AB112&gt;0,"Replaces needs the Id of a row dated no later than this one. ","")&amp;IF($AC112&gt;0,"Record elsewhere needs the name of the record the other file keeps. ",""))))</f>
        <v/>
      </c>
      <c r="T112" s="32">
        <f>IF(COUNTA($A112:$I112)&gt;0,1,0)</f>
        <v/>
      </c>
      <c r="U112" s="32">
        <f>IF(OR($T112=0,$A112=""),0,IF(COUNTIF($I$4:$I$153,$A112)&gt;0,1,0))</f>
        <v/>
      </c>
      <c r="V112" s="32">
        <f>IF(AND($T112=1,$H112&lt;&gt;"",$H112&lt;&gt;"This log"),1,0)</f>
        <v/>
      </c>
      <c r="W112" s="26">
        <f>IF($T112=0,"",","&amp;SUBSTITUTE(SUBSTITUTE($G112&amp;","&amp;$F112," ",""),";",",")&amp;",")</f>
        <v/>
      </c>
      <c r="X112" s="32">
        <f>IF($T112=0,0,IF(LEN(TRIM($D112))=0,1,IF(COUNTIF(People!$D$6:$D$25,TRIM($D112))=0,1,IF(INDEX(People!$E$6:$E$25,MATCH(TRIM($D112),People!$D$6:$D$25,0))&lt;&gt;"Body",0,IF(OR(LEN(TRIM(INDEX(People!$F$6:$F$25,MATCH(TRIM($D112),People!$D$6:$D$25,0))))=0,LEN(TRIM(INDEX(People!$G$6:$G$25,MATCH(TRIM($D112),People!$D$6:$D$25,0))))=0),1,0)))))</f>
        <v/>
      </c>
      <c r="Y112" s="32">
        <f>IF($T112=0,0,IF(LEN(TRIM($E112))=0,1,IF(LEN(TRIM($E112))-LEN(SUBSTITUTE(TRIM($E112)," ",""))+1&lt;3,1,IF(SUMPRODUCT((People!$J$6:$J$12&lt;&gt;"")*(LEFT(LOWER(TRIM($E112))&amp;" ",LEN(People!$J$6:$J$12)+1)=LOWER(People!$J$6:$J$12)&amp;" "))&gt;0,1,0))))</f>
        <v/>
      </c>
      <c r="Z112" s="32">
        <f>IF($T112=0,0,IF(NOT(ISNUMBER($B112)),1,IF($B112&gt;Summary!$K$3,1,0)))</f>
        <v/>
      </c>
      <c r="AA112" s="32">
        <f>IF($T112=0,0,IF($F112="",IF(SUMPRODUCT(--(LOWER(LEFT($C112,LEN(People!$B$30:$B$36)+1))=LOWER(People!$B$30:$B$36)&amp;":"))&gt;0,3,0),IF(ISNA(MATCH($F112,People!$B$30:$B$36,0)),1,IF(LEN(INDEX(People!$C$30:$C$36,MATCH($F112,People!$B$30:$B$36,0))&amp;"")=0,2,IF(TRIM($D112)&lt;&gt;INDEX(People!$C$30:$C$36,MATCH($F112,People!$B$30:$B$36,0)),1,0)))))</f>
        <v/>
      </c>
      <c r="AB112" s="32">
        <f>IF(OR($T112=0,$I112=""),0,IF(OR($I112=$A112,COUNTIF($A$4:$A$153,$I112)=0),1,IF(INDEX($B$4:$B$153,MATCH($I112,$A$4:$A$153,0))&gt;$B112,1,0)))</f>
        <v/>
      </c>
      <c r="AC112" s="32">
        <f>IF(AND($V112=1,LEN(TRIM($G112))=0),1,0)</f>
        <v/>
      </c>
      <c r="AD112" s="32">
        <f>IF($T112=0,0,IFERROR(VALUE(MID($A112,4,9)),0))</f>
        <v/>
      </c>
    </row>
    <row r="113" ht="18" customHeight="1">
      <c r="A113" s="27" t="n"/>
      <c r="B113" s="28" t="n"/>
      <c r="C113" s="29" t="n"/>
      <c r="D113" s="29" t="n"/>
      <c r="E113" s="29" t="n"/>
      <c r="F113" s="29" t="n"/>
      <c r="G113" s="29" t="n"/>
      <c r="H113" s="29" t="n"/>
      <c r="I113" s="27" t="n"/>
      <c r="J113" s="30">
        <f>IF(OR($T113=0,$U113=0),"",INDEX($A$4:$A$153,MATCH($A113,$I$4:$I$153,0)))</f>
        <v/>
      </c>
      <c r="K113" s="31">
        <f>IF($T113=0,"",IF(COUNTIF($X113:$AC113,"&gt;0")=0,"○ Clear",TRIM("△ "&amp;COUNTIF($X113:$AC113,"&gt;0")&amp;IF(COUNTIF($X113:$AC113,"&gt;0")=1," problem: "," problems: ")&amp;IF($X113&gt;0,"Decided by needs one name from People, and a body needs members and a signer. ","")&amp;IF($Y113&gt;0,"Why or evidence needs the reason itself, in three words or more. ","")&amp;IF($Z113&gt;0,"Date needs the day it was decided, no later than As of. ","")&amp;IF($AA113=1,IF(ISNA(MATCH($F113,People!$B$30:$B$36,0)),"Gate isn't one of the gate names on People. ","People names "&amp;INDEX(People!$C$30:$C$36,MATCH($F113,People!$B$30:$B$36,0))&amp;" to decide "&amp;$F113&amp;". "),IF($AA113=2,"People names nobody to decide "&amp;$F113&amp;". ",IF($AA113=3,"The Decision opens with a gate's name, so pick that gate in Gate. ","")))&amp;IF($AB113&gt;0,"Replaces needs the Id of a row dated no later than this one. ","")&amp;IF($AC113&gt;0,"Record elsewhere needs the name of the record the other file keeps. ",""))))</f>
        <v/>
      </c>
      <c r="T113" s="32">
        <f>IF(COUNTA($A113:$I113)&gt;0,1,0)</f>
        <v/>
      </c>
      <c r="U113" s="32">
        <f>IF(OR($T113=0,$A113=""),0,IF(COUNTIF($I$4:$I$153,$A113)&gt;0,1,0))</f>
        <v/>
      </c>
      <c r="V113" s="32">
        <f>IF(AND($T113=1,$H113&lt;&gt;"",$H113&lt;&gt;"This log"),1,0)</f>
        <v/>
      </c>
      <c r="W113" s="26">
        <f>IF($T113=0,"",","&amp;SUBSTITUTE(SUBSTITUTE($G113&amp;","&amp;$F113," ",""),";",",")&amp;",")</f>
        <v/>
      </c>
      <c r="X113" s="32">
        <f>IF($T113=0,0,IF(LEN(TRIM($D113))=0,1,IF(COUNTIF(People!$D$6:$D$25,TRIM($D113))=0,1,IF(INDEX(People!$E$6:$E$25,MATCH(TRIM($D113),People!$D$6:$D$25,0))&lt;&gt;"Body",0,IF(OR(LEN(TRIM(INDEX(People!$F$6:$F$25,MATCH(TRIM($D113),People!$D$6:$D$25,0))))=0,LEN(TRIM(INDEX(People!$G$6:$G$25,MATCH(TRIM($D113),People!$D$6:$D$25,0))))=0),1,0)))))</f>
        <v/>
      </c>
      <c r="Y113" s="32">
        <f>IF($T113=0,0,IF(LEN(TRIM($E113))=0,1,IF(LEN(TRIM($E113))-LEN(SUBSTITUTE(TRIM($E113)," ",""))+1&lt;3,1,IF(SUMPRODUCT((People!$J$6:$J$12&lt;&gt;"")*(LEFT(LOWER(TRIM($E113))&amp;" ",LEN(People!$J$6:$J$12)+1)=LOWER(People!$J$6:$J$12)&amp;" "))&gt;0,1,0))))</f>
        <v/>
      </c>
      <c r="Z113" s="32">
        <f>IF($T113=0,0,IF(NOT(ISNUMBER($B113)),1,IF($B113&gt;Summary!$K$3,1,0)))</f>
        <v/>
      </c>
      <c r="AA113" s="32">
        <f>IF($T113=0,0,IF($F113="",IF(SUMPRODUCT(--(LOWER(LEFT($C113,LEN(People!$B$30:$B$36)+1))=LOWER(People!$B$30:$B$36)&amp;":"))&gt;0,3,0),IF(ISNA(MATCH($F113,People!$B$30:$B$36,0)),1,IF(LEN(INDEX(People!$C$30:$C$36,MATCH($F113,People!$B$30:$B$36,0))&amp;"")=0,2,IF(TRIM($D113)&lt;&gt;INDEX(People!$C$30:$C$36,MATCH($F113,People!$B$30:$B$36,0)),1,0)))))</f>
        <v/>
      </c>
      <c r="AB113" s="32">
        <f>IF(OR($T113=0,$I113=""),0,IF(OR($I113=$A113,COUNTIF($A$4:$A$153,$I113)=0),1,IF(INDEX($B$4:$B$153,MATCH($I113,$A$4:$A$153,0))&gt;$B113,1,0)))</f>
        <v/>
      </c>
      <c r="AC113" s="32">
        <f>IF(AND($V113=1,LEN(TRIM($G113))=0),1,0)</f>
        <v/>
      </c>
      <c r="AD113" s="32">
        <f>IF($T113=0,0,IFERROR(VALUE(MID($A113,4,9)),0))</f>
        <v/>
      </c>
    </row>
    <row r="114" ht="18" customHeight="1">
      <c r="A114" s="27" t="n"/>
      <c r="B114" s="28" t="n"/>
      <c r="C114" s="29" t="n"/>
      <c r="D114" s="29" t="n"/>
      <c r="E114" s="29" t="n"/>
      <c r="F114" s="29" t="n"/>
      <c r="G114" s="29" t="n"/>
      <c r="H114" s="29" t="n"/>
      <c r="I114" s="27" t="n"/>
      <c r="J114" s="30">
        <f>IF(OR($T114=0,$U114=0),"",INDEX($A$4:$A$153,MATCH($A114,$I$4:$I$153,0)))</f>
        <v/>
      </c>
      <c r="K114" s="31">
        <f>IF($T114=0,"",IF(COUNTIF($X114:$AC114,"&gt;0")=0,"○ Clear",TRIM("△ "&amp;COUNTIF($X114:$AC114,"&gt;0")&amp;IF(COUNTIF($X114:$AC114,"&gt;0")=1," problem: "," problems: ")&amp;IF($X114&gt;0,"Decided by needs one name from People, and a body needs members and a signer. ","")&amp;IF($Y114&gt;0,"Why or evidence needs the reason itself, in three words or more. ","")&amp;IF($Z114&gt;0,"Date needs the day it was decided, no later than As of. ","")&amp;IF($AA114=1,IF(ISNA(MATCH($F114,People!$B$30:$B$36,0)),"Gate isn't one of the gate names on People. ","People names "&amp;INDEX(People!$C$30:$C$36,MATCH($F114,People!$B$30:$B$36,0))&amp;" to decide "&amp;$F114&amp;". "),IF($AA114=2,"People names nobody to decide "&amp;$F114&amp;". ",IF($AA114=3,"The Decision opens with a gate's name, so pick that gate in Gate. ","")))&amp;IF($AB114&gt;0,"Replaces needs the Id of a row dated no later than this one. ","")&amp;IF($AC114&gt;0,"Record elsewhere needs the name of the record the other file keeps. ",""))))</f>
        <v/>
      </c>
      <c r="T114" s="32">
        <f>IF(COUNTA($A114:$I114)&gt;0,1,0)</f>
        <v/>
      </c>
      <c r="U114" s="32">
        <f>IF(OR($T114=0,$A114=""),0,IF(COUNTIF($I$4:$I$153,$A114)&gt;0,1,0))</f>
        <v/>
      </c>
      <c r="V114" s="32">
        <f>IF(AND($T114=1,$H114&lt;&gt;"",$H114&lt;&gt;"This log"),1,0)</f>
        <v/>
      </c>
      <c r="W114" s="26">
        <f>IF($T114=0,"",","&amp;SUBSTITUTE(SUBSTITUTE($G114&amp;","&amp;$F114," ",""),";",",")&amp;",")</f>
        <v/>
      </c>
      <c r="X114" s="32">
        <f>IF($T114=0,0,IF(LEN(TRIM($D114))=0,1,IF(COUNTIF(People!$D$6:$D$25,TRIM($D114))=0,1,IF(INDEX(People!$E$6:$E$25,MATCH(TRIM($D114),People!$D$6:$D$25,0))&lt;&gt;"Body",0,IF(OR(LEN(TRIM(INDEX(People!$F$6:$F$25,MATCH(TRIM($D114),People!$D$6:$D$25,0))))=0,LEN(TRIM(INDEX(People!$G$6:$G$25,MATCH(TRIM($D114),People!$D$6:$D$25,0))))=0),1,0)))))</f>
        <v/>
      </c>
      <c r="Y114" s="32">
        <f>IF($T114=0,0,IF(LEN(TRIM($E114))=0,1,IF(LEN(TRIM($E114))-LEN(SUBSTITUTE(TRIM($E114)," ",""))+1&lt;3,1,IF(SUMPRODUCT((People!$J$6:$J$12&lt;&gt;"")*(LEFT(LOWER(TRIM($E114))&amp;" ",LEN(People!$J$6:$J$12)+1)=LOWER(People!$J$6:$J$12)&amp;" "))&gt;0,1,0))))</f>
        <v/>
      </c>
      <c r="Z114" s="32">
        <f>IF($T114=0,0,IF(NOT(ISNUMBER($B114)),1,IF($B114&gt;Summary!$K$3,1,0)))</f>
        <v/>
      </c>
      <c r="AA114" s="32">
        <f>IF($T114=0,0,IF($F114="",IF(SUMPRODUCT(--(LOWER(LEFT($C114,LEN(People!$B$30:$B$36)+1))=LOWER(People!$B$30:$B$36)&amp;":"))&gt;0,3,0),IF(ISNA(MATCH($F114,People!$B$30:$B$36,0)),1,IF(LEN(INDEX(People!$C$30:$C$36,MATCH($F114,People!$B$30:$B$36,0))&amp;"")=0,2,IF(TRIM($D114)&lt;&gt;INDEX(People!$C$30:$C$36,MATCH($F114,People!$B$30:$B$36,0)),1,0)))))</f>
        <v/>
      </c>
      <c r="AB114" s="32">
        <f>IF(OR($T114=0,$I114=""),0,IF(OR($I114=$A114,COUNTIF($A$4:$A$153,$I114)=0),1,IF(INDEX($B$4:$B$153,MATCH($I114,$A$4:$A$153,0))&gt;$B114,1,0)))</f>
        <v/>
      </c>
      <c r="AC114" s="32">
        <f>IF(AND($V114=1,LEN(TRIM($G114))=0),1,0)</f>
        <v/>
      </c>
      <c r="AD114" s="32">
        <f>IF($T114=0,0,IFERROR(VALUE(MID($A114,4,9)),0))</f>
        <v/>
      </c>
    </row>
    <row r="115" ht="18" customHeight="1">
      <c r="A115" s="27" t="n"/>
      <c r="B115" s="28" t="n"/>
      <c r="C115" s="29" t="n"/>
      <c r="D115" s="29" t="n"/>
      <c r="E115" s="29" t="n"/>
      <c r="F115" s="29" t="n"/>
      <c r="G115" s="29" t="n"/>
      <c r="H115" s="29" t="n"/>
      <c r="I115" s="27" t="n"/>
      <c r="J115" s="30">
        <f>IF(OR($T115=0,$U115=0),"",INDEX($A$4:$A$153,MATCH($A115,$I$4:$I$153,0)))</f>
        <v/>
      </c>
      <c r="K115" s="31">
        <f>IF($T115=0,"",IF(COUNTIF($X115:$AC115,"&gt;0")=0,"○ Clear",TRIM("△ "&amp;COUNTIF($X115:$AC115,"&gt;0")&amp;IF(COUNTIF($X115:$AC115,"&gt;0")=1," problem: "," problems: ")&amp;IF($X115&gt;0,"Decided by needs one name from People, and a body needs members and a signer. ","")&amp;IF($Y115&gt;0,"Why or evidence needs the reason itself, in three words or more. ","")&amp;IF($Z115&gt;0,"Date needs the day it was decided, no later than As of. ","")&amp;IF($AA115=1,IF(ISNA(MATCH($F115,People!$B$30:$B$36,0)),"Gate isn't one of the gate names on People. ","People names "&amp;INDEX(People!$C$30:$C$36,MATCH($F115,People!$B$30:$B$36,0))&amp;" to decide "&amp;$F115&amp;". "),IF($AA115=2,"People names nobody to decide "&amp;$F115&amp;". ",IF($AA115=3,"The Decision opens with a gate's name, so pick that gate in Gate. ","")))&amp;IF($AB115&gt;0,"Replaces needs the Id of a row dated no later than this one. ","")&amp;IF($AC115&gt;0,"Record elsewhere needs the name of the record the other file keeps. ",""))))</f>
        <v/>
      </c>
      <c r="T115" s="32">
        <f>IF(COUNTA($A115:$I115)&gt;0,1,0)</f>
        <v/>
      </c>
      <c r="U115" s="32">
        <f>IF(OR($T115=0,$A115=""),0,IF(COUNTIF($I$4:$I$153,$A115)&gt;0,1,0))</f>
        <v/>
      </c>
      <c r="V115" s="32">
        <f>IF(AND($T115=1,$H115&lt;&gt;"",$H115&lt;&gt;"This log"),1,0)</f>
        <v/>
      </c>
      <c r="W115" s="26">
        <f>IF($T115=0,"",","&amp;SUBSTITUTE(SUBSTITUTE($G115&amp;","&amp;$F115," ",""),";",",")&amp;",")</f>
        <v/>
      </c>
      <c r="X115" s="32">
        <f>IF($T115=0,0,IF(LEN(TRIM($D115))=0,1,IF(COUNTIF(People!$D$6:$D$25,TRIM($D115))=0,1,IF(INDEX(People!$E$6:$E$25,MATCH(TRIM($D115),People!$D$6:$D$25,0))&lt;&gt;"Body",0,IF(OR(LEN(TRIM(INDEX(People!$F$6:$F$25,MATCH(TRIM($D115),People!$D$6:$D$25,0))))=0,LEN(TRIM(INDEX(People!$G$6:$G$25,MATCH(TRIM($D115),People!$D$6:$D$25,0))))=0),1,0)))))</f>
        <v/>
      </c>
      <c r="Y115" s="32">
        <f>IF($T115=0,0,IF(LEN(TRIM($E115))=0,1,IF(LEN(TRIM($E115))-LEN(SUBSTITUTE(TRIM($E115)," ",""))+1&lt;3,1,IF(SUMPRODUCT((People!$J$6:$J$12&lt;&gt;"")*(LEFT(LOWER(TRIM($E115))&amp;" ",LEN(People!$J$6:$J$12)+1)=LOWER(People!$J$6:$J$12)&amp;" "))&gt;0,1,0))))</f>
        <v/>
      </c>
      <c r="Z115" s="32">
        <f>IF($T115=0,0,IF(NOT(ISNUMBER($B115)),1,IF($B115&gt;Summary!$K$3,1,0)))</f>
        <v/>
      </c>
      <c r="AA115" s="32">
        <f>IF($T115=0,0,IF($F115="",IF(SUMPRODUCT(--(LOWER(LEFT($C115,LEN(People!$B$30:$B$36)+1))=LOWER(People!$B$30:$B$36)&amp;":"))&gt;0,3,0),IF(ISNA(MATCH($F115,People!$B$30:$B$36,0)),1,IF(LEN(INDEX(People!$C$30:$C$36,MATCH($F115,People!$B$30:$B$36,0))&amp;"")=0,2,IF(TRIM($D115)&lt;&gt;INDEX(People!$C$30:$C$36,MATCH($F115,People!$B$30:$B$36,0)),1,0)))))</f>
        <v/>
      </c>
      <c r="AB115" s="32">
        <f>IF(OR($T115=0,$I115=""),0,IF(OR($I115=$A115,COUNTIF($A$4:$A$153,$I115)=0),1,IF(INDEX($B$4:$B$153,MATCH($I115,$A$4:$A$153,0))&gt;$B115,1,0)))</f>
        <v/>
      </c>
      <c r="AC115" s="32">
        <f>IF(AND($V115=1,LEN(TRIM($G115))=0),1,0)</f>
        <v/>
      </c>
      <c r="AD115" s="32">
        <f>IF($T115=0,0,IFERROR(VALUE(MID($A115,4,9)),0))</f>
        <v/>
      </c>
    </row>
    <row r="116" ht="18" customHeight="1">
      <c r="A116" s="27" t="n"/>
      <c r="B116" s="28" t="n"/>
      <c r="C116" s="29" t="n"/>
      <c r="D116" s="29" t="n"/>
      <c r="E116" s="29" t="n"/>
      <c r="F116" s="29" t="n"/>
      <c r="G116" s="29" t="n"/>
      <c r="H116" s="29" t="n"/>
      <c r="I116" s="27" t="n"/>
      <c r="J116" s="30">
        <f>IF(OR($T116=0,$U116=0),"",INDEX($A$4:$A$153,MATCH($A116,$I$4:$I$153,0)))</f>
        <v/>
      </c>
      <c r="K116" s="31">
        <f>IF($T116=0,"",IF(COUNTIF($X116:$AC116,"&gt;0")=0,"○ Clear",TRIM("△ "&amp;COUNTIF($X116:$AC116,"&gt;0")&amp;IF(COUNTIF($X116:$AC116,"&gt;0")=1," problem: "," problems: ")&amp;IF($X116&gt;0,"Decided by needs one name from People, and a body needs members and a signer. ","")&amp;IF($Y116&gt;0,"Why or evidence needs the reason itself, in three words or more. ","")&amp;IF($Z116&gt;0,"Date needs the day it was decided, no later than As of. ","")&amp;IF($AA116=1,IF(ISNA(MATCH($F116,People!$B$30:$B$36,0)),"Gate isn't one of the gate names on People. ","People names "&amp;INDEX(People!$C$30:$C$36,MATCH($F116,People!$B$30:$B$36,0))&amp;" to decide "&amp;$F116&amp;". "),IF($AA116=2,"People names nobody to decide "&amp;$F116&amp;". ",IF($AA116=3,"The Decision opens with a gate's name, so pick that gate in Gate. ","")))&amp;IF($AB116&gt;0,"Replaces needs the Id of a row dated no later than this one. ","")&amp;IF($AC116&gt;0,"Record elsewhere needs the name of the record the other file keeps. ",""))))</f>
        <v/>
      </c>
      <c r="T116" s="32">
        <f>IF(COUNTA($A116:$I116)&gt;0,1,0)</f>
        <v/>
      </c>
      <c r="U116" s="32">
        <f>IF(OR($T116=0,$A116=""),0,IF(COUNTIF($I$4:$I$153,$A116)&gt;0,1,0))</f>
        <v/>
      </c>
      <c r="V116" s="32">
        <f>IF(AND($T116=1,$H116&lt;&gt;"",$H116&lt;&gt;"This log"),1,0)</f>
        <v/>
      </c>
      <c r="W116" s="26">
        <f>IF($T116=0,"",","&amp;SUBSTITUTE(SUBSTITUTE($G116&amp;","&amp;$F116," ",""),";",",")&amp;",")</f>
        <v/>
      </c>
      <c r="X116" s="32">
        <f>IF($T116=0,0,IF(LEN(TRIM($D116))=0,1,IF(COUNTIF(People!$D$6:$D$25,TRIM($D116))=0,1,IF(INDEX(People!$E$6:$E$25,MATCH(TRIM($D116),People!$D$6:$D$25,0))&lt;&gt;"Body",0,IF(OR(LEN(TRIM(INDEX(People!$F$6:$F$25,MATCH(TRIM($D116),People!$D$6:$D$25,0))))=0,LEN(TRIM(INDEX(People!$G$6:$G$25,MATCH(TRIM($D116),People!$D$6:$D$25,0))))=0),1,0)))))</f>
        <v/>
      </c>
      <c r="Y116" s="32">
        <f>IF($T116=0,0,IF(LEN(TRIM($E116))=0,1,IF(LEN(TRIM($E116))-LEN(SUBSTITUTE(TRIM($E116)," ",""))+1&lt;3,1,IF(SUMPRODUCT((People!$J$6:$J$12&lt;&gt;"")*(LEFT(LOWER(TRIM($E116))&amp;" ",LEN(People!$J$6:$J$12)+1)=LOWER(People!$J$6:$J$12)&amp;" "))&gt;0,1,0))))</f>
        <v/>
      </c>
      <c r="Z116" s="32">
        <f>IF($T116=0,0,IF(NOT(ISNUMBER($B116)),1,IF($B116&gt;Summary!$K$3,1,0)))</f>
        <v/>
      </c>
      <c r="AA116" s="32">
        <f>IF($T116=0,0,IF($F116="",IF(SUMPRODUCT(--(LOWER(LEFT($C116,LEN(People!$B$30:$B$36)+1))=LOWER(People!$B$30:$B$36)&amp;":"))&gt;0,3,0),IF(ISNA(MATCH($F116,People!$B$30:$B$36,0)),1,IF(LEN(INDEX(People!$C$30:$C$36,MATCH($F116,People!$B$30:$B$36,0))&amp;"")=0,2,IF(TRIM($D116)&lt;&gt;INDEX(People!$C$30:$C$36,MATCH($F116,People!$B$30:$B$36,0)),1,0)))))</f>
        <v/>
      </c>
      <c r="AB116" s="32">
        <f>IF(OR($T116=0,$I116=""),0,IF(OR($I116=$A116,COUNTIF($A$4:$A$153,$I116)=0),1,IF(INDEX($B$4:$B$153,MATCH($I116,$A$4:$A$153,0))&gt;$B116,1,0)))</f>
        <v/>
      </c>
      <c r="AC116" s="32">
        <f>IF(AND($V116=1,LEN(TRIM($G116))=0),1,0)</f>
        <v/>
      </c>
      <c r="AD116" s="32">
        <f>IF($T116=0,0,IFERROR(VALUE(MID($A116,4,9)),0))</f>
        <v/>
      </c>
    </row>
    <row r="117" ht="18" customHeight="1">
      <c r="A117" s="27" t="n"/>
      <c r="B117" s="28" t="n"/>
      <c r="C117" s="29" t="n"/>
      <c r="D117" s="29" t="n"/>
      <c r="E117" s="29" t="n"/>
      <c r="F117" s="29" t="n"/>
      <c r="G117" s="29" t="n"/>
      <c r="H117" s="29" t="n"/>
      <c r="I117" s="27" t="n"/>
      <c r="J117" s="30">
        <f>IF(OR($T117=0,$U117=0),"",INDEX($A$4:$A$153,MATCH($A117,$I$4:$I$153,0)))</f>
        <v/>
      </c>
      <c r="K117" s="31">
        <f>IF($T117=0,"",IF(COUNTIF($X117:$AC117,"&gt;0")=0,"○ Clear",TRIM("△ "&amp;COUNTIF($X117:$AC117,"&gt;0")&amp;IF(COUNTIF($X117:$AC117,"&gt;0")=1," problem: "," problems: ")&amp;IF($X117&gt;0,"Decided by needs one name from People, and a body needs members and a signer. ","")&amp;IF($Y117&gt;0,"Why or evidence needs the reason itself, in three words or more. ","")&amp;IF($Z117&gt;0,"Date needs the day it was decided, no later than As of. ","")&amp;IF($AA117=1,IF(ISNA(MATCH($F117,People!$B$30:$B$36,0)),"Gate isn't one of the gate names on People. ","People names "&amp;INDEX(People!$C$30:$C$36,MATCH($F117,People!$B$30:$B$36,0))&amp;" to decide "&amp;$F117&amp;". "),IF($AA117=2,"People names nobody to decide "&amp;$F117&amp;". ",IF($AA117=3,"The Decision opens with a gate's name, so pick that gate in Gate. ","")))&amp;IF($AB117&gt;0,"Replaces needs the Id of a row dated no later than this one. ","")&amp;IF($AC117&gt;0,"Record elsewhere needs the name of the record the other file keeps. ",""))))</f>
        <v/>
      </c>
      <c r="T117" s="32">
        <f>IF(COUNTA($A117:$I117)&gt;0,1,0)</f>
        <v/>
      </c>
      <c r="U117" s="32">
        <f>IF(OR($T117=0,$A117=""),0,IF(COUNTIF($I$4:$I$153,$A117)&gt;0,1,0))</f>
        <v/>
      </c>
      <c r="V117" s="32">
        <f>IF(AND($T117=1,$H117&lt;&gt;"",$H117&lt;&gt;"This log"),1,0)</f>
        <v/>
      </c>
      <c r="W117" s="26">
        <f>IF($T117=0,"",","&amp;SUBSTITUTE(SUBSTITUTE($G117&amp;","&amp;$F117," ",""),";",",")&amp;",")</f>
        <v/>
      </c>
      <c r="X117" s="32">
        <f>IF($T117=0,0,IF(LEN(TRIM($D117))=0,1,IF(COUNTIF(People!$D$6:$D$25,TRIM($D117))=0,1,IF(INDEX(People!$E$6:$E$25,MATCH(TRIM($D117),People!$D$6:$D$25,0))&lt;&gt;"Body",0,IF(OR(LEN(TRIM(INDEX(People!$F$6:$F$25,MATCH(TRIM($D117),People!$D$6:$D$25,0))))=0,LEN(TRIM(INDEX(People!$G$6:$G$25,MATCH(TRIM($D117),People!$D$6:$D$25,0))))=0),1,0)))))</f>
        <v/>
      </c>
      <c r="Y117" s="32">
        <f>IF($T117=0,0,IF(LEN(TRIM($E117))=0,1,IF(LEN(TRIM($E117))-LEN(SUBSTITUTE(TRIM($E117)," ",""))+1&lt;3,1,IF(SUMPRODUCT((People!$J$6:$J$12&lt;&gt;"")*(LEFT(LOWER(TRIM($E117))&amp;" ",LEN(People!$J$6:$J$12)+1)=LOWER(People!$J$6:$J$12)&amp;" "))&gt;0,1,0))))</f>
        <v/>
      </c>
      <c r="Z117" s="32">
        <f>IF($T117=0,0,IF(NOT(ISNUMBER($B117)),1,IF($B117&gt;Summary!$K$3,1,0)))</f>
        <v/>
      </c>
      <c r="AA117" s="32">
        <f>IF($T117=0,0,IF($F117="",IF(SUMPRODUCT(--(LOWER(LEFT($C117,LEN(People!$B$30:$B$36)+1))=LOWER(People!$B$30:$B$36)&amp;":"))&gt;0,3,0),IF(ISNA(MATCH($F117,People!$B$30:$B$36,0)),1,IF(LEN(INDEX(People!$C$30:$C$36,MATCH($F117,People!$B$30:$B$36,0))&amp;"")=0,2,IF(TRIM($D117)&lt;&gt;INDEX(People!$C$30:$C$36,MATCH($F117,People!$B$30:$B$36,0)),1,0)))))</f>
        <v/>
      </c>
      <c r="AB117" s="32">
        <f>IF(OR($T117=0,$I117=""),0,IF(OR($I117=$A117,COUNTIF($A$4:$A$153,$I117)=0),1,IF(INDEX($B$4:$B$153,MATCH($I117,$A$4:$A$153,0))&gt;$B117,1,0)))</f>
        <v/>
      </c>
      <c r="AC117" s="32">
        <f>IF(AND($V117=1,LEN(TRIM($G117))=0),1,0)</f>
        <v/>
      </c>
      <c r="AD117" s="32">
        <f>IF($T117=0,0,IFERROR(VALUE(MID($A117,4,9)),0))</f>
        <v/>
      </c>
    </row>
    <row r="118" ht="18" customHeight="1">
      <c r="A118" s="27" t="n"/>
      <c r="B118" s="28" t="n"/>
      <c r="C118" s="29" t="n"/>
      <c r="D118" s="29" t="n"/>
      <c r="E118" s="29" t="n"/>
      <c r="F118" s="29" t="n"/>
      <c r="G118" s="29" t="n"/>
      <c r="H118" s="29" t="n"/>
      <c r="I118" s="27" t="n"/>
      <c r="J118" s="30">
        <f>IF(OR($T118=0,$U118=0),"",INDEX($A$4:$A$153,MATCH($A118,$I$4:$I$153,0)))</f>
        <v/>
      </c>
      <c r="K118" s="31">
        <f>IF($T118=0,"",IF(COUNTIF($X118:$AC118,"&gt;0")=0,"○ Clear",TRIM("△ "&amp;COUNTIF($X118:$AC118,"&gt;0")&amp;IF(COUNTIF($X118:$AC118,"&gt;0")=1," problem: "," problems: ")&amp;IF($X118&gt;0,"Decided by needs one name from People, and a body needs members and a signer. ","")&amp;IF($Y118&gt;0,"Why or evidence needs the reason itself, in three words or more. ","")&amp;IF($Z118&gt;0,"Date needs the day it was decided, no later than As of. ","")&amp;IF($AA118=1,IF(ISNA(MATCH($F118,People!$B$30:$B$36,0)),"Gate isn't one of the gate names on People. ","People names "&amp;INDEX(People!$C$30:$C$36,MATCH($F118,People!$B$30:$B$36,0))&amp;" to decide "&amp;$F118&amp;". "),IF($AA118=2,"People names nobody to decide "&amp;$F118&amp;". ",IF($AA118=3,"The Decision opens with a gate's name, so pick that gate in Gate. ","")))&amp;IF($AB118&gt;0,"Replaces needs the Id of a row dated no later than this one. ","")&amp;IF($AC118&gt;0,"Record elsewhere needs the name of the record the other file keeps. ",""))))</f>
        <v/>
      </c>
      <c r="T118" s="32">
        <f>IF(COUNTA($A118:$I118)&gt;0,1,0)</f>
        <v/>
      </c>
      <c r="U118" s="32">
        <f>IF(OR($T118=0,$A118=""),0,IF(COUNTIF($I$4:$I$153,$A118)&gt;0,1,0))</f>
        <v/>
      </c>
      <c r="V118" s="32">
        <f>IF(AND($T118=1,$H118&lt;&gt;"",$H118&lt;&gt;"This log"),1,0)</f>
        <v/>
      </c>
      <c r="W118" s="26">
        <f>IF($T118=0,"",","&amp;SUBSTITUTE(SUBSTITUTE($G118&amp;","&amp;$F118," ",""),";",",")&amp;",")</f>
        <v/>
      </c>
      <c r="X118" s="32">
        <f>IF($T118=0,0,IF(LEN(TRIM($D118))=0,1,IF(COUNTIF(People!$D$6:$D$25,TRIM($D118))=0,1,IF(INDEX(People!$E$6:$E$25,MATCH(TRIM($D118),People!$D$6:$D$25,0))&lt;&gt;"Body",0,IF(OR(LEN(TRIM(INDEX(People!$F$6:$F$25,MATCH(TRIM($D118),People!$D$6:$D$25,0))))=0,LEN(TRIM(INDEX(People!$G$6:$G$25,MATCH(TRIM($D118),People!$D$6:$D$25,0))))=0),1,0)))))</f>
        <v/>
      </c>
      <c r="Y118" s="32">
        <f>IF($T118=0,0,IF(LEN(TRIM($E118))=0,1,IF(LEN(TRIM($E118))-LEN(SUBSTITUTE(TRIM($E118)," ",""))+1&lt;3,1,IF(SUMPRODUCT((People!$J$6:$J$12&lt;&gt;"")*(LEFT(LOWER(TRIM($E118))&amp;" ",LEN(People!$J$6:$J$12)+1)=LOWER(People!$J$6:$J$12)&amp;" "))&gt;0,1,0))))</f>
        <v/>
      </c>
      <c r="Z118" s="32">
        <f>IF($T118=0,0,IF(NOT(ISNUMBER($B118)),1,IF($B118&gt;Summary!$K$3,1,0)))</f>
        <v/>
      </c>
      <c r="AA118" s="32">
        <f>IF($T118=0,0,IF($F118="",IF(SUMPRODUCT(--(LOWER(LEFT($C118,LEN(People!$B$30:$B$36)+1))=LOWER(People!$B$30:$B$36)&amp;":"))&gt;0,3,0),IF(ISNA(MATCH($F118,People!$B$30:$B$36,0)),1,IF(LEN(INDEX(People!$C$30:$C$36,MATCH($F118,People!$B$30:$B$36,0))&amp;"")=0,2,IF(TRIM($D118)&lt;&gt;INDEX(People!$C$30:$C$36,MATCH($F118,People!$B$30:$B$36,0)),1,0)))))</f>
        <v/>
      </c>
      <c r="AB118" s="32">
        <f>IF(OR($T118=0,$I118=""),0,IF(OR($I118=$A118,COUNTIF($A$4:$A$153,$I118)=0),1,IF(INDEX($B$4:$B$153,MATCH($I118,$A$4:$A$153,0))&gt;$B118,1,0)))</f>
        <v/>
      </c>
      <c r="AC118" s="32">
        <f>IF(AND($V118=1,LEN(TRIM($G118))=0),1,0)</f>
        <v/>
      </c>
      <c r="AD118" s="32">
        <f>IF($T118=0,0,IFERROR(VALUE(MID($A118,4,9)),0))</f>
        <v/>
      </c>
    </row>
    <row r="119" ht="18" customHeight="1">
      <c r="A119" s="27" t="n"/>
      <c r="B119" s="28" t="n"/>
      <c r="C119" s="29" t="n"/>
      <c r="D119" s="29" t="n"/>
      <c r="E119" s="29" t="n"/>
      <c r="F119" s="29" t="n"/>
      <c r="G119" s="29" t="n"/>
      <c r="H119" s="29" t="n"/>
      <c r="I119" s="27" t="n"/>
      <c r="J119" s="30">
        <f>IF(OR($T119=0,$U119=0),"",INDEX($A$4:$A$153,MATCH($A119,$I$4:$I$153,0)))</f>
        <v/>
      </c>
      <c r="K119" s="31">
        <f>IF($T119=0,"",IF(COUNTIF($X119:$AC119,"&gt;0")=0,"○ Clear",TRIM("△ "&amp;COUNTIF($X119:$AC119,"&gt;0")&amp;IF(COUNTIF($X119:$AC119,"&gt;0")=1," problem: "," problems: ")&amp;IF($X119&gt;0,"Decided by needs one name from People, and a body needs members and a signer. ","")&amp;IF($Y119&gt;0,"Why or evidence needs the reason itself, in three words or more. ","")&amp;IF($Z119&gt;0,"Date needs the day it was decided, no later than As of. ","")&amp;IF($AA119=1,IF(ISNA(MATCH($F119,People!$B$30:$B$36,0)),"Gate isn't one of the gate names on People. ","People names "&amp;INDEX(People!$C$30:$C$36,MATCH($F119,People!$B$30:$B$36,0))&amp;" to decide "&amp;$F119&amp;". "),IF($AA119=2,"People names nobody to decide "&amp;$F119&amp;". ",IF($AA119=3,"The Decision opens with a gate's name, so pick that gate in Gate. ","")))&amp;IF($AB119&gt;0,"Replaces needs the Id of a row dated no later than this one. ","")&amp;IF($AC119&gt;0,"Record elsewhere needs the name of the record the other file keeps. ",""))))</f>
        <v/>
      </c>
      <c r="T119" s="32">
        <f>IF(COUNTA($A119:$I119)&gt;0,1,0)</f>
        <v/>
      </c>
      <c r="U119" s="32">
        <f>IF(OR($T119=0,$A119=""),0,IF(COUNTIF($I$4:$I$153,$A119)&gt;0,1,0))</f>
        <v/>
      </c>
      <c r="V119" s="32">
        <f>IF(AND($T119=1,$H119&lt;&gt;"",$H119&lt;&gt;"This log"),1,0)</f>
        <v/>
      </c>
      <c r="W119" s="26">
        <f>IF($T119=0,"",","&amp;SUBSTITUTE(SUBSTITUTE($G119&amp;","&amp;$F119," ",""),";",",")&amp;",")</f>
        <v/>
      </c>
      <c r="X119" s="32">
        <f>IF($T119=0,0,IF(LEN(TRIM($D119))=0,1,IF(COUNTIF(People!$D$6:$D$25,TRIM($D119))=0,1,IF(INDEX(People!$E$6:$E$25,MATCH(TRIM($D119),People!$D$6:$D$25,0))&lt;&gt;"Body",0,IF(OR(LEN(TRIM(INDEX(People!$F$6:$F$25,MATCH(TRIM($D119),People!$D$6:$D$25,0))))=0,LEN(TRIM(INDEX(People!$G$6:$G$25,MATCH(TRIM($D119),People!$D$6:$D$25,0))))=0),1,0)))))</f>
        <v/>
      </c>
      <c r="Y119" s="32">
        <f>IF($T119=0,0,IF(LEN(TRIM($E119))=0,1,IF(LEN(TRIM($E119))-LEN(SUBSTITUTE(TRIM($E119)," ",""))+1&lt;3,1,IF(SUMPRODUCT((People!$J$6:$J$12&lt;&gt;"")*(LEFT(LOWER(TRIM($E119))&amp;" ",LEN(People!$J$6:$J$12)+1)=LOWER(People!$J$6:$J$12)&amp;" "))&gt;0,1,0))))</f>
        <v/>
      </c>
      <c r="Z119" s="32">
        <f>IF($T119=0,0,IF(NOT(ISNUMBER($B119)),1,IF($B119&gt;Summary!$K$3,1,0)))</f>
        <v/>
      </c>
      <c r="AA119" s="32">
        <f>IF($T119=0,0,IF($F119="",IF(SUMPRODUCT(--(LOWER(LEFT($C119,LEN(People!$B$30:$B$36)+1))=LOWER(People!$B$30:$B$36)&amp;":"))&gt;0,3,0),IF(ISNA(MATCH($F119,People!$B$30:$B$36,0)),1,IF(LEN(INDEX(People!$C$30:$C$36,MATCH($F119,People!$B$30:$B$36,0))&amp;"")=0,2,IF(TRIM($D119)&lt;&gt;INDEX(People!$C$30:$C$36,MATCH($F119,People!$B$30:$B$36,0)),1,0)))))</f>
        <v/>
      </c>
      <c r="AB119" s="32">
        <f>IF(OR($T119=0,$I119=""),0,IF(OR($I119=$A119,COUNTIF($A$4:$A$153,$I119)=0),1,IF(INDEX($B$4:$B$153,MATCH($I119,$A$4:$A$153,0))&gt;$B119,1,0)))</f>
        <v/>
      </c>
      <c r="AC119" s="32">
        <f>IF(AND($V119=1,LEN(TRIM($G119))=0),1,0)</f>
        <v/>
      </c>
      <c r="AD119" s="32">
        <f>IF($T119=0,0,IFERROR(VALUE(MID($A119,4,9)),0))</f>
        <v/>
      </c>
    </row>
    <row r="120" ht="18" customHeight="1">
      <c r="A120" s="27" t="n"/>
      <c r="B120" s="28" t="n"/>
      <c r="C120" s="29" t="n"/>
      <c r="D120" s="29" t="n"/>
      <c r="E120" s="29" t="n"/>
      <c r="F120" s="29" t="n"/>
      <c r="G120" s="29" t="n"/>
      <c r="H120" s="29" t="n"/>
      <c r="I120" s="27" t="n"/>
      <c r="J120" s="30">
        <f>IF(OR($T120=0,$U120=0),"",INDEX($A$4:$A$153,MATCH($A120,$I$4:$I$153,0)))</f>
        <v/>
      </c>
      <c r="K120" s="31">
        <f>IF($T120=0,"",IF(COUNTIF($X120:$AC120,"&gt;0")=0,"○ Clear",TRIM("△ "&amp;COUNTIF($X120:$AC120,"&gt;0")&amp;IF(COUNTIF($X120:$AC120,"&gt;0")=1," problem: "," problems: ")&amp;IF($X120&gt;0,"Decided by needs one name from People, and a body needs members and a signer. ","")&amp;IF($Y120&gt;0,"Why or evidence needs the reason itself, in three words or more. ","")&amp;IF($Z120&gt;0,"Date needs the day it was decided, no later than As of. ","")&amp;IF($AA120=1,IF(ISNA(MATCH($F120,People!$B$30:$B$36,0)),"Gate isn't one of the gate names on People. ","People names "&amp;INDEX(People!$C$30:$C$36,MATCH($F120,People!$B$30:$B$36,0))&amp;" to decide "&amp;$F120&amp;". "),IF($AA120=2,"People names nobody to decide "&amp;$F120&amp;". ",IF($AA120=3,"The Decision opens with a gate's name, so pick that gate in Gate. ","")))&amp;IF($AB120&gt;0,"Replaces needs the Id of a row dated no later than this one. ","")&amp;IF($AC120&gt;0,"Record elsewhere needs the name of the record the other file keeps. ",""))))</f>
        <v/>
      </c>
      <c r="T120" s="32">
        <f>IF(COUNTA($A120:$I120)&gt;0,1,0)</f>
        <v/>
      </c>
      <c r="U120" s="32">
        <f>IF(OR($T120=0,$A120=""),0,IF(COUNTIF($I$4:$I$153,$A120)&gt;0,1,0))</f>
        <v/>
      </c>
      <c r="V120" s="32">
        <f>IF(AND($T120=1,$H120&lt;&gt;"",$H120&lt;&gt;"This log"),1,0)</f>
        <v/>
      </c>
      <c r="W120" s="26">
        <f>IF($T120=0,"",","&amp;SUBSTITUTE(SUBSTITUTE($G120&amp;","&amp;$F120," ",""),";",",")&amp;",")</f>
        <v/>
      </c>
      <c r="X120" s="32">
        <f>IF($T120=0,0,IF(LEN(TRIM($D120))=0,1,IF(COUNTIF(People!$D$6:$D$25,TRIM($D120))=0,1,IF(INDEX(People!$E$6:$E$25,MATCH(TRIM($D120),People!$D$6:$D$25,0))&lt;&gt;"Body",0,IF(OR(LEN(TRIM(INDEX(People!$F$6:$F$25,MATCH(TRIM($D120),People!$D$6:$D$25,0))))=0,LEN(TRIM(INDEX(People!$G$6:$G$25,MATCH(TRIM($D120),People!$D$6:$D$25,0))))=0),1,0)))))</f>
        <v/>
      </c>
      <c r="Y120" s="32">
        <f>IF($T120=0,0,IF(LEN(TRIM($E120))=0,1,IF(LEN(TRIM($E120))-LEN(SUBSTITUTE(TRIM($E120)," ",""))+1&lt;3,1,IF(SUMPRODUCT((People!$J$6:$J$12&lt;&gt;"")*(LEFT(LOWER(TRIM($E120))&amp;" ",LEN(People!$J$6:$J$12)+1)=LOWER(People!$J$6:$J$12)&amp;" "))&gt;0,1,0))))</f>
        <v/>
      </c>
      <c r="Z120" s="32">
        <f>IF($T120=0,0,IF(NOT(ISNUMBER($B120)),1,IF($B120&gt;Summary!$K$3,1,0)))</f>
        <v/>
      </c>
      <c r="AA120" s="32">
        <f>IF($T120=0,0,IF($F120="",IF(SUMPRODUCT(--(LOWER(LEFT($C120,LEN(People!$B$30:$B$36)+1))=LOWER(People!$B$30:$B$36)&amp;":"))&gt;0,3,0),IF(ISNA(MATCH($F120,People!$B$30:$B$36,0)),1,IF(LEN(INDEX(People!$C$30:$C$36,MATCH($F120,People!$B$30:$B$36,0))&amp;"")=0,2,IF(TRIM($D120)&lt;&gt;INDEX(People!$C$30:$C$36,MATCH($F120,People!$B$30:$B$36,0)),1,0)))))</f>
        <v/>
      </c>
      <c r="AB120" s="32">
        <f>IF(OR($T120=0,$I120=""),0,IF(OR($I120=$A120,COUNTIF($A$4:$A$153,$I120)=0),1,IF(INDEX($B$4:$B$153,MATCH($I120,$A$4:$A$153,0))&gt;$B120,1,0)))</f>
        <v/>
      </c>
      <c r="AC120" s="32">
        <f>IF(AND($V120=1,LEN(TRIM($G120))=0),1,0)</f>
        <v/>
      </c>
      <c r="AD120" s="32">
        <f>IF($T120=0,0,IFERROR(VALUE(MID($A120,4,9)),0))</f>
        <v/>
      </c>
    </row>
    <row r="121" ht="18" customHeight="1">
      <c r="A121" s="27" t="n"/>
      <c r="B121" s="28" t="n"/>
      <c r="C121" s="29" t="n"/>
      <c r="D121" s="29" t="n"/>
      <c r="E121" s="29" t="n"/>
      <c r="F121" s="29" t="n"/>
      <c r="G121" s="29" t="n"/>
      <c r="H121" s="29" t="n"/>
      <c r="I121" s="27" t="n"/>
      <c r="J121" s="30">
        <f>IF(OR($T121=0,$U121=0),"",INDEX($A$4:$A$153,MATCH($A121,$I$4:$I$153,0)))</f>
        <v/>
      </c>
      <c r="K121" s="31">
        <f>IF($T121=0,"",IF(COUNTIF($X121:$AC121,"&gt;0")=0,"○ Clear",TRIM("△ "&amp;COUNTIF($X121:$AC121,"&gt;0")&amp;IF(COUNTIF($X121:$AC121,"&gt;0")=1," problem: "," problems: ")&amp;IF($X121&gt;0,"Decided by needs one name from People, and a body needs members and a signer. ","")&amp;IF($Y121&gt;0,"Why or evidence needs the reason itself, in three words or more. ","")&amp;IF($Z121&gt;0,"Date needs the day it was decided, no later than As of. ","")&amp;IF($AA121=1,IF(ISNA(MATCH($F121,People!$B$30:$B$36,0)),"Gate isn't one of the gate names on People. ","People names "&amp;INDEX(People!$C$30:$C$36,MATCH($F121,People!$B$30:$B$36,0))&amp;" to decide "&amp;$F121&amp;". "),IF($AA121=2,"People names nobody to decide "&amp;$F121&amp;". ",IF($AA121=3,"The Decision opens with a gate's name, so pick that gate in Gate. ","")))&amp;IF($AB121&gt;0,"Replaces needs the Id of a row dated no later than this one. ","")&amp;IF($AC121&gt;0,"Record elsewhere needs the name of the record the other file keeps. ",""))))</f>
        <v/>
      </c>
      <c r="T121" s="32">
        <f>IF(COUNTA($A121:$I121)&gt;0,1,0)</f>
        <v/>
      </c>
      <c r="U121" s="32">
        <f>IF(OR($T121=0,$A121=""),0,IF(COUNTIF($I$4:$I$153,$A121)&gt;0,1,0))</f>
        <v/>
      </c>
      <c r="V121" s="32">
        <f>IF(AND($T121=1,$H121&lt;&gt;"",$H121&lt;&gt;"This log"),1,0)</f>
        <v/>
      </c>
      <c r="W121" s="26">
        <f>IF($T121=0,"",","&amp;SUBSTITUTE(SUBSTITUTE($G121&amp;","&amp;$F121," ",""),";",",")&amp;",")</f>
        <v/>
      </c>
      <c r="X121" s="32">
        <f>IF($T121=0,0,IF(LEN(TRIM($D121))=0,1,IF(COUNTIF(People!$D$6:$D$25,TRIM($D121))=0,1,IF(INDEX(People!$E$6:$E$25,MATCH(TRIM($D121),People!$D$6:$D$25,0))&lt;&gt;"Body",0,IF(OR(LEN(TRIM(INDEX(People!$F$6:$F$25,MATCH(TRIM($D121),People!$D$6:$D$25,0))))=0,LEN(TRIM(INDEX(People!$G$6:$G$25,MATCH(TRIM($D121),People!$D$6:$D$25,0))))=0),1,0)))))</f>
        <v/>
      </c>
      <c r="Y121" s="32">
        <f>IF($T121=0,0,IF(LEN(TRIM($E121))=0,1,IF(LEN(TRIM($E121))-LEN(SUBSTITUTE(TRIM($E121)," ",""))+1&lt;3,1,IF(SUMPRODUCT((People!$J$6:$J$12&lt;&gt;"")*(LEFT(LOWER(TRIM($E121))&amp;" ",LEN(People!$J$6:$J$12)+1)=LOWER(People!$J$6:$J$12)&amp;" "))&gt;0,1,0))))</f>
        <v/>
      </c>
      <c r="Z121" s="32">
        <f>IF($T121=0,0,IF(NOT(ISNUMBER($B121)),1,IF($B121&gt;Summary!$K$3,1,0)))</f>
        <v/>
      </c>
      <c r="AA121" s="32">
        <f>IF($T121=0,0,IF($F121="",IF(SUMPRODUCT(--(LOWER(LEFT($C121,LEN(People!$B$30:$B$36)+1))=LOWER(People!$B$30:$B$36)&amp;":"))&gt;0,3,0),IF(ISNA(MATCH($F121,People!$B$30:$B$36,0)),1,IF(LEN(INDEX(People!$C$30:$C$36,MATCH($F121,People!$B$30:$B$36,0))&amp;"")=0,2,IF(TRIM($D121)&lt;&gt;INDEX(People!$C$30:$C$36,MATCH($F121,People!$B$30:$B$36,0)),1,0)))))</f>
        <v/>
      </c>
      <c r="AB121" s="32">
        <f>IF(OR($T121=0,$I121=""),0,IF(OR($I121=$A121,COUNTIF($A$4:$A$153,$I121)=0),1,IF(INDEX($B$4:$B$153,MATCH($I121,$A$4:$A$153,0))&gt;$B121,1,0)))</f>
        <v/>
      </c>
      <c r="AC121" s="32">
        <f>IF(AND($V121=1,LEN(TRIM($G121))=0),1,0)</f>
        <v/>
      </c>
      <c r="AD121" s="32">
        <f>IF($T121=0,0,IFERROR(VALUE(MID($A121,4,9)),0))</f>
        <v/>
      </c>
    </row>
    <row r="122" ht="18" customHeight="1">
      <c r="A122" s="27" t="n"/>
      <c r="B122" s="28" t="n"/>
      <c r="C122" s="29" t="n"/>
      <c r="D122" s="29" t="n"/>
      <c r="E122" s="29" t="n"/>
      <c r="F122" s="29" t="n"/>
      <c r="G122" s="29" t="n"/>
      <c r="H122" s="29" t="n"/>
      <c r="I122" s="27" t="n"/>
      <c r="J122" s="30">
        <f>IF(OR($T122=0,$U122=0),"",INDEX($A$4:$A$153,MATCH($A122,$I$4:$I$153,0)))</f>
        <v/>
      </c>
      <c r="K122" s="31">
        <f>IF($T122=0,"",IF(COUNTIF($X122:$AC122,"&gt;0")=0,"○ Clear",TRIM("△ "&amp;COUNTIF($X122:$AC122,"&gt;0")&amp;IF(COUNTIF($X122:$AC122,"&gt;0")=1," problem: "," problems: ")&amp;IF($X122&gt;0,"Decided by needs one name from People, and a body needs members and a signer. ","")&amp;IF($Y122&gt;0,"Why or evidence needs the reason itself, in three words or more. ","")&amp;IF($Z122&gt;0,"Date needs the day it was decided, no later than As of. ","")&amp;IF($AA122=1,IF(ISNA(MATCH($F122,People!$B$30:$B$36,0)),"Gate isn't one of the gate names on People. ","People names "&amp;INDEX(People!$C$30:$C$36,MATCH($F122,People!$B$30:$B$36,0))&amp;" to decide "&amp;$F122&amp;". "),IF($AA122=2,"People names nobody to decide "&amp;$F122&amp;". ",IF($AA122=3,"The Decision opens with a gate's name, so pick that gate in Gate. ","")))&amp;IF($AB122&gt;0,"Replaces needs the Id of a row dated no later than this one. ","")&amp;IF($AC122&gt;0,"Record elsewhere needs the name of the record the other file keeps. ",""))))</f>
        <v/>
      </c>
      <c r="T122" s="32">
        <f>IF(COUNTA($A122:$I122)&gt;0,1,0)</f>
        <v/>
      </c>
      <c r="U122" s="32">
        <f>IF(OR($T122=0,$A122=""),0,IF(COUNTIF($I$4:$I$153,$A122)&gt;0,1,0))</f>
        <v/>
      </c>
      <c r="V122" s="32">
        <f>IF(AND($T122=1,$H122&lt;&gt;"",$H122&lt;&gt;"This log"),1,0)</f>
        <v/>
      </c>
      <c r="W122" s="26">
        <f>IF($T122=0,"",","&amp;SUBSTITUTE(SUBSTITUTE($G122&amp;","&amp;$F122," ",""),";",",")&amp;",")</f>
        <v/>
      </c>
      <c r="X122" s="32">
        <f>IF($T122=0,0,IF(LEN(TRIM($D122))=0,1,IF(COUNTIF(People!$D$6:$D$25,TRIM($D122))=0,1,IF(INDEX(People!$E$6:$E$25,MATCH(TRIM($D122),People!$D$6:$D$25,0))&lt;&gt;"Body",0,IF(OR(LEN(TRIM(INDEX(People!$F$6:$F$25,MATCH(TRIM($D122),People!$D$6:$D$25,0))))=0,LEN(TRIM(INDEX(People!$G$6:$G$25,MATCH(TRIM($D122),People!$D$6:$D$25,0))))=0),1,0)))))</f>
        <v/>
      </c>
      <c r="Y122" s="32">
        <f>IF($T122=0,0,IF(LEN(TRIM($E122))=0,1,IF(LEN(TRIM($E122))-LEN(SUBSTITUTE(TRIM($E122)," ",""))+1&lt;3,1,IF(SUMPRODUCT((People!$J$6:$J$12&lt;&gt;"")*(LEFT(LOWER(TRIM($E122))&amp;" ",LEN(People!$J$6:$J$12)+1)=LOWER(People!$J$6:$J$12)&amp;" "))&gt;0,1,0))))</f>
        <v/>
      </c>
      <c r="Z122" s="32">
        <f>IF($T122=0,0,IF(NOT(ISNUMBER($B122)),1,IF($B122&gt;Summary!$K$3,1,0)))</f>
        <v/>
      </c>
      <c r="AA122" s="32">
        <f>IF($T122=0,0,IF($F122="",IF(SUMPRODUCT(--(LOWER(LEFT($C122,LEN(People!$B$30:$B$36)+1))=LOWER(People!$B$30:$B$36)&amp;":"))&gt;0,3,0),IF(ISNA(MATCH($F122,People!$B$30:$B$36,0)),1,IF(LEN(INDEX(People!$C$30:$C$36,MATCH($F122,People!$B$30:$B$36,0))&amp;"")=0,2,IF(TRIM($D122)&lt;&gt;INDEX(People!$C$30:$C$36,MATCH($F122,People!$B$30:$B$36,0)),1,0)))))</f>
        <v/>
      </c>
      <c r="AB122" s="32">
        <f>IF(OR($T122=0,$I122=""),0,IF(OR($I122=$A122,COUNTIF($A$4:$A$153,$I122)=0),1,IF(INDEX($B$4:$B$153,MATCH($I122,$A$4:$A$153,0))&gt;$B122,1,0)))</f>
        <v/>
      </c>
      <c r="AC122" s="32">
        <f>IF(AND($V122=1,LEN(TRIM($G122))=0),1,0)</f>
        <v/>
      </c>
      <c r="AD122" s="32">
        <f>IF($T122=0,0,IFERROR(VALUE(MID($A122,4,9)),0))</f>
        <v/>
      </c>
    </row>
    <row r="123" ht="18" customHeight="1">
      <c r="A123" s="27" t="n"/>
      <c r="B123" s="28" t="n"/>
      <c r="C123" s="29" t="n"/>
      <c r="D123" s="29" t="n"/>
      <c r="E123" s="29" t="n"/>
      <c r="F123" s="29" t="n"/>
      <c r="G123" s="29" t="n"/>
      <c r="H123" s="29" t="n"/>
      <c r="I123" s="27" t="n"/>
      <c r="J123" s="30">
        <f>IF(OR($T123=0,$U123=0),"",INDEX($A$4:$A$153,MATCH($A123,$I$4:$I$153,0)))</f>
        <v/>
      </c>
      <c r="K123" s="31">
        <f>IF($T123=0,"",IF(COUNTIF($X123:$AC123,"&gt;0")=0,"○ Clear",TRIM("△ "&amp;COUNTIF($X123:$AC123,"&gt;0")&amp;IF(COUNTIF($X123:$AC123,"&gt;0")=1," problem: "," problems: ")&amp;IF($X123&gt;0,"Decided by needs one name from People, and a body needs members and a signer. ","")&amp;IF($Y123&gt;0,"Why or evidence needs the reason itself, in three words or more. ","")&amp;IF($Z123&gt;0,"Date needs the day it was decided, no later than As of. ","")&amp;IF($AA123=1,IF(ISNA(MATCH($F123,People!$B$30:$B$36,0)),"Gate isn't one of the gate names on People. ","People names "&amp;INDEX(People!$C$30:$C$36,MATCH($F123,People!$B$30:$B$36,0))&amp;" to decide "&amp;$F123&amp;". "),IF($AA123=2,"People names nobody to decide "&amp;$F123&amp;". ",IF($AA123=3,"The Decision opens with a gate's name, so pick that gate in Gate. ","")))&amp;IF($AB123&gt;0,"Replaces needs the Id of a row dated no later than this one. ","")&amp;IF($AC123&gt;0,"Record elsewhere needs the name of the record the other file keeps. ",""))))</f>
        <v/>
      </c>
      <c r="T123" s="32">
        <f>IF(COUNTA($A123:$I123)&gt;0,1,0)</f>
        <v/>
      </c>
      <c r="U123" s="32">
        <f>IF(OR($T123=0,$A123=""),0,IF(COUNTIF($I$4:$I$153,$A123)&gt;0,1,0))</f>
        <v/>
      </c>
      <c r="V123" s="32">
        <f>IF(AND($T123=1,$H123&lt;&gt;"",$H123&lt;&gt;"This log"),1,0)</f>
        <v/>
      </c>
      <c r="W123" s="26">
        <f>IF($T123=0,"",","&amp;SUBSTITUTE(SUBSTITUTE($G123&amp;","&amp;$F123," ",""),";",",")&amp;",")</f>
        <v/>
      </c>
      <c r="X123" s="32">
        <f>IF($T123=0,0,IF(LEN(TRIM($D123))=0,1,IF(COUNTIF(People!$D$6:$D$25,TRIM($D123))=0,1,IF(INDEX(People!$E$6:$E$25,MATCH(TRIM($D123),People!$D$6:$D$25,0))&lt;&gt;"Body",0,IF(OR(LEN(TRIM(INDEX(People!$F$6:$F$25,MATCH(TRIM($D123),People!$D$6:$D$25,0))))=0,LEN(TRIM(INDEX(People!$G$6:$G$25,MATCH(TRIM($D123),People!$D$6:$D$25,0))))=0),1,0)))))</f>
        <v/>
      </c>
      <c r="Y123" s="32">
        <f>IF($T123=0,0,IF(LEN(TRIM($E123))=0,1,IF(LEN(TRIM($E123))-LEN(SUBSTITUTE(TRIM($E123)," ",""))+1&lt;3,1,IF(SUMPRODUCT((People!$J$6:$J$12&lt;&gt;"")*(LEFT(LOWER(TRIM($E123))&amp;" ",LEN(People!$J$6:$J$12)+1)=LOWER(People!$J$6:$J$12)&amp;" "))&gt;0,1,0))))</f>
        <v/>
      </c>
      <c r="Z123" s="32">
        <f>IF($T123=0,0,IF(NOT(ISNUMBER($B123)),1,IF($B123&gt;Summary!$K$3,1,0)))</f>
        <v/>
      </c>
      <c r="AA123" s="32">
        <f>IF($T123=0,0,IF($F123="",IF(SUMPRODUCT(--(LOWER(LEFT($C123,LEN(People!$B$30:$B$36)+1))=LOWER(People!$B$30:$B$36)&amp;":"))&gt;0,3,0),IF(ISNA(MATCH($F123,People!$B$30:$B$36,0)),1,IF(LEN(INDEX(People!$C$30:$C$36,MATCH($F123,People!$B$30:$B$36,0))&amp;"")=0,2,IF(TRIM($D123)&lt;&gt;INDEX(People!$C$30:$C$36,MATCH($F123,People!$B$30:$B$36,0)),1,0)))))</f>
        <v/>
      </c>
      <c r="AB123" s="32">
        <f>IF(OR($T123=0,$I123=""),0,IF(OR($I123=$A123,COUNTIF($A$4:$A$153,$I123)=0),1,IF(INDEX($B$4:$B$153,MATCH($I123,$A$4:$A$153,0))&gt;$B123,1,0)))</f>
        <v/>
      </c>
      <c r="AC123" s="32">
        <f>IF(AND($V123=1,LEN(TRIM($G123))=0),1,0)</f>
        <v/>
      </c>
      <c r="AD123" s="32">
        <f>IF($T123=0,0,IFERROR(VALUE(MID($A123,4,9)),0))</f>
        <v/>
      </c>
    </row>
    <row r="124" ht="18" customHeight="1">
      <c r="A124" s="27" t="n"/>
      <c r="B124" s="28" t="n"/>
      <c r="C124" s="29" t="n"/>
      <c r="D124" s="29" t="n"/>
      <c r="E124" s="29" t="n"/>
      <c r="F124" s="29" t="n"/>
      <c r="G124" s="29" t="n"/>
      <c r="H124" s="29" t="n"/>
      <c r="I124" s="27" t="n"/>
      <c r="J124" s="30">
        <f>IF(OR($T124=0,$U124=0),"",INDEX($A$4:$A$153,MATCH($A124,$I$4:$I$153,0)))</f>
        <v/>
      </c>
      <c r="K124" s="31">
        <f>IF($T124=0,"",IF(COUNTIF($X124:$AC124,"&gt;0")=0,"○ Clear",TRIM("△ "&amp;COUNTIF($X124:$AC124,"&gt;0")&amp;IF(COUNTIF($X124:$AC124,"&gt;0")=1," problem: "," problems: ")&amp;IF($X124&gt;0,"Decided by needs one name from People, and a body needs members and a signer. ","")&amp;IF($Y124&gt;0,"Why or evidence needs the reason itself, in three words or more. ","")&amp;IF($Z124&gt;0,"Date needs the day it was decided, no later than As of. ","")&amp;IF($AA124=1,IF(ISNA(MATCH($F124,People!$B$30:$B$36,0)),"Gate isn't one of the gate names on People. ","People names "&amp;INDEX(People!$C$30:$C$36,MATCH($F124,People!$B$30:$B$36,0))&amp;" to decide "&amp;$F124&amp;". "),IF($AA124=2,"People names nobody to decide "&amp;$F124&amp;". ",IF($AA124=3,"The Decision opens with a gate's name, so pick that gate in Gate. ","")))&amp;IF($AB124&gt;0,"Replaces needs the Id of a row dated no later than this one. ","")&amp;IF($AC124&gt;0,"Record elsewhere needs the name of the record the other file keeps. ",""))))</f>
        <v/>
      </c>
      <c r="T124" s="32">
        <f>IF(COUNTA($A124:$I124)&gt;0,1,0)</f>
        <v/>
      </c>
      <c r="U124" s="32">
        <f>IF(OR($T124=0,$A124=""),0,IF(COUNTIF($I$4:$I$153,$A124)&gt;0,1,0))</f>
        <v/>
      </c>
      <c r="V124" s="32">
        <f>IF(AND($T124=1,$H124&lt;&gt;"",$H124&lt;&gt;"This log"),1,0)</f>
        <v/>
      </c>
      <c r="W124" s="26">
        <f>IF($T124=0,"",","&amp;SUBSTITUTE(SUBSTITUTE($G124&amp;","&amp;$F124," ",""),";",",")&amp;",")</f>
        <v/>
      </c>
      <c r="X124" s="32">
        <f>IF($T124=0,0,IF(LEN(TRIM($D124))=0,1,IF(COUNTIF(People!$D$6:$D$25,TRIM($D124))=0,1,IF(INDEX(People!$E$6:$E$25,MATCH(TRIM($D124),People!$D$6:$D$25,0))&lt;&gt;"Body",0,IF(OR(LEN(TRIM(INDEX(People!$F$6:$F$25,MATCH(TRIM($D124),People!$D$6:$D$25,0))))=0,LEN(TRIM(INDEX(People!$G$6:$G$25,MATCH(TRIM($D124),People!$D$6:$D$25,0))))=0),1,0)))))</f>
        <v/>
      </c>
      <c r="Y124" s="32">
        <f>IF($T124=0,0,IF(LEN(TRIM($E124))=0,1,IF(LEN(TRIM($E124))-LEN(SUBSTITUTE(TRIM($E124)," ",""))+1&lt;3,1,IF(SUMPRODUCT((People!$J$6:$J$12&lt;&gt;"")*(LEFT(LOWER(TRIM($E124))&amp;" ",LEN(People!$J$6:$J$12)+1)=LOWER(People!$J$6:$J$12)&amp;" "))&gt;0,1,0))))</f>
        <v/>
      </c>
      <c r="Z124" s="32">
        <f>IF($T124=0,0,IF(NOT(ISNUMBER($B124)),1,IF($B124&gt;Summary!$K$3,1,0)))</f>
        <v/>
      </c>
      <c r="AA124" s="32">
        <f>IF($T124=0,0,IF($F124="",IF(SUMPRODUCT(--(LOWER(LEFT($C124,LEN(People!$B$30:$B$36)+1))=LOWER(People!$B$30:$B$36)&amp;":"))&gt;0,3,0),IF(ISNA(MATCH($F124,People!$B$30:$B$36,0)),1,IF(LEN(INDEX(People!$C$30:$C$36,MATCH($F124,People!$B$30:$B$36,0))&amp;"")=0,2,IF(TRIM($D124)&lt;&gt;INDEX(People!$C$30:$C$36,MATCH($F124,People!$B$30:$B$36,0)),1,0)))))</f>
        <v/>
      </c>
      <c r="AB124" s="32">
        <f>IF(OR($T124=0,$I124=""),0,IF(OR($I124=$A124,COUNTIF($A$4:$A$153,$I124)=0),1,IF(INDEX($B$4:$B$153,MATCH($I124,$A$4:$A$153,0))&gt;$B124,1,0)))</f>
        <v/>
      </c>
      <c r="AC124" s="32">
        <f>IF(AND($V124=1,LEN(TRIM($G124))=0),1,0)</f>
        <v/>
      </c>
      <c r="AD124" s="32">
        <f>IF($T124=0,0,IFERROR(VALUE(MID($A124,4,9)),0))</f>
        <v/>
      </c>
    </row>
    <row r="125" ht="18" customHeight="1">
      <c r="A125" s="27" t="n"/>
      <c r="B125" s="28" t="n"/>
      <c r="C125" s="29" t="n"/>
      <c r="D125" s="29" t="n"/>
      <c r="E125" s="29" t="n"/>
      <c r="F125" s="29" t="n"/>
      <c r="G125" s="29" t="n"/>
      <c r="H125" s="29" t="n"/>
      <c r="I125" s="27" t="n"/>
      <c r="J125" s="30">
        <f>IF(OR($T125=0,$U125=0),"",INDEX($A$4:$A$153,MATCH($A125,$I$4:$I$153,0)))</f>
        <v/>
      </c>
      <c r="K125" s="31">
        <f>IF($T125=0,"",IF(COUNTIF($X125:$AC125,"&gt;0")=0,"○ Clear",TRIM("△ "&amp;COUNTIF($X125:$AC125,"&gt;0")&amp;IF(COUNTIF($X125:$AC125,"&gt;0")=1," problem: "," problems: ")&amp;IF($X125&gt;0,"Decided by needs one name from People, and a body needs members and a signer. ","")&amp;IF($Y125&gt;0,"Why or evidence needs the reason itself, in three words or more. ","")&amp;IF($Z125&gt;0,"Date needs the day it was decided, no later than As of. ","")&amp;IF($AA125=1,IF(ISNA(MATCH($F125,People!$B$30:$B$36,0)),"Gate isn't one of the gate names on People. ","People names "&amp;INDEX(People!$C$30:$C$36,MATCH($F125,People!$B$30:$B$36,0))&amp;" to decide "&amp;$F125&amp;". "),IF($AA125=2,"People names nobody to decide "&amp;$F125&amp;". ",IF($AA125=3,"The Decision opens with a gate's name, so pick that gate in Gate. ","")))&amp;IF($AB125&gt;0,"Replaces needs the Id of a row dated no later than this one. ","")&amp;IF($AC125&gt;0,"Record elsewhere needs the name of the record the other file keeps. ",""))))</f>
        <v/>
      </c>
      <c r="T125" s="32">
        <f>IF(COUNTA($A125:$I125)&gt;0,1,0)</f>
        <v/>
      </c>
      <c r="U125" s="32">
        <f>IF(OR($T125=0,$A125=""),0,IF(COUNTIF($I$4:$I$153,$A125)&gt;0,1,0))</f>
        <v/>
      </c>
      <c r="V125" s="32">
        <f>IF(AND($T125=1,$H125&lt;&gt;"",$H125&lt;&gt;"This log"),1,0)</f>
        <v/>
      </c>
      <c r="W125" s="26">
        <f>IF($T125=0,"",","&amp;SUBSTITUTE(SUBSTITUTE($G125&amp;","&amp;$F125," ",""),";",",")&amp;",")</f>
        <v/>
      </c>
      <c r="X125" s="32">
        <f>IF($T125=0,0,IF(LEN(TRIM($D125))=0,1,IF(COUNTIF(People!$D$6:$D$25,TRIM($D125))=0,1,IF(INDEX(People!$E$6:$E$25,MATCH(TRIM($D125),People!$D$6:$D$25,0))&lt;&gt;"Body",0,IF(OR(LEN(TRIM(INDEX(People!$F$6:$F$25,MATCH(TRIM($D125),People!$D$6:$D$25,0))))=0,LEN(TRIM(INDEX(People!$G$6:$G$25,MATCH(TRIM($D125),People!$D$6:$D$25,0))))=0),1,0)))))</f>
        <v/>
      </c>
      <c r="Y125" s="32">
        <f>IF($T125=0,0,IF(LEN(TRIM($E125))=0,1,IF(LEN(TRIM($E125))-LEN(SUBSTITUTE(TRIM($E125)," ",""))+1&lt;3,1,IF(SUMPRODUCT((People!$J$6:$J$12&lt;&gt;"")*(LEFT(LOWER(TRIM($E125))&amp;" ",LEN(People!$J$6:$J$12)+1)=LOWER(People!$J$6:$J$12)&amp;" "))&gt;0,1,0))))</f>
        <v/>
      </c>
      <c r="Z125" s="32">
        <f>IF($T125=0,0,IF(NOT(ISNUMBER($B125)),1,IF($B125&gt;Summary!$K$3,1,0)))</f>
        <v/>
      </c>
      <c r="AA125" s="32">
        <f>IF($T125=0,0,IF($F125="",IF(SUMPRODUCT(--(LOWER(LEFT($C125,LEN(People!$B$30:$B$36)+1))=LOWER(People!$B$30:$B$36)&amp;":"))&gt;0,3,0),IF(ISNA(MATCH($F125,People!$B$30:$B$36,0)),1,IF(LEN(INDEX(People!$C$30:$C$36,MATCH($F125,People!$B$30:$B$36,0))&amp;"")=0,2,IF(TRIM($D125)&lt;&gt;INDEX(People!$C$30:$C$36,MATCH($F125,People!$B$30:$B$36,0)),1,0)))))</f>
        <v/>
      </c>
      <c r="AB125" s="32">
        <f>IF(OR($T125=0,$I125=""),0,IF(OR($I125=$A125,COUNTIF($A$4:$A$153,$I125)=0),1,IF(INDEX($B$4:$B$153,MATCH($I125,$A$4:$A$153,0))&gt;$B125,1,0)))</f>
        <v/>
      </c>
      <c r="AC125" s="32">
        <f>IF(AND($V125=1,LEN(TRIM($G125))=0),1,0)</f>
        <v/>
      </c>
      <c r="AD125" s="32">
        <f>IF($T125=0,0,IFERROR(VALUE(MID($A125,4,9)),0))</f>
        <v/>
      </c>
    </row>
    <row r="126" ht="18" customHeight="1">
      <c r="A126" s="27" t="n"/>
      <c r="B126" s="28" t="n"/>
      <c r="C126" s="29" t="n"/>
      <c r="D126" s="29" t="n"/>
      <c r="E126" s="29" t="n"/>
      <c r="F126" s="29" t="n"/>
      <c r="G126" s="29" t="n"/>
      <c r="H126" s="29" t="n"/>
      <c r="I126" s="27" t="n"/>
      <c r="J126" s="30">
        <f>IF(OR($T126=0,$U126=0),"",INDEX($A$4:$A$153,MATCH($A126,$I$4:$I$153,0)))</f>
        <v/>
      </c>
      <c r="K126" s="31">
        <f>IF($T126=0,"",IF(COUNTIF($X126:$AC126,"&gt;0")=0,"○ Clear",TRIM("△ "&amp;COUNTIF($X126:$AC126,"&gt;0")&amp;IF(COUNTIF($X126:$AC126,"&gt;0")=1," problem: "," problems: ")&amp;IF($X126&gt;0,"Decided by needs one name from People, and a body needs members and a signer. ","")&amp;IF($Y126&gt;0,"Why or evidence needs the reason itself, in three words or more. ","")&amp;IF($Z126&gt;0,"Date needs the day it was decided, no later than As of. ","")&amp;IF($AA126=1,IF(ISNA(MATCH($F126,People!$B$30:$B$36,0)),"Gate isn't one of the gate names on People. ","People names "&amp;INDEX(People!$C$30:$C$36,MATCH($F126,People!$B$30:$B$36,0))&amp;" to decide "&amp;$F126&amp;". "),IF($AA126=2,"People names nobody to decide "&amp;$F126&amp;". ",IF($AA126=3,"The Decision opens with a gate's name, so pick that gate in Gate. ","")))&amp;IF($AB126&gt;0,"Replaces needs the Id of a row dated no later than this one. ","")&amp;IF($AC126&gt;0,"Record elsewhere needs the name of the record the other file keeps. ",""))))</f>
        <v/>
      </c>
      <c r="T126" s="32">
        <f>IF(COUNTA($A126:$I126)&gt;0,1,0)</f>
        <v/>
      </c>
      <c r="U126" s="32">
        <f>IF(OR($T126=0,$A126=""),0,IF(COUNTIF($I$4:$I$153,$A126)&gt;0,1,0))</f>
        <v/>
      </c>
      <c r="V126" s="32">
        <f>IF(AND($T126=1,$H126&lt;&gt;"",$H126&lt;&gt;"This log"),1,0)</f>
        <v/>
      </c>
      <c r="W126" s="26">
        <f>IF($T126=0,"",","&amp;SUBSTITUTE(SUBSTITUTE($G126&amp;","&amp;$F126," ",""),";",",")&amp;",")</f>
        <v/>
      </c>
      <c r="X126" s="32">
        <f>IF($T126=0,0,IF(LEN(TRIM($D126))=0,1,IF(COUNTIF(People!$D$6:$D$25,TRIM($D126))=0,1,IF(INDEX(People!$E$6:$E$25,MATCH(TRIM($D126),People!$D$6:$D$25,0))&lt;&gt;"Body",0,IF(OR(LEN(TRIM(INDEX(People!$F$6:$F$25,MATCH(TRIM($D126),People!$D$6:$D$25,0))))=0,LEN(TRIM(INDEX(People!$G$6:$G$25,MATCH(TRIM($D126),People!$D$6:$D$25,0))))=0),1,0)))))</f>
        <v/>
      </c>
      <c r="Y126" s="32">
        <f>IF($T126=0,0,IF(LEN(TRIM($E126))=0,1,IF(LEN(TRIM($E126))-LEN(SUBSTITUTE(TRIM($E126)," ",""))+1&lt;3,1,IF(SUMPRODUCT((People!$J$6:$J$12&lt;&gt;"")*(LEFT(LOWER(TRIM($E126))&amp;" ",LEN(People!$J$6:$J$12)+1)=LOWER(People!$J$6:$J$12)&amp;" "))&gt;0,1,0))))</f>
        <v/>
      </c>
      <c r="Z126" s="32">
        <f>IF($T126=0,0,IF(NOT(ISNUMBER($B126)),1,IF($B126&gt;Summary!$K$3,1,0)))</f>
        <v/>
      </c>
      <c r="AA126" s="32">
        <f>IF($T126=0,0,IF($F126="",IF(SUMPRODUCT(--(LOWER(LEFT($C126,LEN(People!$B$30:$B$36)+1))=LOWER(People!$B$30:$B$36)&amp;":"))&gt;0,3,0),IF(ISNA(MATCH($F126,People!$B$30:$B$36,0)),1,IF(LEN(INDEX(People!$C$30:$C$36,MATCH($F126,People!$B$30:$B$36,0))&amp;"")=0,2,IF(TRIM($D126)&lt;&gt;INDEX(People!$C$30:$C$36,MATCH($F126,People!$B$30:$B$36,0)),1,0)))))</f>
        <v/>
      </c>
      <c r="AB126" s="32">
        <f>IF(OR($T126=0,$I126=""),0,IF(OR($I126=$A126,COUNTIF($A$4:$A$153,$I126)=0),1,IF(INDEX($B$4:$B$153,MATCH($I126,$A$4:$A$153,0))&gt;$B126,1,0)))</f>
        <v/>
      </c>
      <c r="AC126" s="32">
        <f>IF(AND($V126=1,LEN(TRIM($G126))=0),1,0)</f>
        <v/>
      </c>
      <c r="AD126" s="32">
        <f>IF($T126=0,0,IFERROR(VALUE(MID($A126,4,9)),0))</f>
        <v/>
      </c>
    </row>
    <row r="127" ht="18" customHeight="1">
      <c r="A127" s="27" t="n"/>
      <c r="B127" s="28" t="n"/>
      <c r="C127" s="29" t="n"/>
      <c r="D127" s="29" t="n"/>
      <c r="E127" s="29" t="n"/>
      <c r="F127" s="29" t="n"/>
      <c r="G127" s="29" t="n"/>
      <c r="H127" s="29" t="n"/>
      <c r="I127" s="27" t="n"/>
      <c r="J127" s="30">
        <f>IF(OR($T127=0,$U127=0),"",INDEX($A$4:$A$153,MATCH($A127,$I$4:$I$153,0)))</f>
        <v/>
      </c>
      <c r="K127" s="31">
        <f>IF($T127=0,"",IF(COUNTIF($X127:$AC127,"&gt;0")=0,"○ Clear",TRIM("△ "&amp;COUNTIF($X127:$AC127,"&gt;0")&amp;IF(COUNTIF($X127:$AC127,"&gt;0")=1," problem: "," problems: ")&amp;IF($X127&gt;0,"Decided by needs one name from People, and a body needs members and a signer. ","")&amp;IF($Y127&gt;0,"Why or evidence needs the reason itself, in three words or more. ","")&amp;IF($Z127&gt;0,"Date needs the day it was decided, no later than As of. ","")&amp;IF($AA127=1,IF(ISNA(MATCH($F127,People!$B$30:$B$36,0)),"Gate isn't one of the gate names on People. ","People names "&amp;INDEX(People!$C$30:$C$36,MATCH($F127,People!$B$30:$B$36,0))&amp;" to decide "&amp;$F127&amp;". "),IF($AA127=2,"People names nobody to decide "&amp;$F127&amp;". ",IF($AA127=3,"The Decision opens with a gate's name, so pick that gate in Gate. ","")))&amp;IF($AB127&gt;0,"Replaces needs the Id of a row dated no later than this one. ","")&amp;IF($AC127&gt;0,"Record elsewhere needs the name of the record the other file keeps. ",""))))</f>
        <v/>
      </c>
      <c r="T127" s="32">
        <f>IF(COUNTA($A127:$I127)&gt;0,1,0)</f>
        <v/>
      </c>
      <c r="U127" s="32">
        <f>IF(OR($T127=0,$A127=""),0,IF(COUNTIF($I$4:$I$153,$A127)&gt;0,1,0))</f>
        <v/>
      </c>
      <c r="V127" s="32">
        <f>IF(AND($T127=1,$H127&lt;&gt;"",$H127&lt;&gt;"This log"),1,0)</f>
        <v/>
      </c>
      <c r="W127" s="26">
        <f>IF($T127=0,"",","&amp;SUBSTITUTE(SUBSTITUTE($G127&amp;","&amp;$F127," ",""),";",",")&amp;",")</f>
        <v/>
      </c>
      <c r="X127" s="32">
        <f>IF($T127=0,0,IF(LEN(TRIM($D127))=0,1,IF(COUNTIF(People!$D$6:$D$25,TRIM($D127))=0,1,IF(INDEX(People!$E$6:$E$25,MATCH(TRIM($D127),People!$D$6:$D$25,0))&lt;&gt;"Body",0,IF(OR(LEN(TRIM(INDEX(People!$F$6:$F$25,MATCH(TRIM($D127),People!$D$6:$D$25,0))))=0,LEN(TRIM(INDEX(People!$G$6:$G$25,MATCH(TRIM($D127),People!$D$6:$D$25,0))))=0),1,0)))))</f>
        <v/>
      </c>
      <c r="Y127" s="32">
        <f>IF($T127=0,0,IF(LEN(TRIM($E127))=0,1,IF(LEN(TRIM($E127))-LEN(SUBSTITUTE(TRIM($E127)," ",""))+1&lt;3,1,IF(SUMPRODUCT((People!$J$6:$J$12&lt;&gt;"")*(LEFT(LOWER(TRIM($E127))&amp;" ",LEN(People!$J$6:$J$12)+1)=LOWER(People!$J$6:$J$12)&amp;" "))&gt;0,1,0))))</f>
        <v/>
      </c>
      <c r="Z127" s="32">
        <f>IF($T127=0,0,IF(NOT(ISNUMBER($B127)),1,IF($B127&gt;Summary!$K$3,1,0)))</f>
        <v/>
      </c>
      <c r="AA127" s="32">
        <f>IF($T127=0,0,IF($F127="",IF(SUMPRODUCT(--(LOWER(LEFT($C127,LEN(People!$B$30:$B$36)+1))=LOWER(People!$B$30:$B$36)&amp;":"))&gt;0,3,0),IF(ISNA(MATCH($F127,People!$B$30:$B$36,0)),1,IF(LEN(INDEX(People!$C$30:$C$36,MATCH($F127,People!$B$30:$B$36,0))&amp;"")=0,2,IF(TRIM($D127)&lt;&gt;INDEX(People!$C$30:$C$36,MATCH($F127,People!$B$30:$B$36,0)),1,0)))))</f>
        <v/>
      </c>
      <c r="AB127" s="32">
        <f>IF(OR($T127=0,$I127=""),0,IF(OR($I127=$A127,COUNTIF($A$4:$A$153,$I127)=0),1,IF(INDEX($B$4:$B$153,MATCH($I127,$A$4:$A$153,0))&gt;$B127,1,0)))</f>
        <v/>
      </c>
      <c r="AC127" s="32">
        <f>IF(AND($V127=1,LEN(TRIM($G127))=0),1,0)</f>
        <v/>
      </c>
      <c r="AD127" s="32">
        <f>IF($T127=0,0,IFERROR(VALUE(MID($A127,4,9)),0))</f>
        <v/>
      </c>
    </row>
    <row r="128" ht="18" customHeight="1">
      <c r="A128" s="27" t="n"/>
      <c r="B128" s="28" t="n"/>
      <c r="C128" s="29" t="n"/>
      <c r="D128" s="29" t="n"/>
      <c r="E128" s="29" t="n"/>
      <c r="F128" s="29" t="n"/>
      <c r="G128" s="29" t="n"/>
      <c r="H128" s="29" t="n"/>
      <c r="I128" s="27" t="n"/>
      <c r="J128" s="30">
        <f>IF(OR($T128=0,$U128=0),"",INDEX($A$4:$A$153,MATCH($A128,$I$4:$I$153,0)))</f>
        <v/>
      </c>
      <c r="K128" s="31">
        <f>IF($T128=0,"",IF(COUNTIF($X128:$AC128,"&gt;0")=0,"○ Clear",TRIM("△ "&amp;COUNTIF($X128:$AC128,"&gt;0")&amp;IF(COUNTIF($X128:$AC128,"&gt;0")=1," problem: "," problems: ")&amp;IF($X128&gt;0,"Decided by needs one name from People, and a body needs members and a signer. ","")&amp;IF($Y128&gt;0,"Why or evidence needs the reason itself, in three words or more. ","")&amp;IF($Z128&gt;0,"Date needs the day it was decided, no later than As of. ","")&amp;IF($AA128=1,IF(ISNA(MATCH($F128,People!$B$30:$B$36,0)),"Gate isn't one of the gate names on People. ","People names "&amp;INDEX(People!$C$30:$C$36,MATCH($F128,People!$B$30:$B$36,0))&amp;" to decide "&amp;$F128&amp;". "),IF($AA128=2,"People names nobody to decide "&amp;$F128&amp;". ",IF($AA128=3,"The Decision opens with a gate's name, so pick that gate in Gate. ","")))&amp;IF($AB128&gt;0,"Replaces needs the Id of a row dated no later than this one. ","")&amp;IF($AC128&gt;0,"Record elsewhere needs the name of the record the other file keeps. ",""))))</f>
        <v/>
      </c>
      <c r="T128" s="32">
        <f>IF(COUNTA($A128:$I128)&gt;0,1,0)</f>
        <v/>
      </c>
      <c r="U128" s="32">
        <f>IF(OR($T128=0,$A128=""),0,IF(COUNTIF($I$4:$I$153,$A128)&gt;0,1,0))</f>
        <v/>
      </c>
      <c r="V128" s="32">
        <f>IF(AND($T128=1,$H128&lt;&gt;"",$H128&lt;&gt;"This log"),1,0)</f>
        <v/>
      </c>
      <c r="W128" s="26">
        <f>IF($T128=0,"",","&amp;SUBSTITUTE(SUBSTITUTE($G128&amp;","&amp;$F128," ",""),";",",")&amp;",")</f>
        <v/>
      </c>
      <c r="X128" s="32">
        <f>IF($T128=0,0,IF(LEN(TRIM($D128))=0,1,IF(COUNTIF(People!$D$6:$D$25,TRIM($D128))=0,1,IF(INDEX(People!$E$6:$E$25,MATCH(TRIM($D128),People!$D$6:$D$25,0))&lt;&gt;"Body",0,IF(OR(LEN(TRIM(INDEX(People!$F$6:$F$25,MATCH(TRIM($D128),People!$D$6:$D$25,0))))=0,LEN(TRIM(INDEX(People!$G$6:$G$25,MATCH(TRIM($D128),People!$D$6:$D$25,0))))=0),1,0)))))</f>
        <v/>
      </c>
      <c r="Y128" s="32">
        <f>IF($T128=0,0,IF(LEN(TRIM($E128))=0,1,IF(LEN(TRIM($E128))-LEN(SUBSTITUTE(TRIM($E128)," ",""))+1&lt;3,1,IF(SUMPRODUCT((People!$J$6:$J$12&lt;&gt;"")*(LEFT(LOWER(TRIM($E128))&amp;" ",LEN(People!$J$6:$J$12)+1)=LOWER(People!$J$6:$J$12)&amp;" "))&gt;0,1,0))))</f>
        <v/>
      </c>
      <c r="Z128" s="32">
        <f>IF($T128=0,0,IF(NOT(ISNUMBER($B128)),1,IF($B128&gt;Summary!$K$3,1,0)))</f>
        <v/>
      </c>
      <c r="AA128" s="32">
        <f>IF($T128=0,0,IF($F128="",IF(SUMPRODUCT(--(LOWER(LEFT($C128,LEN(People!$B$30:$B$36)+1))=LOWER(People!$B$30:$B$36)&amp;":"))&gt;0,3,0),IF(ISNA(MATCH($F128,People!$B$30:$B$36,0)),1,IF(LEN(INDEX(People!$C$30:$C$36,MATCH($F128,People!$B$30:$B$36,0))&amp;"")=0,2,IF(TRIM($D128)&lt;&gt;INDEX(People!$C$30:$C$36,MATCH($F128,People!$B$30:$B$36,0)),1,0)))))</f>
        <v/>
      </c>
      <c r="AB128" s="32">
        <f>IF(OR($T128=0,$I128=""),0,IF(OR($I128=$A128,COUNTIF($A$4:$A$153,$I128)=0),1,IF(INDEX($B$4:$B$153,MATCH($I128,$A$4:$A$153,0))&gt;$B128,1,0)))</f>
        <v/>
      </c>
      <c r="AC128" s="32">
        <f>IF(AND($V128=1,LEN(TRIM($G128))=0),1,0)</f>
        <v/>
      </c>
      <c r="AD128" s="32">
        <f>IF($T128=0,0,IFERROR(VALUE(MID($A128,4,9)),0))</f>
        <v/>
      </c>
    </row>
    <row r="129" ht="18" customHeight="1">
      <c r="A129" s="27" t="n"/>
      <c r="B129" s="28" t="n"/>
      <c r="C129" s="29" t="n"/>
      <c r="D129" s="29" t="n"/>
      <c r="E129" s="29" t="n"/>
      <c r="F129" s="29" t="n"/>
      <c r="G129" s="29" t="n"/>
      <c r="H129" s="29" t="n"/>
      <c r="I129" s="27" t="n"/>
      <c r="J129" s="30">
        <f>IF(OR($T129=0,$U129=0),"",INDEX($A$4:$A$153,MATCH($A129,$I$4:$I$153,0)))</f>
        <v/>
      </c>
      <c r="K129" s="31">
        <f>IF($T129=0,"",IF(COUNTIF($X129:$AC129,"&gt;0")=0,"○ Clear",TRIM("△ "&amp;COUNTIF($X129:$AC129,"&gt;0")&amp;IF(COUNTIF($X129:$AC129,"&gt;0")=1," problem: "," problems: ")&amp;IF($X129&gt;0,"Decided by needs one name from People, and a body needs members and a signer. ","")&amp;IF($Y129&gt;0,"Why or evidence needs the reason itself, in three words or more. ","")&amp;IF($Z129&gt;0,"Date needs the day it was decided, no later than As of. ","")&amp;IF($AA129=1,IF(ISNA(MATCH($F129,People!$B$30:$B$36,0)),"Gate isn't one of the gate names on People. ","People names "&amp;INDEX(People!$C$30:$C$36,MATCH($F129,People!$B$30:$B$36,0))&amp;" to decide "&amp;$F129&amp;". "),IF($AA129=2,"People names nobody to decide "&amp;$F129&amp;". ",IF($AA129=3,"The Decision opens with a gate's name, so pick that gate in Gate. ","")))&amp;IF($AB129&gt;0,"Replaces needs the Id of a row dated no later than this one. ","")&amp;IF($AC129&gt;0,"Record elsewhere needs the name of the record the other file keeps. ",""))))</f>
        <v/>
      </c>
      <c r="T129" s="32">
        <f>IF(COUNTA($A129:$I129)&gt;0,1,0)</f>
        <v/>
      </c>
      <c r="U129" s="32">
        <f>IF(OR($T129=0,$A129=""),0,IF(COUNTIF($I$4:$I$153,$A129)&gt;0,1,0))</f>
        <v/>
      </c>
      <c r="V129" s="32">
        <f>IF(AND($T129=1,$H129&lt;&gt;"",$H129&lt;&gt;"This log"),1,0)</f>
        <v/>
      </c>
      <c r="W129" s="26">
        <f>IF($T129=0,"",","&amp;SUBSTITUTE(SUBSTITUTE($G129&amp;","&amp;$F129," ",""),";",",")&amp;",")</f>
        <v/>
      </c>
      <c r="X129" s="32">
        <f>IF($T129=0,0,IF(LEN(TRIM($D129))=0,1,IF(COUNTIF(People!$D$6:$D$25,TRIM($D129))=0,1,IF(INDEX(People!$E$6:$E$25,MATCH(TRIM($D129),People!$D$6:$D$25,0))&lt;&gt;"Body",0,IF(OR(LEN(TRIM(INDEX(People!$F$6:$F$25,MATCH(TRIM($D129),People!$D$6:$D$25,0))))=0,LEN(TRIM(INDEX(People!$G$6:$G$25,MATCH(TRIM($D129),People!$D$6:$D$25,0))))=0),1,0)))))</f>
        <v/>
      </c>
      <c r="Y129" s="32">
        <f>IF($T129=0,0,IF(LEN(TRIM($E129))=0,1,IF(LEN(TRIM($E129))-LEN(SUBSTITUTE(TRIM($E129)," ",""))+1&lt;3,1,IF(SUMPRODUCT((People!$J$6:$J$12&lt;&gt;"")*(LEFT(LOWER(TRIM($E129))&amp;" ",LEN(People!$J$6:$J$12)+1)=LOWER(People!$J$6:$J$12)&amp;" "))&gt;0,1,0))))</f>
        <v/>
      </c>
      <c r="Z129" s="32">
        <f>IF($T129=0,0,IF(NOT(ISNUMBER($B129)),1,IF($B129&gt;Summary!$K$3,1,0)))</f>
        <v/>
      </c>
      <c r="AA129" s="32">
        <f>IF($T129=0,0,IF($F129="",IF(SUMPRODUCT(--(LOWER(LEFT($C129,LEN(People!$B$30:$B$36)+1))=LOWER(People!$B$30:$B$36)&amp;":"))&gt;0,3,0),IF(ISNA(MATCH($F129,People!$B$30:$B$36,0)),1,IF(LEN(INDEX(People!$C$30:$C$36,MATCH($F129,People!$B$30:$B$36,0))&amp;"")=0,2,IF(TRIM($D129)&lt;&gt;INDEX(People!$C$30:$C$36,MATCH($F129,People!$B$30:$B$36,0)),1,0)))))</f>
        <v/>
      </c>
      <c r="AB129" s="32">
        <f>IF(OR($T129=0,$I129=""),0,IF(OR($I129=$A129,COUNTIF($A$4:$A$153,$I129)=0),1,IF(INDEX($B$4:$B$153,MATCH($I129,$A$4:$A$153,0))&gt;$B129,1,0)))</f>
        <v/>
      </c>
      <c r="AC129" s="32">
        <f>IF(AND($V129=1,LEN(TRIM($G129))=0),1,0)</f>
        <v/>
      </c>
      <c r="AD129" s="32">
        <f>IF($T129=0,0,IFERROR(VALUE(MID($A129,4,9)),0))</f>
        <v/>
      </c>
    </row>
    <row r="130" ht="18" customHeight="1">
      <c r="A130" s="27" t="n"/>
      <c r="B130" s="28" t="n"/>
      <c r="C130" s="29" t="n"/>
      <c r="D130" s="29" t="n"/>
      <c r="E130" s="29" t="n"/>
      <c r="F130" s="29" t="n"/>
      <c r="G130" s="29" t="n"/>
      <c r="H130" s="29" t="n"/>
      <c r="I130" s="27" t="n"/>
      <c r="J130" s="30">
        <f>IF(OR($T130=0,$U130=0),"",INDEX($A$4:$A$153,MATCH($A130,$I$4:$I$153,0)))</f>
        <v/>
      </c>
      <c r="K130" s="31">
        <f>IF($T130=0,"",IF(COUNTIF($X130:$AC130,"&gt;0")=0,"○ Clear",TRIM("△ "&amp;COUNTIF($X130:$AC130,"&gt;0")&amp;IF(COUNTIF($X130:$AC130,"&gt;0")=1," problem: "," problems: ")&amp;IF($X130&gt;0,"Decided by needs one name from People, and a body needs members and a signer. ","")&amp;IF($Y130&gt;0,"Why or evidence needs the reason itself, in three words or more. ","")&amp;IF($Z130&gt;0,"Date needs the day it was decided, no later than As of. ","")&amp;IF($AA130=1,IF(ISNA(MATCH($F130,People!$B$30:$B$36,0)),"Gate isn't one of the gate names on People. ","People names "&amp;INDEX(People!$C$30:$C$36,MATCH($F130,People!$B$30:$B$36,0))&amp;" to decide "&amp;$F130&amp;". "),IF($AA130=2,"People names nobody to decide "&amp;$F130&amp;". ",IF($AA130=3,"The Decision opens with a gate's name, so pick that gate in Gate. ","")))&amp;IF($AB130&gt;0,"Replaces needs the Id of a row dated no later than this one. ","")&amp;IF($AC130&gt;0,"Record elsewhere needs the name of the record the other file keeps. ",""))))</f>
        <v/>
      </c>
      <c r="T130" s="32">
        <f>IF(COUNTA($A130:$I130)&gt;0,1,0)</f>
        <v/>
      </c>
      <c r="U130" s="32">
        <f>IF(OR($T130=0,$A130=""),0,IF(COUNTIF($I$4:$I$153,$A130)&gt;0,1,0))</f>
        <v/>
      </c>
      <c r="V130" s="32">
        <f>IF(AND($T130=1,$H130&lt;&gt;"",$H130&lt;&gt;"This log"),1,0)</f>
        <v/>
      </c>
      <c r="W130" s="26">
        <f>IF($T130=0,"",","&amp;SUBSTITUTE(SUBSTITUTE($G130&amp;","&amp;$F130," ",""),";",",")&amp;",")</f>
        <v/>
      </c>
      <c r="X130" s="32">
        <f>IF($T130=0,0,IF(LEN(TRIM($D130))=0,1,IF(COUNTIF(People!$D$6:$D$25,TRIM($D130))=0,1,IF(INDEX(People!$E$6:$E$25,MATCH(TRIM($D130),People!$D$6:$D$25,0))&lt;&gt;"Body",0,IF(OR(LEN(TRIM(INDEX(People!$F$6:$F$25,MATCH(TRIM($D130),People!$D$6:$D$25,0))))=0,LEN(TRIM(INDEX(People!$G$6:$G$25,MATCH(TRIM($D130),People!$D$6:$D$25,0))))=0),1,0)))))</f>
        <v/>
      </c>
      <c r="Y130" s="32">
        <f>IF($T130=0,0,IF(LEN(TRIM($E130))=0,1,IF(LEN(TRIM($E130))-LEN(SUBSTITUTE(TRIM($E130)," ",""))+1&lt;3,1,IF(SUMPRODUCT((People!$J$6:$J$12&lt;&gt;"")*(LEFT(LOWER(TRIM($E130))&amp;" ",LEN(People!$J$6:$J$12)+1)=LOWER(People!$J$6:$J$12)&amp;" "))&gt;0,1,0))))</f>
        <v/>
      </c>
      <c r="Z130" s="32">
        <f>IF($T130=0,0,IF(NOT(ISNUMBER($B130)),1,IF($B130&gt;Summary!$K$3,1,0)))</f>
        <v/>
      </c>
      <c r="AA130" s="32">
        <f>IF($T130=0,0,IF($F130="",IF(SUMPRODUCT(--(LOWER(LEFT($C130,LEN(People!$B$30:$B$36)+1))=LOWER(People!$B$30:$B$36)&amp;":"))&gt;0,3,0),IF(ISNA(MATCH($F130,People!$B$30:$B$36,0)),1,IF(LEN(INDEX(People!$C$30:$C$36,MATCH($F130,People!$B$30:$B$36,0))&amp;"")=0,2,IF(TRIM($D130)&lt;&gt;INDEX(People!$C$30:$C$36,MATCH($F130,People!$B$30:$B$36,0)),1,0)))))</f>
        <v/>
      </c>
      <c r="AB130" s="32">
        <f>IF(OR($T130=0,$I130=""),0,IF(OR($I130=$A130,COUNTIF($A$4:$A$153,$I130)=0),1,IF(INDEX($B$4:$B$153,MATCH($I130,$A$4:$A$153,0))&gt;$B130,1,0)))</f>
        <v/>
      </c>
      <c r="AC130" s="32">
        <f>IF(AND($V130=1,LEN(TRIM($G130))=0),1,0)</f>
        <v/>
      </c>
      <c r="AD130" s="32">
        <f>IF($T130=0,0,IFERROR(VALUE(MID($A130,4,9)),0))</f>
        <v/>
      </c>
    </row>
    <row r="131" ht="18" customHeight="1">
      <c r="A131" s="27" t="n"/>
      <c r="B131" s="28" t="n"/>
      <c r="C131" s="29" t="n"/>
      <c r="D131" s="29" t="n"/>
      <c r="E131" s="29" t="n"/>
      <c r="F131" s="29" t="n"/>
      <c r="G131" s="29" t="n"/>
      <c r="H131" s="29" t="n"/>
      <c r="I131" s="27" t="n"/>
      <c r="J131" s="30">
        <f>IF(OR($T131=0,$U131=0),"",INDEX($A$4:$A$153,MATCH($A131,$I$4:$I$153,0)))</f>
        <v/>
      </c>
      <c r="K131" s="31">
        <f>IF($T131=0,"",IF(COUNTIF($X131:$AC131,"&gt;0")=0,"○ Clear",TRIM("△ "&amp;COUNTIF($X131:$AC131,"&gt;0")&amp;IF(COUNTIF($X131:$AC131,"&gt;0")=1," problem: "," problems: ")&amp;IF($X131&gt;0,"Decided by needs one name from People, and a body needs members and a signer. ","")&amp;IF($Y131&gt;0,"Why or evidence needs the reason itself, in three words or more. ","")&amp;IF($Z131&gt;0,"Date needs the day it was decided, no later than As of. ","")&amp;IF($AA131=1,IF(ISNA(MATCH($F131,People!$B$30:$B$36,0)),"Gate isn't one of the gate names on People. ","People names "&amp;INDEX(People!$C$30:$C$36,MATCH($F131,People!$B$30:$B$36,0))&amp;" to decide "&amp;$F131&amp;". "),IF($AA131=2,"People names nobody to decide "&amp;$F131&amp;". ",IF($AA131=3,"The Decision opens with a gate's name, so pick that gate in Gate. ","")))&amp;IF($AB131&gt;0,"Replaces needs the Id of a row dated no later than this one. ","")&amp;IF($AC131&gt;0,"Record elsewhere needs the name of the record the other file keeps. ",""))))</f>
        <v/>
      </c>
      <c r="T131" s="32">
        <f>IF(COUNTA($A131:$I131)&gt;0,1,0)</f>
        <v/>
      </c>
      <c r="U131" s="32">
        <f>IF(OR($T131=0,$A131=""),0,IF(COUNTIF($I$4:$I$153,$A131)&gt;0,1,0))</f>
        <v/>
      </c>
      <c r="V131" s="32">
        <f>IF(AND($T131=1,$H131&lt;&gt;"",$H131&lt;&gt;"This log"),1,0)</f>
        <v/>
      </c>
      <c r="W131" s="26">
        <f>IF($T131=0,"",","&amp;SUBSTITUTE(SUBSTITUTE($G131&amp;","&amp;$F131," ",""),";",",")&amp;",")</f>
        <v/>
      </c>
      <c r="X131" s="32">
        <f>IF($T131=0,0,IF(LEN(TRIM($D131))=0,1,IF(COUNTIF(People!$D$6:$D$25,TRIM($D131))=0,1,IF(INDEX(People!$E$6:$E$25,MATCH(TRIM($D131),People!$D$6:$D$25,0))&lt;&gt;"Body",0,IF(OR(LEN(TRIM(INDEX(People!$F$6:$F$25,MATCH(TRIM($D131),People!$D$6:$D$25,0))))=0,LEN(TRIM(INDEX(People!$G$6:$G$25,MATCH(TRIM($D131),People!$D$6:$D$25,0))))=0),1,0)))))</f>
        <v/>
      </c>
      <c r="Y131" s="32">
        <f>IF($T131=0,0,IF(LEN(TRIM($E131))=0,1,IF(LEN(TRIM($E131))-LEN(SUBSTITUTE(TRIM($E131)," ",""))+1&lt;3,1,IF(SUMPRODUCT((People!$J$6:$J$12&lt;&gt;"")*(LEFT(LOWER(TRIM($E131))&amp;" ",LEN(People!$J$6:$J$12)+1)=LOWER(People!$J$6:$J$12)&amp;" "))&gt;0,1,0))))</f>
        <v/>
      </c>
      <c r="Z131" s="32">
        <f>IF($T131=0,0,IF(NOT(ISNUMBER($B131)),1,IF($B131&gt;Summary!$K$3,1,0)))</f>
        <v/>
      </c>
      <c r="AA131" s="32">
        <f>IF($T131=0,0,IF($F131="",IF(SUMPRODUCT(--(LOWER(LEFT($C131,LEN(People!$B$30:$B$36)+1))=LOWER(People!$B$30:$B$36)&amp;":"))&gt;0,3,0),IF(ISNA(MATCH($F131,People!$B$30:$B$36,0)),1,IF(LEN(INDEX(People!$C$30:$C$36,MATCH($F131,People!$B$30:$B$36,0))&amp;"")=0,2,IF(TRIM($D131)&lt;&gt;INDEX(People!$C$30:$C$36,MATCH($F131,People!$B$30:$B$36,0)),1,0)))))</f>
        <v/>
      </c>
      <c r="AB131" s="32">
        <f>IF(OR($T131=0,$I131=""),0,IF(OR($I131=$A131,COUNTIF($A$4:$A$153,$I131)=0),1,IF(INDEX($B$4:$B$153,MATCH($I131,$A$4:$A$153,0))&gt;$B131,1,0)))</f>
        <v/>
      </c>
      <c r="AC131" s="32">
        <f>IF(AND($V131=1,LEN(TRIM($G131))=0),1,0)</f>
        <v/>
      </c>
      <c r="AD131" s="32">
        <f>IF($T131=0,0,IFERROR(VALUE(MID($A131,4,9)),0))</f>
        <v/>
      </c>
    </row>
    <row r="132" ht="18" customHeight="1">
      <c r="A132" s="27" t="n"/>
      <c r="B132" s="28" t="n"/>
      <c r="C132" s="29" t="n"/>
      <c r="D132" s="29" t="n"/>
      <c r="E132" s="29" t="n"/>
      <c r="F132" s="29" t="n"/>
      <c r="G132" s="29" t="n"/>
      <c r="H132" s="29" t="n"/>
      <c r="I132" s="27" t="n"/>
      <c r="J132" s="30">
        <f>IF(OR($T132=0,$U132=0),"",INDEX($A$4:$A$153,MATCH($A132,$I$4:$I$153,0)))</f>
        <v/>
      </c>
      <c r="K132" s="31">
        <f>IF($T132=0,"",IF(COUNTIF($X132:$AC132,"&gt;0")=0,"○ Clear",TRIM("△ "&amp;COUNTIF($X132:$AC132,"&gt;0")&amp;IF(COUNTIF($X132:$AC132,"&gt;0")=1," problem: "," problems: ")&amp;IF($X132&gt;0,"Decided by needs one name from People, and a body needs members and a signer. ","")&amp;IF($Y132&gt;0,"Why or evidence needs the reason itself, in three words or more. ","")&amp;IF($Z132&gt;0,"Date needs the day it was decided, no later than As of. ","")&amp;IF($AA132=1,IF(ISNA(MATCH($F132,People!$B$30:$B$36,0)),"Gate isn't one of the gate names on People. ","People names "&amp;INDEX(People!$C$30:$C$36,MATCH($F132,People!$B$30:$B$36,0))&amp;" to decide "&amp;$F132&amp;". "),IF($AA132=2,"People names nobody to decide "&amp;$F132&amp;". ",IF($AA132=3,"The Decision opens with a gate's name, so pick that gate in Gate. ","")))&amp;IF($AB132&gt;0,"Replaces needs the Id of a row dated no later than this one. ","")&amp;IF($AC132&gt;0,"Record elsewhere needs the name of the record the other file keeps. ",""))))</f>
        <v/>
      </c>
      <c r="T132" s="32">
        <f>IF(COUNTA($A132:$I132)&gt;0,1,0)</f>
        <v/>
      </c>
      <c r="U132" s="32">
        <f>IF(OR($T132=0,$A132=""),0,IF(COUNTIF($I$4:$I$153,$A132)&gt;0,1,0))</f>
        <v/>
      </c>
      <c r="V132" s="32">
        <f>IF(AND($T132=1,$H132&lt;&gt;"",$H132&lt;&gt;"This log"),1,0)</f>
        <v/>
      </c>
      <c r="W132" s="26">
        <f>IF($T132=0,"",","&amp;SUBSTITUTE(SUBSTITUTE($G132&amp;","&amp;$F132," ",""),";",",")&amp;",")</f>
        <v/>
      </c>
      <c r="X132" s="32">
        <f>IF($T132=0,0,IF(LEN(TRIM($D132))=0,1,IF(COUNTIF(People!$D$6:$D$25,TRIM($D132))=0,1,IF(INDEX(People!$E$6:$E$25,MATCH(TRIM($D132),People!$D$6:$D$25,0))&lt;&gt;"Body",0,IF(OR(LEN(TRIM(INDEX(People!$F$6:$F$25,MATCH(TRIM($D132),People!$D$6:$D$25,0))))=0,LEN(TRIM(INDEX(People!$G$6:$G$25,MATCH(TRIM($D132),People!$D$6:$D$25,0))))=0),1,0)))))</f>
        <v/>
      </c>
      <c r="Y132" s="32">
        <f>IF($T132=0,0,IF(LEN(TRIM($E132))=0,1,IF(LEN(TRIM($E132))-LEN(SUBSTITUTE(TRIM($E132)," ",""))+1&lt;3,1,IF(SUMPRODUCT((People!$J$6:$J$12&lt;&gt;"")*(LEFT(LOWER(TRIM($E132))&amp;" ",LEN(People!$J$6:$J$12)+1)=LOWER(People!$J$6:$J$12)&amp;" "))&gt;0,1,0))))</f>
        <v/>
      </c>
      <c r="Z132" s="32">
        <f>IF($T132=0,0,IF(NOT(ISNUMBER($B132)),1,IF($B132&gt;Summary!$K$3,1,0)))</f>
        <v/>
      </c>
      <c r="AA132" s="32">
        <f>IF($T132=0,0,IF($F132="",IF(SUMPRODUCT(--(LOWER(LEFT($C132,LEN(People!$B$30:$B$36)+1))=LOWER(People!$B$30:$B$36)&amp;":"))&gt;0,3,0),IF(ISNA(MATCH($F132,People!$B$30:$B$36,0)),1,IF(LEN(INDEX(People!$C$30:$C$36,MATCH($F132,People!$B$30:$B$36,0))&amp;"")=0,2,IF(TRIM($D132)&lt;&gt;INDEX(People!$C$30:$C$36,MATCH($F132,People!$B$30:$B$36,0)),1,0)))))</f>
        <v/>
      </c>
      <c r="AB132" s="32">
        <f>IF(OR($T132=0,$I132=""),0,IF(OR($I132=$A132,COUNTIF($A$4:$A$153,$I132)=0),1,IF(INDEX($B$4:$B$153,MATCH($I132,$A$4:$A$153,0))&gt;$B132,1,0)))</f>
        <v/>
      </c>
      <c r="AC132" s="32">
        <f>IF(AND($V132=1,LEN(TRIM($G132))=0),1,0)</f>
        <v/>
      </c>
      <c r="AD132" s="32">
        <f>IF($T132=0,0,IFERROR(VALUE(MID($A132,4,9)),0))</f>
        <v/>
      </c>
    </row>
    <row r="133" ht="18" customHeight="1">
      <c r="A133" s="27" t="n"/>
      <c r="B133" s="28" t="n"/>
      <c r="C133" s="29" t="n"/>
      <c r="D133" s="29" t="n"/>
      <c r="E133" s="29" t="n"/>
      <c r="F133" s="29" t="n"/>
      <c r="G133" s="29" t="n"/>
      <c r="H133" s="29" t="n"/>
      <c r="I133" s="27" t="n"/>
      <c r="J133" s="30">
        <f>IF(OR($T133=0,$U133=0),"",INDEX($A$4:$A$153,MATCH($A133,$I$4:$I$153,0)))</f>
        <v/>
      </c>
      <c r="K133" s="31">
        <f>IF($T133=0,"",IF(COUNTIF($X133:$AC133,"&gt;0")=0,"○ Clear",TRIM("△ "&amp;COUNTIF($X133:$AC133,"&gt;0")&amp;IF(COUNTIF($X133:$AC133,"&gt;0")=1," problem: "," problems: ")&amp;IF($X133&gt;0,"Decided by needs one name from People, and a body needs members and a signer. ","")&amp;IF($Y133&gt;0,"Why or evidence needs the reason itself, in three words or more. ","")&amp;IF($Z133&gt;0,"Date needs the day it was decided, no later than As of. ","")&amp;IF($AA133=1,IF(ISNA(MATCH($F133,People!$B$30:$B$36,0)),"Gate isn't one of the gate names on People. ","People names "&amp;INDEX(People!$C$30:$C$36,MATCH($F133,People!$B$30:$B$36,0))&amp;" to decide "&amp;$F133&amp;". "),IF($AA133=2,"People names nobody to decide "&amp;$F133&amp;". ",IF($AA133=3,"The Decision opens with a gate's name, so pick that gate in Gate. ","")))&amp;IF($AB133&gt;0,"Replaces needs the Id of a row dated no later than this one. ","")&amp;IF($AC133&gt;0,"Record elsewhere needs the name of the record the other file keeps. ",""))))</f>
        <v/>
      </c>
      <c r="T133" s="32">
        <f>IF(COUNTA($A133:$I133)&gt;0,1,0)</f>
        <v/>
      </c>
      <c r="U133" s="32">
        <f>IF(OR($T133=0,$A133=""),0,IF(COUNTIF($I$4:$I$153,$A133)&gt;0,1,0))</f>
        <v/>
      </c>
      <c r="V133" s="32">
        <f>IF(AND($T133=1,$H133&lt;&gt;"",$H133&lt;&gt;"This log"),1,0)</f>
        <v/>
      </c>
      <c r="W133" s="26">
        <f>IF($T133=0,"",","&amp;SUBSTITUTE(SUBSTITUTE($G133&amp;","&amp;$F133," ",""),";",",")&amp;",")</f>
        <v/>
      </c>
      <c r="X133" s="32">
        <f>IF($T133=0,0,IF(LEN(TRIM($D133))=0,1,IF(COUNTIF(People!$D$6:$D$25,TRIM($D133))=0,1,IF(INDEX(People!$E$6:$E$25,MATCH(TRIM($D133),People!$D$6:$D$25,0))&lt;&gt;"Body",0,IF(OR(LEN(TRIM(INDEX(People!$F$6:$F$25,MATCH(TRIM($D133),People!$D$6:$D$25,0))))=0,LEN(TRIM(INDEX(People!$G$6:$G$25,MATCH(TRIM($D133),People!$D$6:$D$25,0))))=0),1,0)))))</f>
        <v/>
      </c>
      <c r="Y133" s="32">
        <f>IF($T133=0,0,IF(LEN(TRIM($E133))=0,1,IF(LEN(TRIM($E133))-LEN(SUBSTITUTE(TRIM($E133)," ",""))+1&lt;3,1,IF(SUMPRODUCT((People!$J$6:$J$12&lt;&gt;"")*(LEFT(LOWER(TRIM($E133))&amp;" ",LEN(People!$J$6:$J$12)+1)=LOWER(People!$J$6:$J$12)&amp;" "))&gt;0,1,0))))</f>
        <v/>
      </c>
      <c r="Z133" s="32">
        <f>IF($T133=0,0,IF(NOT(ISNUMBER($B133)),1,IF($B133&gt;Summary!$K$3,1,0)))</f>
        <v/>
      </c>
      <c r="AA133" s="32">
        <f>IF($T133=0,0,IF($F133="",IF(SUMPRODUCT(--(LOWER(LEFT($C133,LEN(People!$B$30:$B$36)+1))=LOWER(People!$B$30:$B$36)&amp;":"))&gt;0,3,0),IF(ISNA(MATCH($F133,People!$B$30:$B$36,0)),1,IF(LEN(INDEX(People!$C$30:$C$36,MATCH($F133,People!$B$30:$B$36,0))&amp;"")=0,2,IF(TRIM($D133)&lt;&gt;INDEX(People!$C$30:$C$36,MATCH($F133,People!$B$30:$B$36,0)),1,0)))))</f>
        <v/>
      </c>
      <c r="AB133" s="32">
        <f>IF(OR($T133=0,$I133=""),0,IF(OR($I133=$A133,COUNTIF($A$4:$A$153,$I133)=0),1,IF(INDEX($B$4:$B$153,MATCH($I133,$A$4:$A$153,0))&gt;$B133,1,0)))</f>
        <v/>
      </c>
      <c r="AC133" s="32">
        <f>IF(AND($V133=1,LEN(TRIM($G133))=0),1,0)</f>
        <v/>
      </c>
      <c r="AD133" s="32">
        <f>IF($T133=0,0,IFERROR(VALUE(MID($A133,4,9)),0))</f>
        <v/>
      </c>
    </row>
    <row r="134" ht="18" customHeight="1">
      <c r="A134" s="27" t="n"/>
      <c r="B134" s="28" t="n"/>
      <c r="C134" s="29" t="n"/>
      <c r="D134" s="29" t="n"/>
      <c r="E134" s="29" t="n"/>
      <c r="F134" s="29" t="n"/>
      <c r="G134" s="29" t="n"/>
      <c r="H134" s="29" t="n"/>
      <c r="I134" s="27" t="n"/>
      <c r="J134" s="30">
        <f>IF(OR($T134=0,$U134=0),"",INDEX($A$4:$A$153,MATCH($A134,$I$4:$I$153,0)))</f>
        <v/>
      </c>
      <c r="K134" s="31">
        <f>IF($T134=0,"",IF(COUNTIF($X134:$AC134,"&gt;0")=0,"○ Clear",TRIM("△ "&amp;COUNTIF($X134:$AC134,"&gt;0")&amp;IF(COUNTIF($X134:$AC134,"&gt;0")=1," problem: "," problems: ")&amp;IF($X134&gt;0,"Decided by needs one name from People, and a body needs members and a signer. ","")&amp;IF($Y134&gt;0,"Why or evidence needs the reason itself, in three words or more. ","")&amp;IF($Z134&gt;0,"Date needs the day it was decided, no later than As of. ","")&amp;IF($AA134=1,IF(ISNA(MATCH($F134,People!$B$30:$B$36,0)),"Gate isn't one of the gate names on People. ","People names "&amp;INDEX(People!$C$30:$C$36,MATCH($F134,People!$B$30:$B$36,0))&amp;" to decide "&amp;$F134&amp;". "),IF($AA134=2,"People names nobody to decide "&amp;$F134&amp;". ",IF($AA134=3,"The Decision opens with a gate's name, so pick that gate in Gate. ","")))&amp;IF($AB134&gt;0,"Replaces needs the Id of a row dated no later than this one. ","")&amp;IF($AC134&gt;0,"Record elsewhere needs the name of the record the other file keeps. ",""))))</f>
        <v/>
      </c>
      <c r="T134" s="32">
        <f>IF(COUNTA($A134:$I134)&gt;0,1,0)</f>
        <v/>
      </c>
      <c r="U134" s="32">
        <f>IF(OR($T134=0,$A134=""),0,IF(COUNTIF($I$4:$I$153,$A134)&gt;0,1,0))</f>
        <v/>
      </c>
      <c r="V134" s="32">
        <f>IF(AND($T134=1,$H134&lt;&gt;"",$H134&lt;&gt;"This log"),1,0)</f>
        <v/>
      </c>
      <c r="W134" s="26">
        <f>IF($T134=0,"",","&amp;SUBSTITUTE(SUBSTITUTE($G134&amp;","&amp;$F134," ",""),";",",")&amp;",")</f>
        <v/>
      </c>
      <c r="X134" s="32">
        <f>IF($T134=0,0,IF(LEN(TRIM($D134))=0,1,IF(COUNTIF(People!$D$6:$D$25,TRIM($D134))=0,1,IF(INDEX(People!$E$6:$E$25,MATCH(TRIM($D134),People!$D$6:$D$25,0))&lt;&gt;"Body",0,IF(OR(LEN(TRIM(INDEX(People!$F$6:$F$25,MATCH(TRIM($D134),People!$D$6:$D$25,0))))=0,LEN(TRIM(INDEX(People!$G$6:$G$25,MATCH(TRIM($D134),People!$D$6:$D$25,0))))=0),1,0)))))</f>
        <v/>
      </c>
      <c r="Y134" s="32">
        <f>IF($T134=0,0,IF(LEN(TRIM($E134))=0,1,IF(LEN(TRIM($E134))-LEN(SUBSTITUTE(TRIM($E134)," ",""))+1&lt;3,1,IF(SUMPRODUCT((People!$J$6:$J$12&lt;&gt;"")*(LEFT(LOWER(TRIM($E134))&amp;" ",LEN(People!$J$6:$J$12)+1)=LOWER(People!$J$6:$J$12)&amp;" "))&gt;0,1,0))))</f>
        <v/>
      </c>
      <c r="Z134" s="32">
        <f>IF($T134=0,0,IF(NOT(ISNUMBER($B134)),1,IF($B134&gt;Summary!$K$3,1,0)))</f>
        <v/>
      </c>
      <c r="AA134" s="32">
        <f>IF($T134=0,0,IF($F134="",IF(SUMPRODUCT(--(LOWER(LEFT($C134,LEN(People!$B$30:$B$36)+1))=LOWER(People!$B$30:$B$36)&amp;":"))&gt;0,3,0),IF(ISNA(MATCH($F134,People!$B$30:$B$36,0)),1,IF(LEN(INDEX(People!$C$30:$C$36,MATCH($F134,People!$B$30:$B$36,0))&amp;"")=0,2,IF(TRIM($D134)&lt;&gt;INDEX(People!$C$30:$C$36,MATCH($F134,People!$B$30:$B$36,0)),1,0)))))</f>
        <v/>
      </c>
      <c r="AB134" s="32">
        <f>IF(OR($T134=0,$I134=""),0,IF(OR($I134=$A134,COUNTIF($A$4:$A$153,$I134)=0),1,IF(INDEX($B$4:$B$153,MATCH($I134,$A$4:$A$153,0))&gt;$B134,1,0)))</f>
        <v/>
      </c>
      <c r="AC134" s="32">
        <f>IF(AND($V134=1,LEN(TRIM($G134))=0),1,0)</f>
        <v/>
      </c>
      <c r="AD134" s="32">
        <f>IF($T134=0,0,IFERROR(VALUE(MID($A134,4,9)),0))</f>
        <v/>
      </c>
    </row>
    <row r="135" ht="18" customHeight="1">
      <c r="A135" s="27" t="n"/>
      <c r="B135" s="28" t="n"/>
      <c r="C135" s="29" t="n"/>
      <c r="D135" s="29" t="n"/>
      <c r="E135" s="29" t="n"/>
      <c r="F135" s="29" t="n"/>
      <c r="G135" s="29" t="n"/>
      <c r="H135" s="29" t="n"/>
      <c r="I135" s="27" t="n"/>
      <c r="J135" s="30">
        <f>IF(OR($T135=0,$U135=0),"",INDEX($A$4:$A$153,MATCH($A135,$I$4:$I$153,0)))</f>
        <v/>
      </c>
      <c r="K135" s="31">
        <f>IF($T135=0,"",IF(COUNTIF($X135:$AC135,"&gt;0")=0,"○ Clear",TRIM("△ "&amp;COUNTIF($X135:$AC135,"&gt;0")&amp;IF(COUNTIF($X135:$AC135,"&gt;0")=1," problem: "," problems: ")&amp;IF($X135&gt;0,"Decided by needs one name from People, and a body needs members and a signer. ","")&amp;IF($Y135&gt;0,"Why or evidence needs the reason itself, in three words or more. ","")&amp;IF($Z135&gt;0,"Date needs the day it was decided, no later than As of. ","")&amp;IF($AA135=1,IF(ISNA(MATCH($F135,People!$B$30:$B$36,0)),"Gate isn't one of the gate names on People. ","People names "&amp;INDEX(People!$C$30:$C$36,MATCH($F135,People!$B$30:$B$36,0))&amp;" to decide "&amp;$F135&amp;". "),IF($AA135=2,"People names nobody to decide "&amp;$F135&amp;". ",IF($AA135=3,"The Decision opens with a gate's name, so pick that gate in Gate. ","")))&amp;IF($AB135&gt;0,"Replaces needs the Id of a row dated no later than this one. ","")&amp;IF($AC135&gt;0,"Record elsewhere needs the name of the record the other file keeps. ",""))))</f>
        <v/>
      </c>
      <c r="T135" s="32">
        <f>IF(COUNTA($A135:$I135)&gt;0,1,0)</f>
        <v/>
      </c>
      <c r="U135" s="32">
        <f>IF(OR($T135=0,$A135=""),0,IF(COUNTIF($I$4:$I$153,$A135)&gt;0,1,0))</f>
        <v/>
      </c>
      <c r="V135" s="32">
        <f>IF(AND($T135=1,$H135&lt;&gt;"",$H135&lt;&gt;"This log"),1,0)</f>
        <v/>
      </c>
      <c r="W135" s="26">
        <f>IF($T135=0,"",","&amp;SUBSTITUTE(SUBSTITUTE($G135&amp;","&amp;$F135," ",""),";",",")&amp;",")</f>
        <v/>
      </c>
      <c r="X135" s="32">
        <f>IF($T135=0,0,IF(LEN(TRIM($D135))=0,1,IF(COUNTIF(People!$D$6:$D$25,TRIM($D135))=0,1,IF(INDEX(People!$E$6:$E$25,MATCH(TRIM($D135),People!$D$6:$D$25,0))&lt;&gt;"Body",0,IF(OR(LEN(TRIM(INDEX(People!$F$6:$F$25,MATCH(TRIM($D135),People!$D$6:$D$25,0))))=0,LEN(TRIM(INDEX(People!$G$6:$G$25,MATCH(TRIM($D135),People!$D$6:$D$25,0))))=0),1,0)))))</f>
        <v/>
      </c>
      <c r="Y135" s="32">
        <f>IF($T135=0,0,IF(LEN(TRIM($E135))=0,1,IF(LEN(TRIM($E135))-LEN(SUBSTITUTE(TRIM($E135)," ",""))+1&lt;3,1,IF(SUMPRODUCT((People!$J$6:$J$12&lt;&gt;"")*(LEFT(LOWER(TRIM($E135))&amp;" ",LEN(People!$J$6:$J$12)+1)=LOWER(People!$J$6:$J$12)&amp;" "))&gt;0,1,0))))</f>
        <v/>
      </c>
      <c r="Z135" s="32">
        <f>IF($T135=0,0,IF(NOT(ISNUMBER($B135)),1,IF($B135&gt;Summary!$K$3,1,0)))</f>
        <v/>
      </c>
      <c r="AA135" s="32">
        <f>IF($T135=0,0,IF($F135="",IF(SUMPRODUCT(--(LOWER(LEFT($C135,LEN(People!$B$30:$B$36)+1))=LOWER(People!$B$30:$B$36)&amp;":"))&gt;0,3,0),IF(ISNA(MATCH($F135,People!$B$30:$B$36,0)),1,IF(LEN(INDEX(People!$C$30:$C$36,MATCH($F135,People!$B$30:$B$36,0))&amp;"")=0,2,IF(TRIM($D135)&lt;&gt;INDEX(People!$C$30:$C$36,MATCH($F135,People!$B$30:$B$36,0)),1,0)))))</f>
        <v/>
      </c>
      <c r="AB135" s="32">
        <f>IF(OR($T135=0,$I135=""),0,IF(OR($I135=$A135,COUNTIF($A$4:$A$153,$I135)=0),1,IF(INDEX($B$4:$B$153,MATCH($I135,$A$4:$A$153,0))&gt;$B135,1,0)))</f>
        <v/>
      </c>
      <c r="AC135" s="32">
        <f>IF(AND($V135=1,LEN(TRIM($G135))=0),1,0)</f>
        <v/>
      </c>
      <c r="AD135" s="32">
        <f>IF($T135=0,0,IFERROR(VALUE(MID($A135,4,9)),0))</f>
        <v/>
      </c>
    </row>
    <row r="136" ht="18" customHeight="1">
      <c r="A136" s="27" t="n"/>
      <c r="B136" s="28" t="n"/>
      <c r="C136" s="29" t="n"/>
      <c r="D136" s="29" t="n"/>
      <c r="E136" s="29" t="n"/>
      <c r="F136" s="29" t="n"/>
      <c r="G136" s="29" t="n"/>
      <c r="H136" s="29" t="n"/>
      <c r="I136" s="27" t="n"/>
      <c r="J136" s="30">
        <f>IF(OR($T136=0,$U136=0),"",INDEX($A$4:$A$153,MATCH($A136,$I$4:$I$153,0)))</f>
        <v/>
      </c>
      <c r="K136" s="31">
        <f>IF($T136=0,"",IF(COUNTIF($X136:$AC136,"&gt;0")=0,"○ Clear",TRIM("△ "&amp;COUNTIF($X136:$AC136,"&gt;0")&amp;IF(COUNTIF($X136:$AC136,"&gt;0")=1," problem: "," problems: ")&amp;IF($X136&gt;0,"Decided by needs one name from People, and a body needs members and a signer. ","")&amp;IF($Y136&gt;0,"Why or evidence needs the reason itself, in three words or more. ","")&amp;IF($Z136&gt;0,"Date needs the day it was decided, no later than As of. ","")&amp;IF($AA136=1,IF(ISNA(MATCH($F136,People!$B$30:$B$36,0)),"Gate isn't one of the gate names on People. ","People names "&amp;INDEX(People!$C$30:$C$36,MATCH($F136,People!$B$30:$B$36,0))&amp;" to decide "&amp;$F136&amp;". "),IF($AA136=2,"People names nobody to decide "&amp;$F136&amp;". ",IF($AA136=3,"The Decision opens with a gate's name, so pick that gate in Gate. ","")))&amp;IF($AB136&gt;0,"Replaces needs the Id of a row dated no later than this one. ","")&amp;IF($AC136&gt;0,"Record elsewhere needs the name of the record the other file keeps. ",""))))</f>
        <v/>
      </c>
      <c r="T136" s="32">
        <f>IF(COUNTA($A136:$I136)&gt;0,1,0)</f>
        <v/>
      </c>
      <c r="U136" s="32">
        <f>IF(OR($T136=0,$A136=""),0,IF(COUNTIF($I$4:$I$153,$A136)&gt;0,1,0))</f>
        <v/>
      </c>
      <c r="V136" s="32">
        <f>IF(AND($T136=1,$H136&lt;&gt;"",$H136&lt;&gt;"This log"),1,0)</f>
        <v/>
      </c>
      <c r="W136" s="26">
        <f>IF($T136=0,"",","&amp;SUBSTITUTE(SUBSTITUTE($G136&amp;","&amp;$F136," ",""),";",",")&amp;",")</f>
        <v/>
      </c>
      <c r="X136" s="32">
        <f>IF($T136=0,0,IF(LEN(TRIM($D136))=0,1,IF(COUNTIF(People!$D$6:$D$25,TRIM($D136))=0,1,IF(INDEX(People!$E$6:$E$25,MATCH(TRIM($D136),People!$D$6:$D$25,0))&lt;&gt;"Body",0,IF(OR(LEN(TRIM(INDEX(People!$F$6:$F$25,MATCH(TRIM($D136),People!$D$6:$D$25,0))))=0,LEN(TRIM(INDEX(People!$G$6:$G$25,MATCH(TRIM($D136),People!$D$6:$D$25,0))))=0),1,0)))))</f>
        <v/>
      </c>
      <c r="Y136" s="32">
        <f>IF($T136=0,0,IF(LEN(TRIM($E136))=0,1,IF(LEN(TRIM($E136))-LEN(SUBSTITUTE(TRIM($E136)," ",""))+1&lt;3,1,IF(SUMPRODUCT((People!$J$6:$J$12&lt;&gt;"")*(LEFT(LOWER(TRIM($E136))&amp;" ",LEN(People!$J$6:$J$12)+1)=LOWER(People!$J$6:$J$12)&amp;" "))&gt;0,1,0))))</f>
        <v/>
      </c>
      <c r="Z136" s="32">
        <f>IF($T136=0,0,IF(NOT(ISNUMBER($B136)),1,IF($B136&gt;Summary!$K$3,1,0)))</f>
        <v/>
      </c>
      <c r="AA136" s="32">
        <f>IF($T136=0,0,IF($F136="",IF(SUMPRODUCT(--(LOWER(LEFT($C136,LEN(People!$B$30:$B$36)+1))=LOWER(People!$B$30:$B$36)&amp;":"))&gt;0,3,0),IF(ISNA(MATCH($F136,People!$B$30:$B$36,0)),1,IF(LEN(INDEX(People!$C$30:$C$36,MATCH($F136,People!$B$30:$B$36,0))&amp;"")=0,2,IF(TRIM($D136)&lt;&gt;INDEX(People!$C$30:$C$36,MATCH($F136,People!$B$30:$B$36,0)),1,0)))))</f>
        <v/>
      </c>
      <c r="AB136" s="32">
        <f>IF(OR($T136=0,$I136=""),0,IF(OR($I136=$A136,COUNTIF($A$4:$A$153,$I136)=0),1,IF(INDEX($B$4:$B$153,MATCH($I136,$A$4:$A$153,0))&gt;$B136,1,0)))</f>
        <v/>
      </c>
      <c r="AC136" s="32">
        <f>IF(AND($V136=1,LEN(TRIM($G136))=0),1,0)</f>
        <v/>
      </c>
      <c r="AD136" s="32">
        <f>IF($T136=0,0,IFERROR(VALUE(MID($A136,4,9)),0))</f>
        <v/>
      </c>
    </row>
    <row r="137" ht="18" customHeight="1">
      <c r="A137" s="27" t="n"/>
      <c r="B137" s="28" t="n"/>
      <c r="C137" s="29" t="n"/>
      <c r="D137" s="29" t="n"/>
      <c r="E137" s="29" t="n"/>
      <c r="F137" s="29" t="n"/>
      <c r="G137" s="29" t="n"/>
      <c r="H137" s="29" t="n"/>
      <c r="I137" s="27" t="n"/>
      <c r="J137" s="30">
        <f>IF(OR($T137=0,$U137=0),"",INDEX($A$4:$A$153,MATCH($A137,$I$4:$I$153,0)))</f>
        <v/>
      </c>
      <c r="K137" s="31">
        <f>IF($T137=0,"",IF(COUNTIF($X137:$AC137,"&gt;0")=0,"○ Clear",TRIM("△ "&amp;COUNTIF($X137:$AC137,"&gt;0")&amp;IF(COUNTIF($X137:$AC137,"&gt;0")=1," problem: "," problems: ")&amp;IF($X137&gt;0,"Decided by needs one name from People, and a body needs members and a signer. ","")&amp;IF($Y137&gt;0,"Why or evidence needs the reason itself, in three words or more. ","")&amp;IF($Z137&gt;0,"Date needs the day it was decided, no later than As of. ","")&amp;IF($AA137=1,IF(ISNA(MATCH($F137,People!$B$30:$B$36,0)),"Gate isn't one of the gate names on People. ","People names "&amp;INDEX(People!$C$30:$C$36,MATCH($F137,People!$B$30:$B$36,0))&amp;" to decide "&amp;$F137&amp;". "),IF($AA137=2,"People names nobody to decide "&amp;$F137&amp;". ",IF($AA137=3,"The Decision opens with a gate's name, so pick that gate in Gate. ","")))&amp;IF($AB137&gt;0,"Replaces needs the Id of a row dated no later than this one. ","")&amp;IF($AC137&gt;0,"Record elsewhere needs the name of the record the other file keeps. ",""))))</f>
        <v/>
      </c>
      <c r="T137" s="32">
        <f>IF(COUNTA($A137:$I137)&gt;0,1,0)</f>
        <v/>
      </c>
      <c r="U137" s="32">
        <f>IF(OR($T137=0,$A137=""),0,IF(COUNTIF($I$4:$I$153,$A137)&gt;0,1,0))</f>
        <v/>
      </c>
      <c r="V137" s="32">
        <f>IF(AND($T137=1,$H137&lt;&gt;"",$H137&lt;&gt;"This log"),1,0)</f>
        <v/>
      </c>
      <c r="W137" s="26">
        <f>IF($T137=0,"",","&amp;SUBSTITUTE(SUBSTITUTE($G137&amp;","&amp;$F137," ",""),";",",")&amp;",")</f>
        <v/>
      </c>
      <c r="X137" s="32">
        <f>IF($T137=0,0,IF(LEN(TRIM($D137))=0,1,IF(COUNTIF(People!$D$6:$D$25,TRIM($D137))=0,1,IF(INDEX(People!$E$6:$E$25,MATCH(TRIM($D137),People!$D$6:$D$25,0))&lt;&gt;"Body",0,IF(OR(LEN(TRIM(INDEX(People!$F$6:$F$25,MATCH(TRIM($D137),People!$D$6:$D$25,0))))=0,LEN(TRIM(INDEX(People!$G$6:$G$25,MATCH(TRIM($D137),People!$D$6:$D$25,0))))=0),1,0)))))</f>
        <v/>
      </c>
      <c r="Y137" s="32">
        <f>IF($T137=0,0,IF(LEN(TRIM($E137))=0,1,IF(LEN(TRIM($E137))-LEN(SUBSTITUTE(TRIM($E137)," ",""))+1&lt;3,1,IF(SUMPRODUCT((People!$J$6:$J$12&lt;&gt;"")*(LEFT(LOWER(TRIM($E137))&amp;" ",LEN(People!$J$6:$J$12)+1)=LOWER(People!$J$6:$J$12)&amp;" "))&gt;0,1,0))))</f>
        <v/>
      </c>
      <c r="Z137" s="32">
        <f>IF($T137=0,0,IF(NOT(ISNUMBER($B137)),1,IF($B137&gt;Summary!$K$3,1,0)))</f>
        <v/>
      </c>
      <c r="AA137" s="32">
        <f>IF($T137=0,0,IF($F137="",IF(SUMPRODUCT(--(LOWER(LEFT($C137,LEN(People!$B$30:$B$36)+1))=LOWER(People!$B$30:$B$36)&amp;":"))&gt;0,3,0),IF(ISNA(MATCH($F137,People!$B$30:$B$36,0)),1,IF(LEN(INDEX(People!$C$30:$C$36,MATCH($F137,People!$B$30:$B$36,0))&amp;"")=0,2,IF(TRIM($D137)&lt;&gt;INDEX(People!$C$30:$C$36,MATCH($F137,People!$B$30:$B$36,0)),1,0)))))</f>
        <v/>
      </c>
      <c r="AB137" s="32">
        <f>IF(OR($T137=0,$I137=""),0,IF(OR($I137=$A137,COUNTIF($A$4:$A$153,$I137)=0),1,IF(INDEX($B$4:$B$153,MATCH($I137,$A$4:$A$153,0))&gt;$B137,1,0)))</f>
        <v/>
      </c>
      <c r="AC137" s="32">
        <f>IF(AND($V137=1,LEN(TRIM($G137))=0),1,0)</f>
        <v/>
      </c>
      <c r="AD137" s="32">
        <f>IF($T137=0,0,IFERROR(VALUE(MID($A137,4,9)),0))</f>
        <v/>
      </c>
    </row>
    <row r="138" ht="18" customHeight="1">
      <c r="A138" s="27" t="n"/>
      <c r="B138" s="28" t="n"/>
      <c r="C138" s="29" t="n"/>
      <c r="D138" s="29" t="n"/>
      <c r="E138" s="29" t="n"/>
      <c r="F138" s="29" t="n"/>
      <c r="G138" s="29" t="n"/>
      <c r="H138" s="29" t="n"/>
      <c r="I138" s="27" t="n"/>
      <c r="J138" s="30">
        <f>IF(OR($T138=0,$U138=0),"",INDEX($A$4:$A$153,MATCH($A138,$I$4:$I$153,0)))</f>
        <v/>
      </c>
      <c r="K138" s="31">
        <f>IF($T138=0,"",IF(COUNTIF($X138:$AC138,"&gt;0")=0,"○ Clear",TRIM("△ "&amp;COUNTIF($X138:$AC138,"&gt;0")&amp;IF(COUNTIF($X138:$AC138,"&gt;0")=1," problem: "," problems: ")&amp;IF($X138&gt;0,"Decided by needs one name from People, and a body needs members and a signer. ","")&amp;IF($Y138&gt;0,"Why or evidence needs the reason itself, in three words or more. ","")&amp;IF($Z138&gt;0,"Date needs the day it was decided, no later than As of. ","")&amp;IF($AA138=1,IF(ISNA(MATCH($F138,People!$B$30:$B$36,0)),"Gate isn't one of the gate names on People. ","People names "&amp;INDEX(People!$C$30:$C$36,MATCH($F138,People!$B$30:$B$36,0))&amp;" to decide "&amp;$F138&amp;". "),IF($AA138=2,"People names nobody to decide "&amp;$F138&amp;". ",IF($AA138=3,"The Decision opens with a gate's name, so pick that gate in Gate. ","")))&amp;IF($AB138&gt;0,"Replaces needs the Id of a row dated no later than this one. ","")&amp;IF($AC138&gt;0,"Record elsewhere needs the name of the record the other file keeps. ",""))))</f>
        <v/>
      </c>
      <c r="T138" s="32">
        <f>IF(COUNTA($A138:$I138)&gt;0,1,0)</f>
        <v/>
      </c>
      <c r="U138" s="32">
        <f>IF(OR($T138=0,$A138=""),0,IF(COUNTIF($I$4:$I$153,$A138)&gt;0,1,0))</f>
        <v/>
      </c>
      <c r="V138" s="32">
        <f>IF(AND($T138=1,$H138&lt;&gt;"",$H138&lt;&gt;"This log"),1,0)</f>
        <v/>
      </c>
      <c r="W138" s="26">
        <f>IF($T138=0,"",","&amp;SUBSTITUTE(SUBSTITUTE($G138&amp;","&amp;$F138," ",""),";",",")&amp;",")</f>
        <v/>
      </c>
      <c r="X138" s="32">
        <f>IF($T138=0,0,IF(LEN(TRIM($D138))=0,1,IF(COUNTIF(People!$D$6:$D$25,TRIM($D138))=0,1,IF(INDEX(People!$E$6:$E$25,MATCH(TRIM($D138),People!$D$6:$D$25,0))&lt;&gt;"Body",0,IF(OR(LEN(TRIM(INDEX(People!$F$6:$F$25,MATCH(TRIM($D138),People!$D$6:$D$25,0))))=0,LEN(TRIM(INDEX(People!$G$6:$G$25,MATCH(TRIM($D138),People!$D$6:$D$25,0))))=0),1,0)))))</f>
        <v/>
      </c>
      <c r="Y138" s="32">
        <f>IF($T138=0,0,IF(LEN(TRIM($E138))=0,1,IF(LEN(TRIM($E138))-LEN(SUBSTITUTE(TRIM($E138)," ",""))+1&lt;3,1,IF(SUMPRODUCT((People!$J$6:$J$12&lt;&gt;"")*(LEFT(LOWER(TRIM($E138))&amp;" ",LEN(People!$J$6:$J$12)+1)=LOWER(People!$J$6:$J$12)&amp;" "))&gt;0,1,0))))</f>
        <v/>
      </c>
      <c r="Z138" s="32">
        <f>IF($T138=0,0,IF(NOT(ISNUMBER($B138)),1,IF($B138&gt;Summary!$K$3,1,0)))</f>
        <v/>
      </c>
      <c r="AA138" s="32">
        <f>IF($T138=0,0,IF($F138="",IF(SUMPRODUCT(--(LOWER(LEFT($C138,LEN(People!$B$30:$B$36)+1))=LOWER(People!$B$30:$B$36)&amp;":"))&gt;0,3,0),IF(ISNA(MATCH($F138,People!$B$30:$B$36,0)),1,IF(LEN(INDEX(People!$C$30:$C$36,MATCH($F138,People!$B$30:$B$36,0))&amp;"")=0,2,IF(TRIM($D138)&lt;&gt;INDEX(People!$C$30:$C$36,MATCH($F138,People!$B$30:$B$36,0)),1,0)))))</f>
        <v/>
      </c>
      <c r="AB138" s="32">
        <f>IF(OR($T138=0,$I138=""),0,IF(OR($I138=$A138,COUNTIF($A$4:$A$153,$I138)=0),1,IF(INDEX($B$4:$B$153,MATCH($I138,$A$4:$A$153,0))&gt;$B138,1,0)))</f>
        <v/>
      </c>
      <c r="AC138" s="32">
        <f>IF(AND($V138=1,LEN(TRIM($G138))=0),1,0)</f>
        <v/>
      </c>
      <c r="AD138" s="32">
        <f>IF($T138=0,0,IFERROR(VALUE(MID($A138,4,9)),0))</f>
        <v/>
      </c>
    </row>
    <row r="139" ht="18" customHeight="1">
      <c r="A139" s="27" t="n"/>
      <c r="B139" s="28" t="n"/>
      <c r="C139" s="29" t="n"/>
      <c r="D139" s="29" t="n"/>
      <c r="E139" s="29" t="n"/>
      <c r="F139" s="29" t="n"/>
      <c r="G139" s="29" t="n"/>
      <c r="H139" s="29" t="n"/>
      <c r="I139" s="27" t="n"/>
      <c r="J139" s="30">
        <f>IF(OR($T139=0,$U139=0),"",INDEX($A$4:$A$153,MATCH($A139,$I$4:$I$153,0)))</f>
        <v/>
      </c>
      <c r="K139" s="31">
        <f>IF($T139=0,"",IF(COUNTIF($X139:$AC139,"&gt;0")=0,"○ Clear",TRIM("△ "&amp;COUNTIF($X139:$AC139,"&gt;0")&amp;IF(COUNTIF($X139:$AC139,"&gt;0")=1," problem: "," problems: ")&amp;IF($X139&gt;0,"Decided by needs one name from People, and a body needs members and a signer. ","")&amp;IF($Y139&gt;0,"Why or evidence needs the reason itself, in three words or more. ","")&amp;IF($Z139&gt;0,"Date needs the day it was decided, no later than As of. ","")&amp;IF($AA139=1,IF(ISNA(MATCH($F139,People!$B$30:$B$36,0)),"Gate isn't one of the gate names on People. ","People names "&amp;INDEX(People!$C$30:$C$36,MATCH($F139,People!$B$30:$B$36,0))&amp;" to decide "&amp;$F139&amp;". "),IF($AA139=2,"People names nobody to decide "&amp;$F139&amp;". ",IF($AA139=3,"The Decision opens with a gate's name, so pick that gate in Gate. ","")))&amp;IF($AB139&gt;0,"Replaces needs the Id of a row dated no later than this one. ","")&amp;IF($AC139&gt;0,"Record elsewhere needs the name of the record the other file keeps. ",""))))</f>
        <v/>
      </c>
      <c r="T139" s="32">
        <f>IF(COUNTA($A139:$I139)&gt;0,1,0)</f>
        <v/>
      </c>
      <c r="U139" s="32">
        <f>IF(OR($T139=0,$A139=""),0,IF(COUNTIF($I$4:$I$153,$A139)&gt;0,1,0))</f>
        <v/>
      </c>
      <c r="V139" s="32">
        <f>IF(AND($T139=1,$H139&lt;&gt;"",$H139&lt;&gt;"This log"),1,0)</f>
        <v/>
      </c>
      <c r="W139" s="26">
        <f>IF($T139=0,"",","&amp;SUBSTITUTE(SUBSTITUTE($G139&amp;","&amp;$F139," ",""),";",",")&amp;",")</f>
        <v/>
      </c>
      <c r="X139" s="32">
        <f>IF($T139=0,0,IF(LEN(TRIM($D139))=0,1,IF(COUNTIF(People!$D$6:$D$25,TRIM($D139))=0,1,IF(INDEX(People!$E$6:$E$25,MATCH(TRIM($D139),People!$D$6:$D$25,0))&lt;&gt;"Body",0,IF(OR(LEN(TRIM(INDEX(People!$F$6:$F$25,MATCH(TRIM($D139),People!$D$6:$D$25,0))))=0,LEN(TRIM(INDEX(People!$G$6:$G$25,MATCH(TRIM($D139),People!$D$6:$D$25,0))))=0),1,0)))))</f>
        <v/>
      </c>
      <c r="Y139" s="32">
        <f>IF($T139=0,0,IF(LEN(TRIM($E139))=0,1,IF(LEN(TRIM($E139))-LEN(SUBSTITUTE(TRIM($E139)," ",""))+1&lt;3,1,IF(SUMPRODUCT((People!$J$6:$J$12&lt;&gt;"")*(LEFT(LOWER(TRIM($E139))&amp;" ",LEN(People!$J$6:$J$12)+1)=LOWER(People!$J$6:$J$12)&amp;" "))&gt;0,1,0))))</f>
        <v/>
      </c>
      <c r="Z139" s="32">
        <f>IF($T139=0,0,IF(NOT(ISNUMBER($B139)),1,IF($B139&gt;Summary!$K$3,1,0)))</f>
        <v/>
      </c>
      <c r="AA139" s="32">
        <f>IF($T139=0,0,IF($F139="",IF(SUMPRODUCT(--(LOWER(LEFT($C139,LEN(People!$B$30:$B$36)+1))=LOWER(People!$B$30:$B$36)&amp;":"))&gt;0,3,0),IF(ISNA(MATCH($F139,People!$B$30:$B$36,0)),1,IF(LEN(INDEX(People!$C$30:$C$36,MATCH($F139,People!$B$30:$B$36,0))&amp;"")=0,2,IF(TRIM($D139)&lt;&gt;INDEX(People!$C$30:$C$36,MATCH($F139,People!$B$30:$B$36,0)),1,0)))))</f>
        <v/>
      </c>
      <c r="AB139" s="32">
        <f>IF(OR($T139=0,$I139=""),0,IF(OR($I139=$A139,COUNTIF($A$4:$A$153,$I139)=0),1,IF(INDEX($B$4:$B$153,MATCH($I139,$A$4:$A$153,0))&gt;$B139,1,0)))</f>
        <v/>
      </c>
      <c r="AC139" s="32">
        <f>IF(AND($V139=1,LEN(TRIM($G139))=0),1,0)</f>
        <v/>
      </c>
      <c r="AD139" s="32">
        <f>IF($T139=0,0,IFERROR(VALUE(MID($A139,4,9)),0))</f>
        <v/>
      </c>
    </row>
    <row r="140" ht="18" customHeight="1">
      <c r="A140" s="27" t="n"/>
      <c r="B140" s="28" t="n"/>
      <c r="C140" s="29" t="n"/>
      <c r="D140" s="29" t="n"/>
      <c r="E140" s="29" t="n"/>
      <c r="F140" s="29" t="n"/>
      <c r="G140" s="29" t="n"/>
      <c r="H140" s="29" t="n"/>
      <c r="I140" s="27" t="n"/>
      <c r="J140" s="30">
        <f>IF(OR($T140=0,$U140=0),"",INDEX($A$4:$A$153,MATCH($A140,$I$4:$I$153,0)))</f>
        <v/>
      </c>
      <c r="K140" s="31">
        <f>IF($T140=0,"",IF(COUNTIF($X140:$AC140,"&gt;0")=0,"○ Clear",TRIM("△ "&amp;COUNTIF($X140:$AC140,"&gt;0")&amp;IF(COUNTIF($X140:$AC140,"&gt;0")=1," problem: "," problems: ")&amp;IF($X140&gt;0,"Decided by needs one name from People, and a body needs members and a signer. ","")&amp;IF($Y140&gt;0,"Why or evidence needs the reason itself, in three words or more. ","")&amp;IF($Z140&gt;0,"Date needs the day it was decided, no later than As of. ","")&amp;IF($AA140=1,IF(ISNA(MATCH($F140,People!$B$30:$B$36,0)),"Gate isn't one of the gate names on People. ","People names "&amp;INDEX(People!$C$30:$C$36,MATCH($F140,People!$B$30:$B$36,0))&amp;" to decide "&amp;$F140&amp;". "),IF($AA140=2,"People names nobody to decide "&amp;$F140&amp;". ",IF($AA140=3,"The Decision opens with a gate's name, so pick that gate in Gate. ","")))&amp;IF($AB140&gt;0,"Replaces needs the Id of a row dated no later than this one. ","")&amp;IF($AC140&gt;0,"Record elsewhere needs the name of the record the other file keeps. ",""))))</f>
        <v/>
      </c>
      <c r="T140" s="32">
        <f>IF(COUNTA($A140:$I140)&gt;0,1,0)</f>
        <v/>
      </c>
      <c r="U140" s="32">
        <f>IF(OR($T140=0,$A140=""),0,IF(COUNTIF($I$4:$I$153,$A140)&gt;0,1,0))</f>
        <v/>
      </c>
      <c r="V140" s="32">
        <f>IF(AND($T140=1,$H140&lt;&gt;"",$H140&lt;&gt;"This log"),1,0)</f>
        <v/>
      </c>
      <c r="W140" s="26">
        <f>IF($T140=0,"",","&amp;SUBSTITUTE(SUBSTITUTE($G140&amp;","&amp;$F140," ",""),";",",")&amp;",")</f>
        <v/>
      </c>
      <c r="X140" s="32">
        <f>IF($T140=0,0,IF(LEN(TRIM($D140))=0,1,IF(COUNTIF(People!$D$6:$D$25,TRIM($D140))=0,1,IF(INDEX(People!$E$6:$E$25,MATCH(TRIM($D140),People!$D$6:$D$25,0))&lt;&gt;"Body",0,IF(OR(LEN(TRIM(INDEX(People!$F$6:$F$25,MATCH(TRIM($D140),People!$D$6:$D$25,0))))=0,LEN(TRIM(INDEX(People!$G$6:$G$25,MATCH(TRIM($D140),People!$D$6:$D$25,0))))=0),1,0)))))</f>
        <v/>
      </c>
      <c r="Y140" s="32">
        <f>IF($T140=0,0,IF(LEN(TRIM($E140))=0,1,IF(LEN(TRIM($E140))-LEN(SUBSTITUTE(TRIM($E140)," ",""))+1&lt;3,1,IF(SUMPRODUCT((People!$J$6:$J$12&lt;&gt;"")*(LEFT(LOWER(TRIM($E140))&amp;" ",LEN(People!$J$6:$J$12)+1)=LOWER(People!$J$6:$J$12)&amp;" "))&gt;0,1,0))))</f>
        <v/>
      </c>
      <c r="Z140" s="32">
        <f>IF($T140=0,0,IF(NOT(ISNUMBER($B140)),1,IF($B140&gt;Summary!$K$3,1,0)))</f>
        <v/>
      </c>
      <c r="AA140" s="32">
        <f>IF($T140=0,0,IF($F140="",IF(SUMPRODUCT(--(LOWER(LEFT($C140,LEN(People!$B$30:$B$36)+1))=LOWER(People!$B$30:$B$36)&amp;":"))&gt;0,3,0),IF(ISNA(MATCH($F140,People!$B$30:$B$36,0)),1,IF(LEN(INDEX(People!$C$30:$C$36,MATCH($F140,People!$B$30:$B$36,0))&amp;"")=0,2,IF(TRIM($D140)&lt;&gt;INDEX(People!$C$30:$C$36,MATCH($F140,People!$B$30:$B$36,0)),1,0)))))</f>
        <v/>
      </c>
      <c r="AB140" s="32">
        <f>IF(OR($T140=0,$I140=""),0,IF(OR($I140=$A140,COUNTIF($A$4:$A$153,$I140)=0),1,IF(INDEX($B$4:$B$153,MATCH($I140,$A$4:$A$153,0))&gt;$B140,1,0)))</f>
        <v/>
      </c>
      <c r="AC140" s="32">
        <f>IF(AND($V140=1,LEN(TRIM($G140))=0),1,0)</f>
        <v/>
      </c>
      <c r="AD140" s="32">
        <f>IF($T140=0,0,IFERROR(VALUE(MID($A140,4,9)),0))</f>
        <v/>
      </c>
    </row>
    <row r="141" ht="18" customHeight="1">
      <c r="A141" s="27" t="n"/>
      <c r="B141" s="28" t="n"/>
      <c r="C141" s="29" t="n"/>
      <c r="D141" s="29" t="n"/>
      <c r="E141" s="29" t="n"/>
      <c r="F141" s="29" t="n"/>
      <c r="G141" s="29" t="n"/>
      <c r="H141" s="29" t="n"/>
      <c r="I141" s="27" t="n"/>
      <c r="J141" s="30">
        <f>IF(OR($T141=0,$U141=0),"",INDEX($A$4:$A$153,MATCH($A141,$I$4:$I$153,0)))</f>
        <v/>
      </c>
      <c r="K141" s="31">
        <f>IF($T141=0,"",IF(COUNTIF($X141:$AC141,"&gt;0")=0,"○ Clear",TRIM("△ "&amp;COUNTIF($X141:$AC141,"&gt;0")&amp;IF(COUNTIF($X141:$AC141,"&gt;0")=1," problem: "," problems: ")&amp;IF($X141&gt;0,"Decided by needs one name from People, and a body needs members and a signer. ","")&amp;IF($Y141&gt;0,"Why or evidence needs the reason itself, in three words or more. ","")&amp;IF($Z141&gt;0,"Date needs the day it was decided, no later than As of. ","")&amp;IF($AA141=1,IF(ISNA(MATCH($F141,People!$B$30:$B$36,0)),"Gate isn't one of the gate names on People. ","People names "&amp;INDEX(People!$C$30:$C$36,MATCH($F141,People!$B$30:$B$36,0))&amp;" to decide "&amp;$F141&amp;". "),IF($AA141=2,"People names nobody to decide "&amp;$F141&amp;". ",IF($AA141=3,"The Decision opens with a gate's name, so pick that gate in Gate. ","")))&amp;IF($AB141&gt;0,"Replaces needs the Id of a row dated no later than this one. ","")&amp;IF($AC141&gt;0,"Record elsewhere needs the name of the record the other file keeps. ",""))))</f>
        <v/>
      </c>
      <c r="T141" s="32">
        <f>IF(COUNTA($A141:$I141)&gt;0,1,0)</f>
        <v/>
      </c>
      <c r="U141" s="32">
        <f>IF(OR($T141=0,$A141=""),0,IF(COUNTIF($I$4:$I$153,$A141)&gt;0,1,0))</f>
        <v/>
      </c>
      <c r="V141" s="32">
        <f>IF(AND($T141=1,$H141&lt;&gt;"",$H141&lt;&gt;"This log"),1,0)</f>
        <v/>
      </c>
      <c r="W141" s="26">
        <f>IF($T141=0,"",","&amp;SUBSTITUTE(SUBSTITUTE($G141&amp;","&amp;$F141," ",""),";",",")&amp;",")</f>
        <v/>
      </c>
      <c r="X141" s="32">
        <f>IF($T141=0,0,IF(LEN(TRIM($D141))=0,1,IF(COUNTIF(People!$D$6:$D$25,TRIM($D141))=0,1,IF(INDEX(People!$E$6:$E$25,MATCH(TRIM($D141),People!$D$6:$D$25,0))&lt;&gt;"Body",0,IF(OR(LEN(TRIM(INDEX(People!$F$6:$F$25,MATCH(TRIM($D141),People!$D$6:$D$25,0))))=0,LEN(TRIM(INDEX(People!$G$6:$G$25,MATCH(TRIM($D141),People!$D$6:$D$25,0))))=0),1,0)))))</f>
        <v/>
      </c>
      <c r="Y141" s="32">
        <f>IF($T141=0,0,IF(LEN(TRIM($E141))=0,1,IF(LEN(TRIM($E141))-LEN(SUBSTITUTE(TRIM($E141)," ",""))+1&lt;3,1,IF(SUMPRODUCT((People!$J$6:$J$12&lt;&gt;"")*(LEFT(LOWER(TRIM($E141))&amp;" ",LEN(People!$J$6:$J$12)+1)=LOWER(People!$J$6:$J$12)&amp;" "))&gt;0,1,0))))</f>
        <v/>
      </c>
      <c r="Z141" s="32">
        <f>IF($T141=0,0,IF(NOT(ISNUMBER($B141)),1,IF($B141&gt;Summary!$K$3,1,0)))</f>
        <v/>
      </c>
      <c r="AA141" s="32">
        <f>IF($T141=0,0,IF($F141="",IF(SUMPRODUCT(--(LOWER(LEFT($C141,LEN(People!$B$30:$B$36)+1))=LOWER(People!$B$30:$B$36)&amp;":"))&gt;0,3,0),IF(ISNA(MATCH($F141,People!$B$30:$B$36,0)),1,IF(LEN(INDEX(People!$C$30:$C$36,MATCH($F141,People!$B$30:$B$36,0))&amp;"")=0,2,IF(TRIM($D141)&lt;&gt;INDEX(People!$C$30:$C$36,MATCH($F141,People!$B$30:$B$36,0)),1,0)))))</f>
        <v/>
      </c>
      <c r="AB141" s="32">
        <f>IF(OR($T141=0,$I141=""),0,IF(OR($I141=$A141,COUNTIF($A$4:$A$153,$I141)=0),1,IF(INDEX($B$4:$B$153,MATCH($I141,$A$4:$A$153,0))&gt;$B141,1,0)))</f>
        <v/>
      </c>
      <c r="AC141" s="32">
        <f>IF(AND($V141=1,LEN(TRIM($G141))=0),1,0)</f>
        <v/>
      </c>
      <c r="AD141" s="32">
        <f>IF($T141=0,0,IFERROR(VALUE(MID($A141,4,9)),0))</f>
        <v/>
      </c>
    </row>
    <row r="142" ht="18" customHeight="1">
      <c r="A142" s="27" t="n"/>
      <c r="B142" s="28" t="n"/>
      <c r="C142" s="29" t="n"/>
      <c r="D142" s="29" t="n"/>
      <c r="E142" s="29" t="n"/>
      <c r="F142" s="29" t="n"/>
      <c r="G142" s="29" t="n"/>
      <c r="H142" s="29" t="n"/>
      <c r="I142" s="27" t="n"/>
      <c r="J142" s="30">
        <f>IF(OR($T142=0,$U142=0),"",INDEX($A$4:$A$153,MATCH($A142,$I$4:$I$153,0)))</f>
        <v/>
      </c>
      <c r="K142" s="31">
        <f>IF($T142=0,"",IF(COUNTIF($X142:$AC142,"&gt;0")=0,"○ Clear",TRIM("△ "&amp;COUNTIF($X142:$AC142,"&gt;0")&amp;IF(COUNTIF($X142:$AC142,"&gt;0")=1," problem: "," problems: ")&amp;IF($X142&gt;0,"Decided by needs one name from People, and a body needs members and a signer. ","")&amp;IF($Y142&gt;0,"Why or evidence needs the reason itself, in three words or more. ","")&amp;IF($Z142&gt;0,"Date needs the day it was decided, no later than As of. ","")&amp;IF($AA142=1,IF(ISNA(MATCH($F142,People!$B$30:$B$36,0)),"Gate isn't one of the gate names on People. ","People names "&amp;INDEX(People!$C$30:$C$36,MATCH($F142,People!$B$30:$B$36,0))&amp;" to decide "&amp;$F142&amp;". "),IF($AA142=2,"People names nobody to decide "&amp;$F142&amp;". ",IF($AA142=3,"The Decision opens with a gate's name, so pick that gate in Gate. ","")))&amp;IF($AB142&gt;0,"Replaces needs the Id of a row dated no later than this one. ","")&amp;IF($AC142&gt;0,"Record elsewhere needs the name of the record the other file keeps. ",""))))</f>
        <v/>
      </c>
      <c r="T142" s="32">
        <f>IF(COUNTA($A142:$I142)&gt;0,1,0)</f>
        <v/>
      </c>
      <c r="U142" s="32">
        <f>IF(OR($T142=0,$A142=""),0,IF(COUNTIF($I$4:$I$153,$A142)&gt;0,1,0))</f>
        <v/>
      </c>
      <c r="V142" s="32">
        <f>IF(AND($T142=1,$H142&lt;&gt;"",$H142&lt;&gt;"This log"),1,0)</f>
        <v/>
      </c>
      <c r="W142" s="26">
        <f>IF($T142=0,"",","&amp;SUBSTITUTE(SUBSTITUTE($G142&amp;","&amp;$F142," ",""),";",",")&amp;",")</f>
        <v/>
      </c>
      <c r="X142" s="32">
        <f>IF($T142=0,0,IF(LEN(TRIM($D142))=0,1,IF(COUNTIF(People!$D$6:$D$25,TRIM($D142))=0,1,IF(INDEX(People!$E$6:$E$25,MATCH(TRIM($D142),People!$D$6:$D$25,0))&lt;&gt;"Body",0,IF(OR(LEN(TRIM(INDEX(People!$F$6:$F$25,MATCH(TRIM($D142),People!$D$6:$D$25,0))))=0,LEN(TRIM(INDEX(People!$G$6:$G$25,MATCH(TRIM($D142),People!$D$6:$D$25,0))))=0),1,0)))))</f>
        <v/>
      </c>
      <c r="Y142" s="32">
        <f>IF($T142=0,0,IF(LEN(TRIM($E142))=0,1,IF(LEN(TRIM($E142))-LEN(SUBSTITUTE(TRIM($E142)," ",""))+1&lt;3,1,IF(SUMPRODUCT((People!$J$6:$J$12&lt;&gt;"")*(LEFT(LOWER(TRIM($E142))&amp;" ",LEN(People!$J$6:$J$12)+1)=LOWER(People!$J$6:$J$12)&amp;" "))&gt;0,1,0))))</f>
        <v/>
      </c>
      <c r="Z142" s="32">
        <f>IF($T142=0,0,IF(NOT(ISNUMBER($B142)),1,IF($B142&gt;Summary!$K$3,1,0)))</f>
        <v/>
      </c>
      <c r="AA142" s="32">
        <f>IF($T142=0,0,IF($F142="",IF(SUMPRODUCT(--(LOWER(LEFT($C142,LEN(People!$B$30:$B$36)+1))=LOWER(People!$B$30:$B$36)&amp;":"))&gt;0,3,0),IF(ISNA(MATCH($F142,People!$B$30:$B$36,0)),1,IF(LEN(INDEX(People!$C$30:$C$36,MATCH($F142,People!$B$30:$B$36,0))&amp;"")=0,2,IF(TRIM($D142)&lt;&gt;INDEX(People!$C$30:$C$36,MATCH($F142,People!$B$30:$B$36,0)),1,0)))))</f>
        <v/>
      </c>
      <c r="AB142" s="32">
        <f>IF(OR($T142=0,$I142=""),0,IF(OR($I142=$A142,COUNTIF($A$4:$A$153,$I142)=0),1,IF(INDEX($B$4:$B$153,MATCH($I142,$A$4:$A$153,0))&gt;$B142,1,0)))</f>
        <v/>
      </c>
      <c r="AC142" s="32">
        <f>IF(AND($V142=1,LEN(TRIM($G142))=0),1,0)</f>
        <v/>
      </c>
      <c r="AD142" s="32">
        <f>IF($T142=0,0,IFERROR(VALUE(MID($A142,4,9)),0))</f>
        <v/>
      </c>
    </row>
    <row r="143" ht="18" customHeight="1">
      <c r="A143" s="27" t="n"/>
      <c r="B143" s="28" t="n"/>
      <c r="C143" s="29" t="n"/>
      <c r="D143" s="29" t="n"/>
      <c r="E143" s="29" t="n"/>
      <c r="F143" s="29" t="n"/>
      <c r="G143" s="29" t="n"/>
      <c r="H143" s="29" t="n"/>
      <c r="I143" s="27" t="n"/>
      <c r="J143" s="30">
        <f>IF(OR($T143=0,$U143=0),"",INDEX($A$4:$A$153,MATCH($A143,$I$4:$I$153,0)))</f>
        <v/>
      </c>
      <c r="K143" s="31">
        <f>IF($T143=0,"",IF(COUNTIF($X143:$AC143,"&gt;0")=0,"○ Clear",TRIM("△ "&amp;COUNTIF($X143:$AC143,"&gt;0")&amp;IF(COUNTIF($X143:$AC143,"&gt;0")=1," problem: "," problems: ")&amp;IF($X143&gt;0,"Decided by needs one name from People, and a body needs members and a signer. ","")&amp;IF($Y143&gt;0,"Why or evidence needs the reason itself, in three words or more. ","")&amp;IF($Z143&gt;0,"Date needs the day it was decided, no later than As of. ","")&amp;IF($AA143=1,IF(ISNA(MATCH($F143,People!$B$30:$B$36,0)),"Gate isn't one of the gate names on People. ","People names "&amp;INDEX(People!$C$30:$C$36,MATCH($F143,People!$B$30:$B$36,0))&amp;" to decide "&amp;$F143&amp;". "),IF($AA143=2,"People names nobody to decide "&amp;$F143&amp;". ",IF($AA143=3,"The Decision opens with a gate's name, so pick that gate in Gate. ","")))&amp;IF($AB143&gt;0,"Replaces needs the Id of a row dated no later than this one. ","")&amp;IF($AC143&gt;0,"Record elsewhere needs the name of the record the other file keeps. ",""))))</f>
        <v/>
      </c>
      <c r="T143" s="32">
        <f>IF(COUNTA($A143:$I143)&gt;0,1,0)</f>
        <v/>
      </c>
      <c r="U143" s="32">
        <f>IF(OR($T143=0,$A143=""),0,IF(COUNTIF($I$4:$I$153,$A143)&gt;0,1,0))</f>
        <v/>
      </c>
      <c r="V143" s="32">
        <f>IF(AND($T143=1,$H143&lt;&gt;"",$H143&lt;&gt;"This log"),1,0)</f>
        <v/>
      </c>
      <c r="W143" s="26">
        <f>IF($T143=0,"",","&amp;SUBSTITUTE(SUBSTITUTE($G143&amp;","&amp;$F143," ",""),";",",")&amp;",")</f>
        <v/>
      </c>
      <c r="X143" s="32">
        <f>IF($T143=0,0,IF(LEN(TRIM($D143))=0,1,IF(COUNTIF(People!$D$6:$D$25,TRIM($D143))=0,1,IF(INDEX(People!$E$6:$E$25,MATCH(TRIM($D143),People!$D$6:$D$25,0))&lt;&gt;"Body",0,IF(OR(LEN(TRIM(INDEX(People!$F$6:$F$25,MATCH(TRIM($D143),People!$D$6:$D$25,0))))=0,LEN(TRIM(INDEX(People!$G$6:$G$25,MATCH(TRIM($D143),People!$D$6:$D$25,0))))=0),1,0)))))</f>
        <v/>
      </c>
      <c r="Y143" s="32">
        <f>IF($T143=0,0,IF(LEN(TRIM($E143))=0,1,IF(LEN(TRIM($E143))-LEN(SUBSTITUTE(TRIM($E143)," ",""))+1&lt;3,1,IF(SUMPRODUCT((People!$J$6:$J$12&lt;&gt;"")*(LEFT(LOWER(TRIM($E143))&amp;" ",LEN(People!$J$6:$J$12)+1)=LOWER(People!$J$6:$J$12)&amp;" "))&gt;0,1,0))))</f>
        <v/>
      </c>
      <c r="Z143" s="32">
        <f>IF($T143=0,0,IF(NOT(ISNUMBER($B143)),1,IF($B143&gt;Summary!$K$3,1,0)))</f>
        <v/>
      </c>
      <c r="AA143" s="32">
        <f>IF($T143=0,0,IF($F143="",IF(SUMPRODUCT(--(LOWER(LEFT($C143,LEN(People!$B$30:$B$36)+1))=LOWER(People!$B$30:$B$36)&amp;":"))&gt;0,3,0),IF(ISNA(MATCH($F143,People!$B$30:$B$36,0)),1,IF(LEN(INDEX(People!$C$30:$C$36,MATCH($F143,People!$B$30:$B$36,0))&amp;"")=0,2,IF(TRIM($D143)&lt;&gt;INDEX(People!$C$30:$C$36,MATCH($F143,People!$B$30:$B$36,0)),1,0)))))</f>
        <v/>
      </c>
      <c r="AB143" s="32">
        <f>IF(OR($T143=0,$I143=""),0,IF(OR($I143=$A143,COUNTIF($A$4:$A$153,$I143)=0),1,IF(INDEX($B$4:$B$153,MATCH($I143,$A$4:$A$153,0))&gt;$B143,1,0)))</f>
        <v/>
      </c>
      <c r="AC143" s="32">
        <f>IF(AND($V143=1,LEN(TRIM($G143))=0),1,0)</f>
        <v/>
      </c>
      <c r="AD143" s="32">
        <f>IF($T143=0,0,IFERROR(VALUE(MID($A143,4,9)),0))</f>
        <v/>
      </c>
    </row>
    <row r="144" ht="18" customHeight="1">
      <c r="A144" s="27" t="n"/>
      <c r="B144" s="28" t="n"/>
      <c r="C144" s="29" t="n"/>
      <c r="D144" s="29" t="n"/>
      <c r="E144" s="29" t="n"/>
      <c r="F144" s="29" t="n"/>
      <c r="G144" s="29" t="n"/>
      <c r="H144" s="29" t="n"/>
      <c r="I144" s="27" t="n"/>
      <c r="J144" s="30">
        <f>IF(OR($T144=0,$U144=0),"",INDEX($A$4:$A$153,MATCH($A144,$I$4:$I$153,0)))</f>
        <v/>
      </c>
      <c r="K144" s="31">
        <f>IF($T144=0,"",IF(COUNTIF($X144:$AC144,"&gt;0")=0,"○ Clear",TRIM("△ "&amp;COUNTIF($X144:$AC144,"&gt;0")&amp;IF(COUNTIF($X144:$AC144,"&gt;0")=1," problem: "," problems: ")&amp;IF($X144&gt;0,"Decided by needs one name from People, and a body needs members and a signer. ","")&amp;IF($Y144&gt;0,"Why or evidence needs the reason itself, in three words or more. ","")&amp;IF($Z144&gt;0,"Date needs the day it was decided, no later than As of. ","")&amp;IF($AA144=1,IF(ISNA(MATCH($F144,People!$B$30:$B$36,0)),"Gate isn't one of the gate names on People. ","People names "&amp;INDEX(People!$C$30:$C$36,MATCH($F144,People!$B$30:$B$36,0))&amp;" to decide "&amp;$F144&amp;". "),IF($AA144=2,"People names nobody to decide "&amp;$F144&amp;". ",IF($AA144=3,"The Decision opens with a gate's name, so pick that gate in Gate. ","")))&amp;IF($AB144&gt;0,"Replaces needs the Id of a row dated no later than this one. ","")&amp;IF($AC144&gt;0,"Record elsewhere needs the name of the record the other file keeps. ",""))))</f>
        <v/>
      </c>
      <c r="T144" s="32">
        <f>IF(COUNTA($A144:$I144)&gt;0,1,0)</f>
        <v/>
      </c>
      <c r="U144" s="32">
        <f>IF(OR($T144=0,$A144=""),0,IF(COUNTIF($I$4:$I$153,$A144)&gt;0,1,0))</f>
        <v/>
      </c>
      <c r="V144" s="32">
        <f>IF(AND($T144=1,$H144&lt;&gt;"",$H144&lt;&gt;"This log"),1,0)</f>
        <v/>
      </c>
      <c r="W144" s="26">
        <f>IF($T144=0,"",","&amp;SUBSTITUTE(SUBSTITUTE($G144&amp;","&amp;$F144," ",""),";",",")&amp;",")</f>
        <v/>
      </c>
      <c r="X144" s="32">
        <f>IF($T144=0,0,IF(LEN(TRIM($D144))=0,1,IF(COUNTIF(People!$D$6:$D$25,TRIM($D144))=0,1,IF(INDEX(People!$E$6:$E$25,MATCH(TRIM($D144),People!$D$6:$D$25,0))&lt;&gt;"Body",0,IF(OR(LEN(TRIM(INDEX(People!$F$6:$F$25,MATCH(TRIM($D144),People!$D$6:$D$25,0))))=0,LEN(TRIM(INDEX(People!$G$6:$G$25,MATCH(TRIM($D144),People!$D$6:$D$25,0))))=0),1,0)))))</f>
        <v/>
      </c>
      <c r="Y144" s="32">
        <f>IF($T144=0,0,IF(LEN(TRIM($E144))=0,1,IF(LEN(TRIM($E144))-LEN(SUBSTITUTE(TRIM($E144)," ",""))+1&lt;3,1,IF(SUMPRODUCT((People!$J$6:$J$12&lt;&gt;"")*(LEFT(LOWER(TRIM($E144))&amp;" ",LEN(People!$J$6:$J$12)+1)=LOWER(People!$J$6:$J$12)&amp;" "))&gt;0,1,0))))</f>
        <v/>
      </c>
      <c r="Z144" s="32">
        <f>IF($T144=0,0,IF(NOT(ISNUMBER($B144)),1,IF($B144&gt;Summary!$K$3,1,0)))</f>
        <v/>
      </c>
      <c r="AA144" s="32">
        <f>IF($T144=0,0,IF($F144="",IF(SUMPRODUCT(--(LOWER(LEFT($C144,LEN(People!$B$30:$B$36)+1))=LOWER(People!$B$30:$B$36)&amp;":"))&gt;0,3,0),IF(ISNA(MATCH($F144,People!$B$30:$B$36,0)),1,IF(LEN(INDEX(People!$C$30:$C$36,MATCH($F144,People!$B$30:$B$36,0))&amp;"")=0,2,IF(TRIM($D144)&lt;&gt;INDEX(People!$C$30:$C$36,MATCH($F144,People!$B$30:$B$36,0)),1,0)))))</f>
        <v/>
      </c>
      <c r="AB144" s="32">
        <f>IF(OR($T144=0,$I144=""),0,IF(OR($I144=$A144,COUNTIF($A$4:$A$153,$I144)=0),1,IF(INDEX($B$4:$B$153,MATCH($I144,$A$4:$A$153,0))&gt;$B144,1,0)))</f>
        <v/>
      </c>
      <c r="AC144" s="32">
        <f>IF(AND($V144=1,LEN(TRIM($G144))=0),1,0)</f>
        <v/>
      </c>
      <c r="AD144" s="32">
        <f>IF($T144=0,0,IFERROR(VALUE(MID($A144,4,9)),0))</f>
        <v/>
      </c>
    </row>
    <row r="145" ht="18" customHeight="1">
      <c r="A145" s="27" t="n"/>
      <c r="B145" s="28" t="n"/>
      <c r="C145" s="29" t="n"/>
      <c r="D145" s="29" t="n"/>
      <c r="E145" s="29" t="n"/>
      <c r="F145" s="29" t="n"/>
      <c r="G145" s="29" t="n"/>
      <c r="H145" s="29" t="n"/>
      <c r="I145" s="27" t="n"/>
      <c r="J145" s="30">
        <f>IF(OR($T145=0,$U145=0),"",INDEX($A$4:$A$153,MATCH($A145,$I$4:$I$153,0)))</f>
        <v/>
      </c>
      <c r="K145" s="31">
        <f>IF($T145=0,"",IF(COUNTIF($X145:$AC145,"&gt;0")=0,"○ Clear",TRIM("△ "&amp;COUNTIF($X145:$AC145,"&gt;0")&amp;IF(COUNTIF($X145:$AC145,"&gt;0")=1," problem: "," problems: ")&amp;IF($X145&gt;0,"Decided by needs one name from People, and a body needs members and a signer. ","")&amp;IF($Y145&gt;0,"Why or evidence needs the reason itself, in three words or more. ","")&amp;IF($Z145&gt;0,"Date needs the day it was decided, no later than As of. ","")&amp;IF($AA145=1,IF(ISNA(MATCH($F145,People!$B$30:$B$36,0)),"Gate isn't one of the gate names on People. ","People names "&amp;INDEX(People!$C$30:$C$36,MATCH($F145,People!$B$30:$B$36,0))&amp;" to decide "&amp;$F145&amp;". "),IF($AA145=2,"People names nobody to decide "&amp;$F145&amp;". ",IF($AA145=3,"The Decision opens with a gate's name, so pick that gate in Gate. ","")))&amp;IF($AB145&gt;0,"Replaces needs the Id of a row dated no later than this one. ","")&amp;IF($AC145&gt;0,"Record elsewhere needs the name of the record the other file keeps. ",""))))</f>
        <v/>
      </c>
      <c r="T145" s="32">
        <f>IF(COUNTA($A145:$I145)&gt;0,1,0)</f>
        <v/>
      </c>
      <c r="U145" s="32">
        <f>IF(OR($T145=0,$A145=""),0,IF(COUNTIF($I$4:$I$153,$A145)&gt;0,1,0))</f>
        <v/>
      </c>
      <c r="V145" s="32">
        <f>IF(AND($T145=1,$H145&lt;&gt;"",$H145&lt;&gt;"This log"),1,0)</f>
        <v/>
      </c>
      <c r="W145" s="26">
        <f>IF($T145=0,"",","&amp;SUBSTITUTE(SUBSTITUTE($G145&amp;","&amp;$F145," ",""),";",",")&amp;",")</f>
        <v/>
      </c>
      <c r="X145" s="32">
        <f>IF($T145=0,0,IF(LEN(TRIM($D145))=0,1,IF(COUNTIF(People!$D$6:$D$25,TRIM($D145))=0,1,IF(INDEX(People!$E$6:$E$25,MATCH(TRIM($D145),People!$D$6:$D$25,0))&lt;&gt;"Body",0,IF(OR(LEN(TRIM(INDEX(People!$F$6:$F$25,MATCH(TRIM($D145),People!$D$6:$D$25,0))))=0,LEN(TRIM(INDEX(People!$G$6:$G$25,MATCH(TRIM($D145),People!$D$6:$D$25,0))))=0),1,0)))))</f>
        <v/>
      </c>
      <c r="Y145" s="32">
        <f>IF($T145=0,0,IF(LEN(TRIM($E145))=0,1,IF(LEN(TRIM($E145))-LEN(SUBSTITUTE(TRIM($E145)," ",""))+1&lt;3,1,IF(SUMPRODUCT((People!$J$6:$J$12&lt;&gt;"")*(LEFT(LOWER(TRIM($E145))&amp;" ",LEN(People!$J$6:$J$12)+1)=LOWER(People!$J$6:$J$12)&amp;" "))&gt;0,1,0))))</f>
        <v/>
      </c>
      <c r="Z145" s="32">
        <f>IF($T145=0,0,IF(NOT(ISNUMBER($B145)),1,IF($B145&gt;Summary!$K$3,1,0)))</f>
        <v/>
      </c>
      <c r="AA145" s="32">
        <f>IF($T145=0,0,IF($F145="",IF(SUMPRODUCT(--(LOWER(LEFT($C145,LEN(People!$B$30:$B$36)+1))=LOWER(People!$B$30:$B$36)&amp;":"))&gt;0,3,0),IF(ISNA(MATCH($F145,People!$B$30:$B$36,0)),1,IF(LEN(INDEX(People!$C$30:$C$36,MATCH($F145,People!$B$30:$B$36,0))&amp;"")=0,2,IF(TRIM($D145)&lt;&gt;INDEX(People!$C$30:$C$36,MATCH($F145,People!$B$30:$B$36,0)),1,0)))))</f>
        <v/>
      </c>
      <c r="AB145" s="32">
        <f>IF(OR($T145=0,$I145=""),0,IF(OR($I145=$A145,COUNTIF($A$4:$A$153,$I145)=0),1,IF(INDEX($B$4:$B$153,MATCH($I145,$A$4:$A$153,0))&gt;$B145,1,0)))</f>
        <v/>
      </c>
      <c r="AC145" s="32">
        <f>IF(AND($V145=1,LEN(TRIM($G145))=0),1,0)</f>
        <v/>
      </c>
      <c r="AD145" s="32">
        <f>IF($T145=0,0,IFERROR(VALUE(MID($A145,4,9)),0))</f>
        <v/>
      </c>
    </row>
    <row r="146" ht="18" customHeight="1">
      <c r="A146" s="27" t="n"/>
      <c r="B146" s="28" t="n"/>
      <c r="C146" s="29" t="n"/>
      <c r="D146" s="29" t="n"/>
      <c r="E146" s="29" t="n"/>
      <c r="F146" s="29" t="n"/>
      <c r="G146" s="29" t="n"/>
      <c r="H146" s="29" t="n"/>
      <c r="I146" s="27" t="n"/>
      <c r="J146" s="30">
        <f>IF(OR($T146=0,$U146=0),"",INDEX($A$4:$A$153,MATCH($A146,$I$4:$I$153,0)))</f>
        <v/>
      </c>
      <c r="K146" s="31">
        <f>IF($T146=0,"",IF(COUNTIF($X146:$AC146,"&gt;0")=0,"○ Clear",TRIM("△ "&amp;COUNTIF($X146:$AC146,"&gt;0")&amp;IF(COUNTIF($X146:$AC146,"&gt;0")=1," problem: "," problems: ")&amp;IF($X146&gt;0,"Decided by needs one name from People, and a body needs members and a signer. ","")&amp;IF($Y146&gt;0,"Why or evidence needs the reason itself, in three words or more. ","")&amp;IF($Z146&gt;0,"Date needs the day it was decided, no later than As of. ","")&amp;IF($AA146=1,IF(ISNA(MATCH($F146,People!$B$30:$B$36,0)),"Gate isn't one of the gate names on People. ","People names "&amp;INDEX(People!$C$30:$C$36,MATCH($F146,People!$B$30:$B$36,0))&amp;" to decide "&amp;$F146&amp;". "),IF($AA146=2,"People names nobody to decide "&amp;$F146&amp;". ",IF($AA146=3,"The Decision opens with a gate's name, so pick that gate in Gate. ","")))&amp;IF($AB146&gt;0,"Replaces needs the Id of a row dated no later than this one. ","")&amp;IF($AC146&gt;0,"Record elsewhere needs the name of the record the other file keeps. ",""))))</f>
        <v/>
      </c>
      <c r="T146" s="32">
        <f>IF(COUNTA($A146:$I146)&gt;0,1,0)</f>
        <v/>
      </c>
      <c r="U146" s="32">
        <f>IF(OR($T146=0,$A146=""),0,IF(COUNTIF($I$4:$I$153,$A146)&gt;0,1,0))</f>
        <v/>
      </c>
      <c r="V146" s="32">
        <f>IF(AND($T146=1,$H146&lt;&gt;"",$H146&lt;&gt;"This log"),1,0)</f>
        <v/>
      </c>
      <c r="W146" s="26">
        <f>IF($T146=0,"",","&amp;SUBSTITUTE(SUBSTITUTE($G146&amp;","&amp;$F146," ",""),";",",")&amp;",")</f>
        <v/>
      </c>
      <c r="X146" s="32">
        <f>IF($T146=0,0,IF(LEN(TRIM($D146))=0,1,IF(COUNTIF(People!$D$6:$D$25,TRIM($D146))=0,1,IF(INDEX(People!$E$6:$E$25,MATCH(TRIM($D146),People!$D$6:$D$25,0))&lt;&gt;"Body",0,IF(OR(LEN(TRIM(INDEX(People!$F$6:$F$25,MATCH(TRIM($D146),People!$D$6:$D$25,0))))=0,LEN(TRIM(INDEX(People!$G$6:$G$25,MATCH(TRIM($D146),People!$D$6:$D$25,0))))=0),1,0)))))</f>
        <v/>
      </c>
      <c r="Y146" s="32">
        <f>IF($T146=0,0,IF(LEN(TRIM($E146))=0,1,IF(LEN(TRIM($E146))-LEN(SUBSTITUTE(TRIM($E146)," ",""))+1&lt;3,1,IF(SUMPRODUCT((People!$J$6:$J$12&lt;&gt;"")*(LEFT(LOWER(TRIM($E146))&amp;" ",LEN(People!$J$6:$J$12)+1)=LOWER(People!$J$6:$J$12)&amp;" "))&gt;0,1,0))))</f>
        <v/>
      </c>
      <c r="Z146" s="32">
        <f>IF($T146=0,0,IF(NOT(ISNUMBER($B146)),1,IF($B146&gt;Summary!$K$3,1,0)))</f>
        <v/>
      </c>
      <c r="AA146" s="32">
        <f>IF($T146=0,0,IF($F146="",IF(SUMPRODUCT(--(LOWER(LEFT($C146,LEN(People!$B$30:$B$36)+1))=LOWER(People!$B$30:$B$36)&amp;":"))&gt;0,3,0),IF(ISNA(MATCH($F146,People!$B$30:$B$36,0)),1,IF(LEN(INDEX(People!$C$30:$C$36,MATCH($F146,People!$B$30:$B$36,0))&amp;"")=0,2,IF(TRIM($D146)&lt;&gt;INDEX(People!$C$30:$C$36,MATCH($F146,People!$B$30:$B$36,0)),1,0)))))</f>
        <v/>
      </c>
      <c r="AB146" s="32">
        <f>IF(OR($T146=0,$I146=""),0,IF(OR($I146=$A146,COUNTIF($A$4:$A$153,$I146)=0),1,IF(INDEX($B$4:$B$153,MATCH($I146,$A$4:$A$153,0))&gt;$B146,1,0)))</f>
        <v/>
      </c>
      <c r="AC146" s="32">
        <f>IF(AND($V146=1,LEN(TRIM($G146))=0),1,0)</f>
        <v/>
      </c>
      <c r="AD146" s="32">
        <f>IF($T146=0,0,IFERROR(VALUE(MID($A146,4,9)),0))</f>
        <v/>
      </c>
    </row>
    <row r="147" ht="18" customHeight="1">
      <c r="A147" s="27" t="n"/>
      <c r="B147" s="28" t="n"/>
      <c r="C147" s="29" t="n"/>
      <c r="D147" s="29" t="n"/>
      <c r="E147" s="29" t="n"/>
      <c r="F147" s="29" t="n"/>
      <c r="G147" s="29" t="n"/>
      <c r="H147" s="29" t="n"/>
      <c r="I147" s="27" t="n"/>
      <c r="J147" s="30">
        <f>IF(OR($T147=0,$U147=0),"",INDEX($A$4:$A$153,MATCH($A147,$I$4:$I$153,0)))</f>
        <v/>
      </c>
      <c r="K147" s="31">
        <f>IF($T147=0,"",IF(COUNTIF($X147:$AC147,"&gt;0")=0,"○ Clear",TRIM("△ "&amp;COUNTIF($X147:$AC147,"&gt;0")&amp;IF(COUNTIF($X147:$AC147,"&gt;0")=1," problem: "," problems: ")&amp;IF($X147&gt;0,"Decided by needs one name from People, and a body needs members and a signer. ","")&amp;IF($Y147&gt;0,"Why or evidence needs the reason itself, in three words or more. ","")&amp;IF($Z147&gt;0,"Date needs the day it was decided, no later than As of. ","")&amp;IF($AA147=1,IF(ISNA(MATCH($F147,People!$B$30:$B$36,0)),"Gate isn't one of the gate names on People. ","People names "&amp;INDEX(People!$C$30:$C$36,MATCH($F147,People!$B$30:$B$36,0))&amp;" to decide "&amp;$F147&amp;". "),IF($AA147=2,"People names nobody to decide "&amp;$F147&amp;". ",IF($AA147=3,"The Decision opens with a gate's name, so pick that gate in Gate. ","")))&amp;IF($AB147&gt;0,"Replaces needs the Id of a row dated no later than this one. ","")&amp;IF($AC147&gt;0,"Record elsewhere needs the name of the record the other file keeps. ",""))))</f>
        <v/>
      </c>
      <c r="T147" s="32">
        <f>IF(COUNTA($A147:$I147)&gt;0,1,0)</f>
        <v/>
      </c>
      <c r="U147" s="32">
        <f>IF(OR($T147=0,$A147=""),0,IF(COUNTIF($I$4:$I$153,$A147)&gt;0,1,0))</f>
        <v/>
      </c>
      <c r="V147" s="32">
        <f>IF(AND($T147=1,$H147&lt;&gt;"",$H147&lt;&gt;"This log"),1,0)</f>
        <v/>
      </c>
      <c r="W147" s="26">
        <f>IF($T147=0,"",","&amp;SUBSTITUTE(SUBSTITUTE($G147&amp;","&amp;$F147," ",""),";",",")&amp;",")</f>
        <v/>
      </c>
      <c r="X147" s="32">
        <f>IF($T147=0,0,IF(LEN(TRIM($D147))=0,1,IF(COUNTIF(People!$D$6:$D$25,TRIM($D147))=0,1,IF(INDEX(People!$E$6:$E$25,MATCH(TRIM($D147),People!$D$6:$D$25,0))&lt;&gt;"Body",0,IF(OR(LEN(TRIM(INDEX(People!$F$6:$F$25,MATCH(TRIM($D147),People!$D$6:$D$25,0))))=0,LEN(TRIM(INDEX(People!$G$6:$G$25,MATCH(TRIM($D147),People!$D$6:$D$25,0))))=0),1,0)))))</f>
        <v/>
      </c>
      <c r="Y147" s="32">
        <f>IF($T147=0,0,IF(LEN(TRIM($E147))=0,1,IF(LEN(TRIM($E147))-LEN(SUBSTITUTE(TRIM($E147)," ",""))+1&lt;3,1,IF(SUMPRODUCT((People!$J$6:$J$12&lt;&gt;"")*(LEFT(LOWER(TRIM($E147))&amp;" ",LEN(People!$J$6:$J$12)+1)=LOWER(People!$J$6:$J$12)&amp;" "))&gt;0,1,0))))</f>
        <v/>
      </c>
      <c r="Z147" s="32">
        <f>IF($T147=0,0,IF(NOT(ISNUMBER($B147)),1,IF($B147&gt;Summary!$K$3,1,0)))</f>
        <v/>
      </c>
      <c r="AA147" s="32">
        <f>IF($T147=0,0,IF($F147="",IF(SUMPRODUCT(--(LOWER(LEFT($C147,LEN(People!$B$30:$B$36)+1))=LOWER(People!$B$30:$B$36)&amp;":"))&gt;0,3,0),IF(ISNA(MATCH($F147,People!$B$30:$B$36,0)),1,IF(LEN(INDEX(People!$C$30:$C$36,MATCH($F147,People!$B$30:$B$36,0))&amp;"")=0,2,IF(TRIM($D147)&lt;&gt;INDEX(People!$C$30:$C$36,MATCH($F147,People!$B$30:$B$36,0)),1,0)))))</f>
        <v/>
      </c>
      <c r="AB147" s="32">
        <f>IF(OR($T147=0,$I147=""),0,IF(OR($I147=$A147,COUNTIF($A$4:$A$153,$I147)=0),1,IF(INDEX($B$4:$B$153,MATCH($I147,$A$4:$A$153,0))&gt;$B147,1,0)))</f>
        <v/>
      </c>
      <c r="AC147" s="32">
        <f>IF(AND($V147=1,LEN(TRIM($G147))=0),1,0)</f>
        <v/>
      </c>
      <c r="AD147" s="32">
        <f>IF($T147=0,0,IFERROR(VALUE(MID($A147,4,9)),0))</f>
        <v/>
      </c>
    </row>
    <row r="148" ht="18" customHeight="1">
      <c r="A148" s="27" t="n"/>
      <c r="B148" s="28" t="n"/>
      <c r="C148" s="29" t="n"/>
      <c r="D148" s="29" t="n"/>
      <c r="E148" s="29" t="n"/>
      <c r="F148" s="29" t="n"/>
      <c r="G148" s="29" t="n"/>
      <c r="H148" s="29" t="n"/>
      <c r="I148" s="27" t="n"/>
      <c r="J148" s="30">
        <f>IF(OR($T148=0,$U148=0),"",INDEX($A$4:$A$153,MATCH($A148,$I$4:$I$153,0)))</f>
        <v/>
      </c>
      <c r="K148" s="31">
        <f>IF($T148=0,"",IF(COUNTIF($X148:$AC148,"&gt;0")=0,"○ Clear",TRIM("△ "&amp;COUNTIF($X148:$AC148,"&gt;0")&amp;IF(COUNTIF($X148:$AC148,"&gt;0")=1," problem: "," problems: ")&amp;IF($X148&gt;0,"Decided by needs one name from People, and a body needs members and a signer. ","")&amp;IF($Y148&gt;0,"Why or evidence needs the reason itself, in three words or more. ","")&amp;IF($Z148&gt;0,"Date needs the day it was decided, no later than As of. ","")&amp;IF($AA148=1,IF(ISNA(MATCH($F148,People!$B$30:$B$36,0)),"Gate isn't one of the gate names on People. ","People names "&amp;INDEX(People!$C$30:$C$36,MATCH($F148,People!$B$30:$B$36,0))&amp;" to decide "&amp;$F148&amp;". "),IF($AA148=2,"People names nobody to decide "&amp;$F148&amp;". ",IF($AA148=3,"The Decision opens with a gate's name, so pick that gate in Gate. ","")))&amp;IF($AB148&gt;0,"Replaces needs the Id of a row dated no later than this one. ","")&amp;IF($AC148&gt;0,"Record elsewhere needs the name of the record the other file keeps. ",""))))</f>
        <v/>
      </c>
      <c r="T148" s="32">
        <f>IF(COUNTA($A148:$I148)&gt;0,1,0)</f>
        <v/>
      </c>
      <c r="U148" s="32">
        <f>IF(OR($T148=0,$A148=""),0,IF(COUNTIF($I$4:$I$153,$A148)&gt;0,1,0))</f>
        <v/>
      </c>
      <c r="V148" s="32">
        <f>IF(AND($T148=1,$H148&lt;&gt;"",$H148&lt;&gt;"This log"),1,0)</f>
        <v/>
      </c>
      <c r="W148" s="26">
        <f>IF($T148=0,"",","&amp;SUBSTITUTE(SUBSTITUTE($G148&amp;","&amp;$F148," ",""),";",",")&amp;",")</f>
        <v/>
      </c>
      <c r="X148" s="32">
        <f>IF($T148=0,0,IF(LEN(TRIM($D148))=0,1,IF(COUNTIF(People!$D$6:$D$25,TRIM($D148))=0,1,IF(INDEX(People!$E$6:$E$25,MATCH(TRIM($D148),People!$D$6:$D$25,0))&lt;&gt;"Body",0,IF(OR(LEN(TRIM(INDEX(People!$F$6:$F$25,MATCH(TRIM($D148),People!$D$6:$D$25,0))))=0,LEN(TRIM(INDEX(People!$G$6:$G$25,MATCH(TRIM($D148),People!$D$6:$D$25,0))))=0),1,0)))))</f>
        <v/>
      </c>
      <c r="Y148" s="32">
        <f>IF($T148=0,0,IF(LEN(TRIM($E148))=0,1,IF(LEN(TRIM($E148))-LEN(SUBSTITUTE(TRIM($E148)," ",""))+1&lt;3,1,IF(SUMPRODUCT((People!$J$6:$J$12&lt;&gt;"")*(LEFT(LOWER(TRIM($E148))&amp;" ",LEN(People!$J$6:$J$12)+1)=LOWER(People!$J$6:$J$12)&amp;" "))&gt;0,1,0))))</f>
        <v/>
      </c>
      <c r="Z148" s="32">
        <f>IF($T148=0,0,IF(NOT(ISNUMBER($B148)),1,IF($B148&gt;Summary!$K$3,1,0)))</f>
        <v/>
      </c>
      <c r="AA148" s="32">
        <f>IF($T148=0,0,IF($F148="",IF(SUMPRODUCT(--(LOWER(LEFT($C148,LEN(People!$B$30:$B$36)+1))=LOWER(People!$B$30:$B$36)&amp;":"))&gt;0,3,0),IF(ISNA(MATCH($F148,People!$B$30:$B$36,0)),1,IF(LEN(INDEX(People!$C$30:$C$36,MATCH($F148,People!$B$30:$B$36,0))&amp;"")=0,2,IF(TRIM($D148)&lt;&gt;INDEX(People!$C$30:$C$36,MATCH($F148,People!$B$30:$B$36,0)),1,0)))))</f>
        <v/>
      </c>
      <c r="AB148" s="32">
        <f>IF(OR($T148=0,$I148=""),0,IF(OR($I148=$A148,COUNTIF($A$4:$A$153,$I148)=0),1,IF(INDEX($B$4:$B$153,MATCH($I148,$A$4:$A$153,0))&gt;$B148,1,0)))</f>
        <v/>
      </c>
      <c r="AC148" s="32">
        <f>IF(AND($V148=1,LEN(TRIM($G148))=0),1,0)</f>
        <v/>
      </c>
      <c r="AD148" s="32">
        <f>IF($T148=0,0,IFERROR(VALUE(MID($A148,4,9)),0))</f>
        <v/>
      </c>
    </row>
    <row r="149" ht="18" customHeight="1">
      <c r="A149" s="27" t="n"/>
      <c r="B149" s="28" t="n"/>
      <c r="C149" s="29" t="n"/>
      <c r="D149" s="29" t="n"/>
      <c r="E149" s="29" t="n"/>
      <c r="F149" s="29" t="n"/>
      <c r="G149" s="29" t="n"/>
      <c r="H149" s="29" t="n"/>
      <c r="I149" s="27" t="n"/>
      <c r="J149" s="30">
        <f>IF(OR($T149=0,$U149=0),"",INDEX($A$4:$A$153,MATCH($A149,$I$4:$I$153,0)))</f>
        <v/>
      </c>
      <c r="K149" s="31">
        <f>IF($T149=0,"",IF(COUNTIF($X149:$AC149,"&gt;0")=0,"○ Clear",TRIM("△ "&amp;COUNTIF($X149:$AC149,"&gt;0")&amp;IF(COUNTIF($X149:$AC149,"&gt;0")=1," problem: "," problems: ")&amp;IF($X149&gt;0,"Decided by needs one name from People, and a body needs members and a signer. ","")&amp;IF($Y149&gt;0,"Why or evidence needs the reason itself, in three words or more. ","")&amp;IF($Z149&gt;0,"Date needs the day it was decided, no later than As of. ","")&amp;IF($AA149=1,IF(ISNA(MATCH($F149,People!$B$30:$B$36,0)),"Gate isn't one of the gate names on People. ","People names "&amp;INDEX(People!$C$30:$C$36,MATCH($F149,People!$B$30:$B$36,0))&amp;" to decide "&amp;$F149&amp;". "),IF($AA149=2,"People names nobody to decide "&amp;$F149&amp;". ",IF($AA149=3,"The Decision opens with a gate's name, so pick that gate in Gate. ","")))&amp;IF($AB149&gt;0,"Replaces needs the Id of a row dated no later than this one. ","")&amp;IF($AC149&gt;0,"Record elsewhere needs the name of the record the other file keeps. ",""))))</f>
        <v/>
      </c>
      <c r="T149" s="32">
        <f>IF(COUNTA($A149:$I149)&gt;0,1,0)</f>
        <v/>
      </c>
      <c r="U149" s="32">
        <f>IF(OR($T149=0,$A149=""),0,IF(COUNTIF($I$4:$I$153,$A149)&gt;0,1,0))</f>
        <v/>
      </c>
      <c r="V149" s="32">
        <f>IF(AND($T149=1,$H149&lt;&gt;"",$H149&lt;&gt;"This log"),1,0)</f>
        <v/>
      </c>
      <c r="W149" s="26">
        <f>IF($T149=0,"",","&amp;SUBSTITUTE(SUBSTITUTE($G149&amp;","&amp;$F149," ",""),";",",")&amp;",")</f>
        <v/>
      </c>
      <c r="X149" s="32">
        <f>IF($T149=0,0,IF(LEN(TRIM($D149))=0,1,IF(COUNTIF(People!$D$6:$D$25,TRIM($D149))=0,1,IF(INDEX(People!$E$6:$E$25,MATCH(TRIM($D149),People!$D$6:$D$25,0))&lt;&gt;"Body",0,IF(OR(LEN(TRIM(INDEX(People!$F$6:$F$25,MATCH(TRIM($D149),People!$D$6:$D$25,0))))=0,LEN(TRIM(INDEX(People!$G$6:$G$25,MATCH(TRIM($D149),People!$D$6:$D$25,0))))=0),1,0)))))</f>
        <v/>
      </c>
      <c r="Y149" s="32">
        <f>IF($T149=0,0,IF(LEN(TRIM($E149))=0,1,IF(LEN(TRIM($E149))-LEN(SUBSTITUTE(TRIM($E149)," ",""))+1&lt;3,1,IF(SUMPRODUCT((People!$J$6:$J$12&lt;&gt;"")*(LEFT(LOWER(TRIM($E149))&amp;" ",LEN(People!$J$6:$J$12)+1)=LOWER(People!$J$6:$J$12)&amp;" "))&gt;0,1,0))))</f>
        <v/>
      </c>
      <c r="Z149" s="32">
        <f>IF($T149=0,0,IF(NOT(ISNUMBER($B149)),1,IF($B149&gt;Summary!$K$3,1,0)))</f>
        <v/>
      </c>
      <c r="AA149" s="32">
        <f>IF($T149=0,0,IF($F149="",IF(SUMPRODUCT(--(LOWER(LEFT($C149,LEN(People!$B$30:$B$36)+1))=LOWER(People!$B$30:$B$36)&amp;":"))&gt;0,3,0),IF(ISNA(MATCH($F149,People!$B$30:$B$36,0)),1,IF(LEN(INDEX(People!$C$30:$C$36,MATCH($F149,People!$B$30:$B$36,0))&amp;"")=0,2,IF(TRIM($D149)&lt;&gt;INDEX(People!$C$30:$C$36,MATCH($F149,People!$B$30:$B$36,0)),1,0)))))</f>
        <v/>
      </c>
      <c r="AB149" s="32">
        <f>IF(OR($T149=0,$I149=""),0,IF(OR($I149=$A149,COUNTIF($A$4:$A$153,$I149)=0),1,IF(INDEX($B$4:$B$153,MATCH($I149,$A$4:$A$153,0))&gt;$B149,1,0)))</f>
        <v/>
      </c>
      <c r="AC149" s="32">
        <f>IF(AND($V149=1,LEN(TRIM($G149))=0),1,0)</f>
        <v/>
      </c>
      <c r="AD149" s="32">
        <f>IF($T149=0,0,IFERROR(VALUE(MID($A149,4,9)),0))</f>
        <v/>
      </c>
    </row>
    <row r="150" ht="18" customHeight="1">
      <c r="A150" s="27" t="n"/>
      <c r="B150" s="28" t="n"/>
      <c r="C150" s="29" t="n"/>
      <c r="D150" s="29" t="n"/>
      <c r="E150" s="29" t="n"/>
      <c r="F150" s="29" t="n"/>
      <c r="G150" s="29" t="n"/>
      <c r="H150" s="29" t="n"/>
      <c r="I150" s="27" t="n"/>
      <c r="J150" s="30">
        <f>IF(OR($T150=0,$U150=0),"",INDEX($A$4:$A$153,MATCH($A150,$I$4:$I$153,0)))</f>
        <v/>
      </c>
      <c r="K150" s="31">
        <f>IF($T150=0,"",IF(COUNTIF($X150:$AC150,"&gt;0")=0,"○ Clear",TRIM("△ "&amp;COUNTIF($X150:$AC150,"&gt;0")&amp;IF(COUNTIF($X150:$AC150,"&gt;0")=1," problem: "," problems: ")&amp;IF($X150&gt;0,"Decided by needs one name from People, and a body needs members and a signer. ","")&amp;IF($Y150&gt;0,"Why or evidence needs the reason itself, in three words or more. ","")&amp;IF($Z150&gt;0,"Date needs the day it was decided, no later than As of. ","")&amp;IF($AA150=1,IF(ISNA(MATCH($F150,People!$B$30:$B$36,0)),"Gate isn't one of the gate names on People. ","People names "&amp;INDEX(People!$C$30:$C$36,MATCH($F150,People!$B$30:$B$36,0))&amp;" to decide "&amp;$F150&amp;". "),IF($AA150=2,"People names nobody to decide "&amp;$F150&amp;". ",IF($AA150=3,"The Decision opens with a gate's name, so pick that gate in Gate. ","")))&amp;IF($AB150&gt;0,"Replaces needs the Id of a row dated no later than this one. ","")&amp;IF($AC150&gt;0,"Record elsewhere needs the name of the record the other file keeps. ",""))))</f>
        <v/>
      </c>
      <c r="T150" s="32">
        <f>IF(COUNTA($A150:$I150)&gt;0,1,0)</f>
        <v/>
      </c>
      <c r="U150" s="32">
        <f>IF(OR($T150=0,$A150=""),0,IF(COUNTIF($I$4:$I$153,$A150)&gt;0,1,0))</f>
        <v/>
      </c>
      <c r="V150" s="32">
        <f>IF(AND($T150=1,$H150&lt;&gt;"",$H150&lt;&gt;"This log"),1,0)</f>
        <v/>
      </c>
      <c r="W150" s="26">
        <f>IF($T150=0,"",","&amp;SUBSTITUTE(SUBSTITUTE($G150&amp;","&amp;$F150," ",""),";",",")&amp;",")</f>
        <v/>
      </c>
      <c r="X150" s="32">
        <f>IF($T150=0,0,IF(LEN(TRIM($D150))=0,1,IF(COUNTIF(People!$D$6:$D$25,TRIM($D150))=0,1,IF(INDEX(People!$E$6:$E$25,MATCH(TRIM($D150),People!$D$6:$D$25,0))&lt;&gt;"Body",0,IF(OR(LEN(TRIM(INDEX(People!$F$6:$F$25,MATCH(TRIM($D150),People!$D$6:$D$25,0))))=0,LEN(TRIM(INDEX(People!$G$6:$G$25,MATCH(TRIM($D150),People!$D$6:$D$25,0))))=0),1,0)))))</f>
        <v/>
      </c>
      <c r="Y150" s="32">
        <f>IF($T150=0,0,IF(LEN(TRIM($E150))=0,1,IF(LEN(TRIM($E150))-LEN(SUBSTITUTE(TRIM($E150)," ",""))+1&lt;3,1,IF(SUMPRODUCT((People!$J$6:$J$12&lt;&gt;"")*(LEFT(LOWER(TRIM($E150))&amp;" ",LEN(People!$J$6:$J$12)+1)=LOWER(People!$J$6:$J$12)&amp;" "))&gt;0,1,0))))</f>
        <v/>
      </c>
      <c r="Z150" s="32">
        <f>IF($T150=0,0,IF(NOT(ISNUMBER($B150)),1,IF($B150&gt;Summary!$K$3,1,0)))</f>
        <v/>
      </c>
      <c r="AA150" s="32">
        <f>IF($T150=0,0,IF($F150="",IF(SUMPRODUCT(--(LOWER(LEFT($C150,LEN(People!$B$30:$B$36)+1))=LOWER(People!$B$30:$B$36)&amp;":"))&gt;0,3,0),IF(ISNA(MATCH($F150,People!$B$30:$B$36,0)),1,IF(LEN(INDEX(People!$C$30:$C$36,MATCH($F150,People!$B$30:$B$36,0))&amp;"")=0,2,IF(TRIM($D150)&lt;&gt;INDEX(People!$C$30:$C$36,MATCH($F150,People!$B$30:$B$36,0)),1,0)))))</f>
        <v/>
      </c>
      <c r="AB150" s="32">
        <f>IF(OR($T150=0,$I150=""),0,IF(OR($I150=$A150,COUNTIF($A$4:$A$153,$I150)=0),1,IF(INDEX($B$4:$B$153,MATCH($I150,$A$4:$A$153,0))&gt;$B150,1,0)))</f>
        <v/>
      </c>
      <c r="AC150" s="32">
        <f>IF(AND($V150=1,LEN(TRIM($G150))=0),1,0)</f>
        <v/>
      </c>
      <c r="AD150" s="32">
        <f>IF($T150=0,0,IFERROR(VALUE(MID($A150,4,9)),0))</f>
        <v/>
      </c>
    </row>
    <row r="151" ht="18" customHeight="1">
      <c r="A151" s="27" t="n"/>
      <c r="B151" s="28" t="n"/>
      <c r="C151" s="29" t="n"/>
      <c r="D151" s="29" t="n"/>
      <c r="E151" s="29" t="n"/>
      <c r="F151" s="29" t="n"/>
      <c r="G151" s="29" t="n"/>
      <c r="H151" s="29" t="n"/>
      <c r="I151" s="27" t="n"/>
      <c r="J151" s="30">
        <f>IF(OR($T151=0,$U151=0),"",INDEX($A$4:$A$153,MATCH($A151,$I$4:$I$153,0)))</f>
        <v/>
      </c>
      <c r="K151" s="31">
        <f>IF($T151=0,"",IF(COUNTIF($X151:$AC151,"&gt;0")=0,"○ Clear",TRIM("△ "&amp;COUNTIF($X151:$AC151,"&gt;0")&amp;IF(COUNTIF($X151:$AC151,"&gt;0")=1," problem: "," problems: ")&amp;IF($X151&gt;0,"Decided by needs one name from People, and a body needs members and a signer. ","")&amp;IF($Y151&gt;0,"Why or evidence needs the reason itself, in three words or more. ","")&amp;IF($Z151&gt;0,"Date needs the day it was decided, no later than As of. ","")&amp;IF($AA151=1,IF(ISNA(MATCH($F151,People!$B$30:$B$36,0)),"Gate isn't one of the gate names on People. ","People names "&amp;INDEX(People!$C$30:$C$36,MATCH($F151,People!$B$30:$B$36,0))&amp;" to decide "&amp;$F151&amp;". "),IF($AA151=2,"People names nobody to decide "&amp;$F151&amp;". ",IF($AA151=3,"The Decision opens with a gate's name, so pick that gate in Gate. ","")))&amp;IF($AB151&gt;0,"Replaces needs the Id of a row dated no later than this one. ","")&amp;IF($AC151&gt;0,"Record elsewhere needs the name of the record the other file keeps. ",""))))</f>
        <v/>
      </c>
      <c r="T151" s="32">
        <f>IF(COUNTA($A151:$I151)&gt;0,1,0)</f>
        <v/>
      </c>
      <c r="U151" s="32">
        <f>IF(OR($T151=0,$A151=""),0,IF(COUNTIF($I$4:$I$153,$A151)&gt;0,1,0))</f>
        <v/>
      </c>
      <c r="V151" s="32">
        <f>IF(AND($T151=1,$H151&lt;&gt;"",$H151&lt;&gt;"This log"),1,0)</f>
        <v/>
      </c>
      <c r="W151" s="26">
        <f>IF($T151=0,"",","&amp;SUBSTITUTE(SUBSTITUTE($G151&amp;","&amp;$F151," ",""),";",",")&amp;",")</f>
        <v/>
      </c>
      <c r="X151" s="32">
        <f>IF($T151=0,0,IF(LEN(TRIM($D151))=0,1,IF(COUNTIF(People!$D$6:$D$25,TRIM($D151))=0,1,IF(INDEX(People!$E$6:$E$25,MATCH(TRIM($D151),People!$D$6:$D$25,0))&lt;&gt;"Body",0,IF(OR(LEN(TRIM(INDEX(People!$F$6:$F$25,MATCH(TRIM($D151),People!$D$6:$D$25,0))))=0,LEN(TRIM(INDEX(People!$G$6:$G$25,MATCH(TRIM($D151),People!$D$6:$D$25,0))))=0),1,0)))))</f>
        <v/>
      </c>
      <c r="Y151" s="32">
        <f>IF($T151=0,0,IF(LEN(TRIM($E151))=0,1,IF(LEN(TRIM($E151))-LEN(SUBSTITUTE(TRIM($E151)," ",""))+1&lt;3,1,IF(SUMPRODUCT((People!$J$6:$J$12&lt;&gt;"")*(LEFT(LOWER(TRIM($E151))&amp;" ",LEN(People!$J$6:$J$12)+1)=LOWER(People!$J$6:$J$12)&amp;" "))&gt;0,1,0))))</f>
        <v/>
      </c>
      <c r="Z151" s="32">
        <f>IF($T151=0,0,IF(NOT(ISNUMBER($B151)),1,IF($B151&gt;Summary!$K$3,1,0)))</f>
        <v/>
      </c>
      <c r="AA151" s="32">
        <f>IF($T151=0,0,IF($F151="",IF(SUMPRODUCT(--(LOWER(LEFT($C151,LEN(People!$B$30:$B$36)+1))=LOWER(People!$B$30:$B$36)&amp;":"))&gt;0,3,0),IF(ISNA(MATCH($F151,People!$B$30:$B$36,0)),1,IF(LEN(INDEX(People!$C$30:$C$36,MATCH($F151,People!$B$30:$B$36,0))&amp;"")=0,2,IF(TRIM($D151)&lt;&gt;INDEX(People!$C$30:$C$36,MATCH($F151,People!$B$30:$B$36,0)),1,0)))))</f>
        <v/>
      </c>
      <c r="AB151" s="32">
        <f>IF(OR($T151=0,$I151=""),0,IF(OR($I151=$A151,COUNTIF($A$4:$A$153,$I151)=0),1,IF(INDEX($B$4:$B$153,MATCH($I151,$A$4:$A$153,0))&gt;$B151,1,0)))</f>
        <v/>
      </c>
      <c r="AC151" s="32">
        <f>IF(AND($V151=1,LEN(TRIM($G151))=0),1,0)</f>
        <v/>
      </c>
      <c r="AD151" s="32">
        <f>IF($T151=0,0,IFERROR(VALUE(MID($A151,4,9)),0))</f>
        <v/>
      </c>
    </row>
    <row r="152" ht="18" customHeight="1">
      <c r="A152" s="27" t="n"/>
      <c r="B152" s="28" t="n"/>
      <c r="C152" s="29" t="n"/>
      <c r="D152" s="29" t="n"/>
      <c r="E152" s="29" t="n"/>
      <c r="F152" s="29" t="n"/>
      <c r="G152" s="29" t="n"/>
      <c r="H152" s="29" t="n"/>
      <c r="I152" s="27" t="n"/>
      <c r="J152" s="30">
        <f>IF(OR($T152=0,$U152=0),"",INDEX($A$4:$A$153,MATCH($A152,$I$4:$I$153,0)))</f>
        <v/>
      </c>
      <c r="K152" s="31">
        <f>IF($T152=0,"",IF(COUNTIF($X152:$AC152,"&gt;0")=0,"○ Clear",TRIM("△ "&amp;COUNTIF($X152:$AC152,"&gt;0")&amp;IF(COUNTIF($X152:$AC152,"&gt;0")=1," problem: "," problems: ")&amp;IF($X152&gt;0,"Decided by needs one name from People, and a body needs members and a signer. ","")&amp;IF($Y152&gt;0,"Why or evidence needs the reason itself, in three words or more. ","")&amp;IF($Z152&gt;0,"Date needs the day it was decided, no later than As of. ","")&amp;IF($AA152=1,IF(ISNA(MATCH($F152,People!$B$30:$B$36,0)),"Gate isn't one of the gate names on People. ","People names "&amp;INDEX(People!$C$30:$C$36,MATCH($F152,People!$B$30:$B$36,0))&amp;" to decide "&amp;$F152&amp;". "),IF($AA152=2,"People names nobody to decide "&amp;$F152&amp;". ",IF($AA152=3,"The Decision opens with a gate's name, so pick that gate in Gate. ","")))&amp;IF($AB152&gt;0,"Replaces needs the Id of a row dated no later than this one. ","")&amp;IF($AC152&gt;0,"Record elsewhere needs the name of the record the other file keeps. ",""))))</f>
        <v/>
      </c>
      <c r="T152" s="32">
        <f>IF(COUNTA($A152:$I152)&gt;0,1,0)</f>
        <v/>
      </c>
      <c r="U152" s="32">
        <f>IF(OR($T152=0,$A152=""),0,IF(COUNTIF($I$4:$I$153,$A152)&gt;0,1,0))</f>
        <v/>
      </c>
      <c r="V152" s="32">
        <f>IF(AND($T152=1,$H152&lt;&gt;"",$H152&lt;&gt;"This log"),1,0)</f>
        <v/>
      </c>
      <c r="W152" s="26">
        <f>IF($T152=0,"",","&amp;SUBSTITUTE(SUBSTITUTE($G152&amp;","&amp;$F152," ",""),";",",")&amp;",")</f>
        <v/>
      </c>
      <c r="X152" s="32">
        <f>IF($T152=0,0,IF(LEN(TRIM($D152))=0,1,IF(COUNTIF(People!$D$6:$D$25,TRIM($D152))=0,1,IF(INDEX(People!$E$6:$E$25,MATCH(TRIM($D152),People!$D$6:$D$25,0))&lt;&gt;"Body",0,IF(OR(LEN(TRIM(INDEX(People!$F$6:$F$25,MATCH(TRIM($D152),People!$D$6:$D$25,0))))=0,LEN(TRIM(INDEX(People!$G$6:$G$25,MATCH(TRIM($D152),People!$D$6:$D$25,0))))=0),1,0)))))</f>
        <v/>
      </c>
      <c r="Y152" s="32">
        <f>IF($T152=0,0,IF(LEN(TRIM($E152))=0,1,IF(LEN(TRIM($E152))-LEN(SUBSTITUTE(TRIM($E152)," ",""))+1&lt;3,1,IF(SUMPRODUCT((People!$J$6:$J$12&lt;&gt;"")*(LEFT(LOWER(TRIM($E152))&amp;" ",LEN(People!$J$6:$J$12)+1)=LOWER(People!$J$6:$J$12)&amp;" "))&gt;0,1,0))))</f>
        <v/>
      </c>
      <c r="Z152" s="32">
        <f>IF($T152=0,0,IF(NOT(ISNUMBER($B152)),1,IF($B152&gt;Summary!$K$3,1,0)))</f>
        <v/>
      </c>
      <c r="AA152" s="32">
        <f>IF($T152=0,0,IF($F152="",IF(SUMPRODUCT(--(LOWER(LEFT($C152,LEN(People!$B$30:$B$36)+1))=LOWER(People!$B$30:$B$36)&amp;":"))&gt;0,3,0),IF(ISNA(MATCH($F152,People!$B$30:$B$36,0)),1,IF(LEN(INDEX(People!$C$30:$C$36,MATCH($F152,People!$B$30:$B$36,0))&amp;"")=0,2,IF(TRIM($D152)&lt;&gt;INDEX(People!$C$30:$C$36,MATCH($F152,People!$B$30:$B$36,0)),1,0)))))</f>
        <v/>
      </c>
      <c r="AB152" s="32">
        <f>IF(OR($T152=0,$I152=""),0,IF(OR($I152=$A152,COUNTIF($A$4:$A$153,$I152)=0),1,IF(INDEX($B$4:$B$153,MATCH($I152,$A$4:$A$153,0))&gt;$B152,1,0)))</f>
        <v/>
      </c>
      <c r="AC152" s="32">
        <f>IF(AND($V152=1,LEN(TRIM($G152))=0),1,0)</f>
        <v/>
      </c>
      <c r="AD152" s="32">
        <f>IF($T152=0,0,IFERROR(VALUE(MID($A152,4,9)),0))</f>
        <v/>
      </c>
    </row>
    <row r="153" ht="18" customHeight="1">
      <c r="A153" s="27" t="n"/>
      <c r="B153" s="28" t="n"/>
      <c r="C153" s="29" t="n"/>
      <c r="D153" s="29" t="n"/>
      <c r="E153" s="29" t="n"/>
      <c r="F153" s="29" t="n"/>
      <c r="G153" s="29" t="n"/>
      <c r="H153" s="29" t="n"/>
      <c r="I153" s="27" t="n"/>
      <c r="J153" s="30">
        <f>IF(OR($T153=0,$U153=0),"",INDEX($A$4:$A$153,MATCH($A153,$I$4:$I$153,0)))</f>
        <v/>
      </c>
      <c r="K153" s="31">
        <f>IF($T153=0,"",IF(COUNTIF($X153:$AC153,"&gt;0")=0,"○ Clear",TRIM("△ "&amp;COUNTIF($X153:$AC153,"&gt;0")&amp;IF(COUNTIF($X153:$AC153,"&gt;0")=1," problem: "," problems: ")&amp;IF($X153&gt;0,"Decided by needs one name from People, and a body needs members and a signer. ","")&amp;IF($Y153&gt;0,"Why or evidence needs the reason itself, in three words or more. ","")&amp;IF($Z153&gt;0,"Date needs the day it was decided, no later than As of. ","")&amp;IF($AA153=1,IF(ISNA(MATCH($F153,People!$B$30:$B$36,0)),"Gate isn't one of the gate names on People. ","People names "&amp;INDEX(People!$C$30:$C$36,MATCH($F153,People!$B$30:$B$36,0))&amp;" to decide "&amp;$F153&amp;". "),IF($AA153=2,"People names nobody to decide "&amp;$F153&amp;". ",IF($AA153=3,"The Decision opens with a gate's name, so pick that gate in Gate. ","")))&amp;IF($AB153&gt;0,"Replaces needs the Id of a row dated no later than this one. ","")&amp;IF($AC153&gt;0,"Record elsewhere needs the name of the record the other file keeps. ",""))))</f>
        <v/>
      </c>
      <c r="T153" s="32">
        <f>IF(COUNTA($A153:$I153)&gt;0,1,0)</f>
        <v/>
      </c>
      <c r="U153" s="32">
        <f>IF(OR($T153=0,$A153=""),0,IF(COUNTIF($I$4:$I$153,$A153)&gt;0,1,0))</f>
        <v/>
      </c>
      <c r="V153" s="32">
        <f>IF(AND($T153=1,$H153&lt;&gt;"",$H153&lt;&gt;"This log"),1,0)</f>
        <v/>
      </c>
      <c r="W153" s="26">
        <f>IF($T153=0,"",","&amp;SUBSTITUTE(SUBSTITUTE($G153&amp;","&amp;$F153," ",""),";",",")&amp;",")</f>
        <v/>
      </c>
      <c r="X153" s="32">
        <f>IF($T153=0,0,IF(LEN(TRIM($D153))=0,1,IF(COUNTIF(People!$D$6:$D$25,TRIM($D153))=0,1,IF(INDEX(People!$E$6:$E$25,MATCH(TRIM($D153),People!$D$6:$D$25,0))&lt;&gt;"Body",0,IF(OR(LEN(TRIM(INDEX(People!$F$6:$F$25,MATCH(TRIM($D153),People!$D$6:$D$25,0))))=0,LEN(TRIM(INDEX(People!$G$6:$G$25,MATCH(TRIM($D153),People!$D$6:$D$25,0))))=0),1,0)))))</f>
        <v/>
      </c>
      <c r="Y153" s="32">
        <f>IF($T153=0,0,IF(LEN(TRIM($E153))=0,1,IF(LEN(TRIM($E153))-LEN(SUBSTITUTE(TRIM($E153)," ",""))+1&lt;3,1,IF(SUMPRODUCT((People!$J$6:$J$12&lt;&gt;"")*(LEFT(LOWER(TRIM($E153))&amp;" ",LEN(People!$J$6:$J$12)+1)=LOWER(People!$J$6:$J$12)&amp;" "))&gt;0,1,0))))</f>
        <v/>
      </c>
      <c r="Z153" s="32">
        <f>IF($T153=0,0,IF(NOT(ISNUMBER($B153)),1,IF($B153&gt;Summary!$K$3,1,0)))</f>
        <v/>
      </c>
      <c r="AA153" s="32">
        <f>IF($T153=0,0,IF($F153="",IF(SUMPRODUCT(--(LOWER(LEFT($C153,LEN(People!$B$30:$B$36)+1))=LOWER(People!$B$30:$B$36)&amp;":"))&gt;0,3,0),IF(ISNA(MATCH($F153,People!$B$30:$B$36,0)),1,IF(LEN(INDEX(People!$C$30:$C$36,MATCH($F153,People!$B$30:$B$36,0))&amp;"")=0,2,IF(TRIM($D153)&lt;&gt;INDEX(People!$C$30:$C$36,MATCH($F153,People!$B$30:$B$36,0)),1,0)))))</f>
        <v/>
      </c>
      <c r="AB153" s="32">
        <f>IF(OR($T153=0,$I153=""),0,IF(OR($I153=$A153,COUNTIF($A$4:$A$153,$I153)=0),1,IF(INDEX($B$4:$B$153,MATCH($I153,$A$4:$A$153,0))&gt;$B153,1,0)))</f>
        <v/>
      </c>
      <c r="AC153" s="32">
        <f>IF(AND($V153=1,LEN(TRIM($G153))=0),1,0)</f>
        <v/>
      </c>
      <c r="AD153" s="32">
        <f>IF($T153=0,0,IFERROR(VALUE(MID($A153,4,9)),0))</f>
        <v/>
      </c>
    </row>
  </sheetData>
  <sheetProtection selectLockedCells="0" selectUnlockedCells="0" sheet="1" objects="0" insertRows="1" insertHyperlinks="1" autoFilter="0" scenarios="0" formatColumns="0" deleteColumns="1" insertColumns="1" pivotTables="1" deleteRows="1" formatCells="0" formatRows="0" sort="1"/>
  <autoFilter ref="A3:K153"/>
  <conditionalFormatting sqref="K4:K153">
    <cfRule type="expression" priority="1" dxfId="1" stopIfTrue="0">
      <formula>LEFT($K4,1)="△"</formula>
    </cfRule>
  </conditionalFormatting>
  <dataValidations count="9">
    <dataValidation sqref="A4:A153" showDropDown="0" showInputMessage="1" showErrorMessage="1" allowBlank="1" errorTitle="Check this entry" error="Start with DL- and use an Id no other row has. Next Id on Summary gives one." promptTitle="Id" prompt="DL- and a number, such as DL-13. Next Id on Summary gives it. Never reuse an Id: the status report and the cutover workbook cite rows by it." type="custom" errorStyle="stop">
      <formula1>AND(LEFT(A4,3)="DL-",COUNTIF($A$4:$A$153,A4)=1)</formula1>
    </dataValidation>
    <dataValidation sqref="B4:B153" showDropDown="0" showInputMessage="1" showErrorMessage="1" allowBlank="1" errorTitle="Check this entry" error="Type a date, such as 30 Jun 2027." promptTitle="Date" prompt="The day it was decided. Not the day you typed it, and not a day still to come." type="date" errorStyle="stop" operator="between">
      <formula1>36526</formula1>
      <formula2>73415</formula2>
    </dataValidation>
    <dataValidation sqref="C4:C153" showDropDown="0" showInputMessage="1" showErrorMessage="0" allowBlank="1" promptTitle="Decision" prompt="One decision, in a sentence. A signing counts when it commits money or accepts work. Two decisions made the same day by the same person can share a row." errorStyle="stop"/>
    <dataValidation sqref="E4:E153" showDropDown="0" showInputMessage="1" showErrorMessage="0" allowBlank="1" promptTitle="Why or evidence" prompt="The reason, or the review or record behind it, in three words or more. Above, or See above, fails a check." errorStyle="stop"/>
    <dataValidation sqref="G4:G153" showDropDown="0" showInputMessage="1" showErrorMessage="0" allowBlank="1" promptTitle="Record elsewhere" prompt="Ids from other files, separated by commas: CH-1, C-02, M-04, RACI v1. Other files finds the row by them, so a name can't hold a comma." errorStyle="stop"/>
    <dataValidation sqref="D4:D153" showDropDown="0" showInputMessage="1" showErrorMessage="1" allowBlank="1" errorTitle="Check this entry" error="That isn't a name on People. You can keep it, but the first check will fail the row." promptTitle="Decided by" prompt="One person, or a body listed on People with its members and who signs for it. Pick from the list." type="list" errorStyle="warning">
      <formula1>People!$D$6:$D$25</formula1>
    </dataValidation>
    <dataValidation sqref="F4:F153" showDropDown="0" showInputMessage="1" showErrorMessage="1" allowBlank="1" errorTitle="Check this entry" error="Pick a gate from the list. The names are the gate map's, on People." promptTitle="Gate" prompt="Only when one of the gate map's gates was decided. Decided by must then be the person People names for that gate." type="list" errorStyle="stop">
      <formula1>People!$B$30:$B$36</formula1>
    </dataValidation>
    <dataValidation sqref="H4:H153" showDropDown="0" showInputMessage="1" showErrorMessage="1" allowBlank="1" errorTitle="Check this entry" error="Pick This log, Program charter or Program workbook, or leave it blank for This log." promptTitle="Kept in" prompt="Leave blank unless another file keeps the record: Program charter or Program workbook. This row then points to it." type="list" errorStyle="warning">
      <formula1>"This log,Program charter,Program workbook"</formula1>
    </dataValidation>
    <dataValidation sqref="I4:I153" showDropDown="0" showInputMessage="1" showErrorMessage="1" allowBlank="1" errorTitle="Check this entry" error="Type the Id of another row on Log, such as DL-04." promptTitle="Replaces" prompt="The Id of the decision this overturns. The old row stays as it is." type="custom" errorStyle="stop">
      <formula1>OR(I4="",COUNTIF($A$4:$A$153,I4)=1)</formula1>
    </dataValidation>
  </dataValidations>
  <pageMargins left="0.4" right="0.4" top="0.6" bottom="0.6" header="0.3" footer="0.3"/>
  <pageSetup orientation="landscape" paperSize="9" scale="100"/>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0"/>
  </sheetPr>
  <dimension ref="A1:F45"/>
  <sheetViews>
    <sheetView showGridLines="0" tabSelected="0" workbookViewId="0">
      <pane ySplit="5" topLeftCell="A6" activePane="bottomLeft" state="frozen"/>
      <selection pane="bottomLeft" activeCell="A1" sqref="A1"/>
    </sheetView>
  </sheetViews>
  <sheetFormatPr baseColWidth="8" defaultRowHeight="15"/>
  <cols>
    <col width="22" customWidth="1" min="1" max="1"/>
    <col width="26" customWidth="1" min="2" max="2"/>
    <col width="12" customWidth="1" min="3" max="3"/>
    <col width="50" customWidth="1" min="4" max="4"/>
    <col width="18" customWidth="1" min="5" max="5"/>
    <col hidden="1" width="12" customWidth="1" min="6" max="6"/>
  </cols>
  <sheetData>
    <row r="1" ht="36" customHeight="1">
      <c r="A1" s="1" t="inlineStr">
        <is>
          <t>Other files (Example)</t>
        </is>
      </c>
    </row>
    <row r="2" ht="18" customHeight="1">
      <c r="A2" s="11">
        <f>Summary!$A$2</f>
        <v/>
      </c>
    </row>
    <row r="4" ht="18" customHeight="1">
      <c r="A4" s="14" t="inlineStr">
        <is>
          <t>CHANGES IN OTHER FILES</t>
        </is>
      </c>
      <c r="B4" s="14" t="n"/>
      <c r="C4" s="14" t="n"/>
      <c r="D4" s="14" t="n"/>
      <c r="E4" s="14" t="n"/>
    </row>
    <row r="5" ht="20" customHeight="1">
      <c r="A5" s="22" t="inlineStr">
        <is>
          <t>Where</t>
        </is>
      </c>
      <c r="B5" s="22" t="inlineStr">
        <is>
          <t>Id or name</t>
        </is>
      </c>
      <c r="C5" s="22" t="inlineStr">
        <is>
          <t>Date</t>
        </is>
      </c>
      <c r="D5" s="22" t="inlineStr">
        <is>
          <t>What</t>
        </is>
      </c>
      <c r="E5" s="23" t="inlineStr">
        <is>
          <t>Row on Log</t>
        </is>
      </c>
      <c r="F5" s="23" t="inlineStr">
        <is>
          <t>No row on Log (1 or 0)</t>
        </is>
      </c>
    </row>
    <row r="6" ht="31" customHeight="1">
      <c r="A6" s="27" t="inlineStr">
        <is>
          <t>Change log</t>
        </is>
      </c>
      <c r="B6" s="29" t="inlineStr">
        <is>
          <t>CH-1</t>
        </is>
      </c>
      <c r="C6" s="28" t="n">
        <v>46286</v>
      </c>
      <c r="D6" s="29" t="inlineStr">
        <is>
          <t>Changes beyond the Owner's limit go to the sponsor</t>
        </is>
      </c>
      <c r="E6" s="30">
        <f>IF($B6="","",IFERROR(INDEX(Log!$A$4:$A$153,MATCH("*,"&amp;SUBSTITUTE(TRIM($B6)," ","")&amp;",*",Log!$W$4:$W$153,0))&amp;"","△ No row on Log"))</f>
        <v/>
      </c>
      <c r="F6" s="32">
        <f>IF($B6="",0,IF(LEFT($E6,1)="△",1,0))</f>
        <v/>
      </c>
    </row>
    <row r="7" ht="18" customHeight="1">
      <c r="A7" s="27" t="inlineStr">
        <is>
          <t>Change log</t>
        </is>
      </c>
      <c r="B7" s="29" t="inlineStr">
        <is>
          <t>CH-2</t>
        </is>
      </c>
      <c r="C7" s="28" t="n">
        <v>46286</v>
      </c>
      <c r="D7" s="29" t="inlineStr">
        <is>
          <t>C-04's test on a full copy</t>
        </is>
      </c>
      <c r="E7" s="30">
        <f>IF($B7="","",IFERROR(INDEX(Log!$A$4:$A$153,MATCH("*,"&amp;SUBSTITUTE(TRIM($B7)," ","")&amp;",*",Log!$W$4:$W$153,0))&amp;"","△ No row on Log"))</f>
        <v/>
      </c>
      <c r="F7" s="32">
        <f>IF($B7="",0,IF(LEFT($E7,1)="△",1,0))</f>
        <v/>
      </c>
    </row>
    <row r="8" ht="18" customHeight="1">
      <c r="A8" s="27" t="inlineStr">
        <is>
          <t>Change log</t>
        </is>
      </c>
      <c r="B8" s="29" t="inlineStr">
        <is>
          <t>CH-3</t>
        </is>
      </c>
      <c r="C8" s="28" t="n">
        <v>46293</v>
      </c>
      <c r="D8" s="29" t="inlineStr">
        <is>
          <t>Invoice fields for Partner Portal Launch</t>
        </is>
      </c>
      <c r="E8" s="30">
        <f>IF($B8="","",IFERROR(INDEX(Log!$A$4:$A$153,MATCH("*,"&amp;SUBSTITUTE(TRIM($B8)," ","")&amp;",*",Log!$W$4:$W$153,0))&amp;"","△ No row on Log"))</f>
        <v/>
      </c>
      <c r="F8" s="32">
        <f>IF($B8="",0,IF(LEFT($E8,1)="△",1,0))</f>
        <v/>
      </c>
    </row>
    <row r="9" ht="18" customHeight="1">
      <c r="A9" s="27" t="inlineStr">
        <is>
          <t>Change log</t>
        </is>
      </c>
      <c r="B9" s="29" t="inlineStr">
        <is>
          <t>CH-4</t>
        </is>
      </c>
      <c r="C9" s="28" t="n">
        <v>46309</v>
      </c>
      <c r="D9" s="29" t="inlineStr">
        <is>
          <t>Engineering owns how invoices move</t>
        </is>
      </c>
      <c r="E9" s="30">
        <f>IF($B9="","",IFERROR(INDEX(Log!$A$4:$A$153,MATCH("*,"&amp;SUBSTITUTE(TRIM($B9)," ","")&amp;",*",Log!$W$4:$W$153,0))&amp;"","△ No row on Log"))</f>
        <v/>
      </c>
      <c r="F9" s="32">
        <f>IF($B9="",0,IF(LEFT($E9,1)="△",1,0))</f>
        <v/>
      </c>
    </row>
    <row r="10" ht="18" customHeight="1">
      <c r="A10" s="27" t="inlineStr">
        <is>
          <t>Gate map</t>
        </is>
      </c>
      <c r="B10" s="29" t="inlineStr">
        <is>
          <t>Start</t>
        </is>
      </c>
      <c r="C10" s="28" t="n">
        <v>46093</v>
      </c>
      <c r="D10" s="29" t="inlineStr">
        <is>
          <t>Decided Go</t>
        </is>
      </c>
      <c r="E10" s="30">
        <f>IF($B10="","",IFERROR(INDEX(Log!$A$4:$A$153,MATCH("*,"&amp;SUBSTITUTE(TRIM($B10)," ","")&amp;",*",Log!$W$4:$W$153,0))&amp;"","△ No row on Log"))</f>
        <v/>
      </c>
      <c r="F10" s="32">
        <f>IF($B10="",0,IF(LEFT($E10,1)="△",1,0))</f>
        <v/>
      </c>
    </row>
    <row r="11" ht="18" customHeight="1">
      <c r="A11" s="27" t="inlineStr">
        <is>
          <t>Gate map</t>
        </is>
      </c>
      <c r="B11" s="29" t="inlineStr">
        <is>
          <t>Plan baselined</t>
        </is>
      </c>
      <c r="C11" s="28" t="n">
        <v>46185</v>
      </c>
      <c r="D11" s="29" t="inlineStr">
        <is>
          <t>Decided Go</t>
        </is>
      </c>
      <c r="E11" s="30">
        <f>IF($B11="","",IFERROR(INDEX(Log!$A$4:$A$153,MATCH("*,"&amp;SUBSTITUTE(TRIM($B11)," ","")&amp;",*",Log!$W$4:$W$153,0))&amp;"","△ No row on Log"))</f>
        <v/>
      </c>
      <c r="F11" s="32">
        <f>IF($B11="",0,IF(LEFT($E11,1)="△",1,0))</f>
        <v/>
      </c>
    </row>
    <row r="12" ht="18" customHeight="1">
      <c r="A12" s="27" t="inlineStr">
        <is>
          <t>Acceptance and sign-off</t>
        </is>
      </c>
      <c r="B12" s="29" t="inlineStr">
        <is>
          <t>C-02</t>
        </is>
      </c>
      <c r="C12" s="28" t="n">
        <v>46185</v>
      </c>
      <c r="D12" s="29" t="inlineStr">
        <is>
          <t>Tax export check waived</t>
        </is>
      </c>
      <c r="E12" s="30">
        <f>IF($B12="","",IFERROR(INDEX(Log!$A$4:$A$153,MATCH("*,"&amp;SUBSTITUTE(TRIM($B12)," ","")&amp;",*",Log!$W$4:$W$153,0))&amp;"","△ No row on Log"))</f>
        <v/>
      </c>
      <c r="F12" s="32">
        <f>IF($B12="",0,IF(LEFT($E12,1)="△",1,0))</f>
        <v/>
      </c>
    </row>
    <row r="13" ht="18" customHeight="1">
      <c r="A13" s="27" t="inlineStr">
        <is>
          <t>Acceptance and sign-off</t>
        </is>
      </c>
      <c r="B13" s="29" t="inlineStr">
        <is>
          <t>Acceptance criteria v2</t>
        </is>
      </c>
      <c r="C13" s="28" t="n">
        <v>46293</v>
      </c>
      <c r="D13" s="29" t="inlineStr">
        <is>
          <t>Signed by Anders and Rhys</t>
        </is>
      </c>
      <c r="E13" s="30">
        <f>IF($B13="","",IFERROR(INDEX(Log!$A$4:$A$153,MATCH("*,"&amp;SUBSTITUTE(TRIM($B13)," ","")&amp;",*",Log!$W$4:$W$153,0))&amp;"","△ No row on Log"))</f>
        <v/>
      </c>
      <c r="F13" s="32">
        <f>IF($B13="",0,IF(LEFT($E13,1)="△",1,0))</f>
        <v/>
      </c>
    </row>
    <row r="14" ht="18" customHeight="1">
      <c r="A14" s="27" t="inlineStr">
        <is>
          <t>Program workbook</t>
        </is>
      </c>
      <c r="B14" s="29" t="inlineStr">
        <is>
          <t>M-04</t>
        </is>
      </c>
      <c r="C14" s="28" t="n">
        <v>46303</v>
      </c>
      <c r="D14" s="29" t="inlineStr">
        <is>
          <t>Tax rules split written down</t>
        </is>
      </c>
      <c r="E14" s="30">
        <f>IF($B14="","",IFERROR(INDEX(Log!$A$4:$A$153,MATCH("*,"&amp;SUBSTITUTE(TRIM($B14)," ","")&amp;",*",Log!$W$4:$W$153,0))&amp;"","△ No row on Log"))</f>
        <v/>
      </c>
      <c r="F14" s="32">
        <f>IF($B14="",0,IF(LEFT($E14,1)="△",1,0))</f>
        <v/>
      </c>
    </row>
    <row r="15" ht="31" customHeight="1">
      <c r="A15" s="27" t="inlineStr">
        <is>
          <t>Program board notes</t>
        </is>
      </c>
      <c r="B15" s="29" t="inlineStr">
        <is>
          <t>Program board notes 22 Oct</t>
        </is>
      </c>
      <c r="C15" s="28" t="n">
        <v>46317</v>
      </c>
      <c r="D15" s="29" t="inlineStr">
        <is>
          <t>Second-wave notice before 1 Feb</t>
        </is>
      </c>
      <c r="E15" s="30">
        <f>IF($B15="","",IFERROR(INDEX(Log!$A$4:$A$153,MATCH("*,"&amp;SUBSTITUTE(TRIM($B15)," ","")&amp;",*",Log!$W$4:$W$153,0))&amp;"","△ No row on Log"))</f>
        <v/>
      </c>
      <c r="F15" s="32">
        <f>IF($B15="",0,IF(LEFT($E15,1)="△",1,0))</f>
        <v/>
      </c>
    </row>
    <row r="16" ht="31" customHeight="1">
      <c r="A16" s="27" t="inlineStr">
        <is>
          <t>Acceptance and sign-off</t>
        </is>
      </c>
      <c r="B16" s="29" t="inlineStr">
        <is>
          <t>C-06</t>
        </is>
      </c>
      <c r="C16" s="28" t="n">
        <v>46310</v>
      </c>
      <c r="D16" s="29" t="inlineStr">
        <is>
          <t>Pass line loosened: severity 2 from 0 to 3 or fewer</t>
        </is>
      </c>
      <c r="E16" s="30">
        <f>IF($B16="","",IFERROR(INDEX(Log!$A$4:$A$153,MATCH("*,"&amp;SUBSTITUTE(TRIM($B16)," ","")&amp;",*",Log!$W$4:$W$153,0))&amp;"","△ No row on Log"))</f>
        <v/>
      </c>
      <c r="F16" s="32">
        <f>IF($B16="",0,IF(LEFT($E16,1)="△",1,0))</f>
        <v/>
      </c>
    </row>
    <row r="17" ht="18" customHeight="1">
      <c r="A17" s="27" t="n"/>
      <c r="B17" s="29" t="n"/>
      <c r="C17" s="28" t="n"/>
      <c r="D17" s="29" t="n"/>
      <c r="E17" s="30">
        <f>IF($B17="","",IFERROR(INDEX(Log!$A$4:$A$153,MATCH("*,"&amp;SUBSTITUTE(TRIM($B17)," ","")&amp;",*",Log!$W$4:$W$153,0))&amp;"","△ No row on Log"))</f>
        <v/>
      </c>
      <c r="F17" s="32">
        <f>IF($B17="",0,IF(LEFT($E17,1)="△",1,0))</f>
        <v/>
      </c>
    </row>
    <row r="18" ht="18" customHeight="1">
      <c r="A18" s="27" t="n"/>
      <c r="B18" s="29" t="n"/>
      <c r="C18" s="28" t="n"/>
      <c r="D18" s="29" t="n"/>
      <c r="E18" s="30">
        <f>IF($B18="","",IFERROR(INDEX(Log!$A$4:$A$153,MATCH("*,"&amp;SUBSTITUTE(TRIM($B18)," ","")&amp;",*",Log!$W$4:$W$153,0))&amp;"","△ No row on Log"))</f>
        <v/>
      </c>
      <c r="F18" s="32">
        <f>IF($B18="",0,IF(LEFT($E18,1)="△",1,0))</f>
        <v/>
      </c>
    </row>
    <row r="19" ht="18" customHeight="1">
      <c r="A19" s="27" t="n"/>
      <c r="B19" s="29" t="n"/>
      <c r="C19" s="28" t="n"/>
      <c r="D19" s="29" t="n"/>
      <c r="E19" s="30">
        <f>IF($B19="","",IFERROR(INDEX(Log!$A$4:$A$153,MATCH("*,"&amp;SUBSTITUTE(TRIM($B19)," ","")&amp;",*",Log!$W$4:$W$153,0))&amp;"","△ No row on Log"))</f>
        <v/>
      </c>
      <c r="F19" s="32">
        <f>IF($B19="",0,IF(LEFT($E19,1)="△",1,0))</f>
        <v/>
      </c>
    </row>
    <row r="20" ht="18" customHeight="1">
      <c r="A20" s="27" t="n"/>
      <c r="B20" s="29" t="n"/>
      <c r="C20" s="28" t="n"/>
      <c r="D20" s="29" t="n"/>
      <c r="E20" s="30">
        <f>IF($B20="","",IFERROR(INDEX(Log!$A$4:$A$153,MATCH("*,"&amp;SUBSTITUTE(TRIM($B20)," ","")&amp;",*",Log!$W$4:$W$153,0))&amp;"","△ No row on Log"))</f>
        <v/>
      </c>
      <c r="F20" s="32">
        <f>IF($B20="",0,IF(LEFT($E20,1)="△",1,0))</f>
        <v/>
      </c>
    </row>
    <row r="21" ht="18" customHeight="1">
      <c r="A21" s="27" t="n"/>
      <c r="B21" s="29" t="n"/>
      <c r="C21" s="28" t="n"/>
      <c r="D21" s="29" t="n"/>
      <c r="E21" s="30">
        <f>IF($B21="","",IFERROR(INDEX(Log!$A$4:$A$153,MATCH("*,"&amp;SUBSTITUTE(TRIM($B21)," ","")&amp;",*",Log!$W$4:$W$153,0))&amp;"","△ No row on Log"))</f>
        <v/>
      </c>
      <c r="F21" s="32">
        <f>IF($B21="",0,IF(LEFT($E21,1)="△",1,0))</f>
        <v/>
      </c>
    </row>
    <row r="22" ht="18" customHeight="1">
      <c r="A22" s="27" t="n"/>
      <c r="B22" s="29" t="n"/>
      <c r="C22" s="28" t="n"/>
      <c r="D22" s="29" t="n"/>
      <c r="E22" s="30">
        <f>IF($B22="","",IFERROR(INDEX(Log!$A$4:$A$153,MATCH("*,"&amp;SUBSTITUTE(TRIM($B22)," ","")&amp;",*",Log!$W$4:$W$153,0))&amp;"","△ No row on Log"))</f>
        <v/>
      </c>
      <c r="F22" s="32">
        <f>IF($B22="",0,IF(LEFT($E22,1)="△",1,0))</f>
        <v/>
      </c>
    </row>
    <row r="23" ht="18" customHeight="1">
      <c r="A23" s="27" t="n"/>
      <c r="B23" s="29" t="n"/>
      <c r="C23" s="28" t="n"/>
      <c r="D23" s="29" t="n"/>
      <c r="E23" s="30">
        <f>IF($B23="","",IFERROR(INDEX(Log!$A$4:$A$153,MATCH("*,"&amp;SUBSTITUTE(TRIM($B23)," ","")&amp;",*",Log!$W$4:$W$153,0))&amp;"","△ No row on Log"))</f>
        <v/>
      </c>
      <c r="F23" s="32">
        <f>IF($B23="",0,IF(LEFT($E23,1)="△",1,0))</f>
        <v/>
      </c>
    </row>
    <row r="24" ht="18" customHeight="1">
      <c r="A24" s="27" t="n"/>
      <c r="B24" s="29" t="n"/>
      <c r="C24" s="28" t="n"/>
      <c r="D24" s="29" t="n"/>
      <c r="E24" s="30">
        <f>IF($B24="","",IFERROR(INDEX(Log!$A$4:$A$153,MATCH("*,"&amp;SUBSTITUTE(TRIM($B24)," ","")&amp;",*",Log!$W$4:$W$153,0))&amp;"","△ No row on Log"))</f>
        <v/>
      </c>
      <c r="F24" s="32">
        <f>IF($B24="",0,IF(LEFT($E24,1)="△",1,0))</f>
        <v/>
      </c>
    </row>
    <row r="25" ht="18" customHeight="1">
      <c r="A25" s="27" t="n"/>
      <c r="B25" s="29" t="n"/>
      <c r="C25" s="28" t="n"/>
      <c r="D25" s="29" t="n"/>
      <c r="E25" s="30">
        <f>IF($B25="","",IFERROR(INDEX(Log!$A$4:$A$153,MATCH("*,"&amp;SUBSTITUTE(TRIM($B25)," ","")&amp;",*",Log!$W$4:$W$153,0))&amp;"","△ No row on Log"))</f>
        <v/>
      </c>
      <c r="F25" s="32">
        <f>IF($B25="",0,IF(LEFT($E25,1)="△",1,0))</f>
        <v/>
      </c>
    </row>
    <row r="26" ht="18" customHeight="1">
      <c r="A26" s="27" t="n"/>
      <c r="B26" s="29" t="n"/>
      <c r="C26" s="28" t="n"/>
      <c r="D26" s="29" t="n"/>
      <c r="E26" s="30">
        <f>IF($B26="","",IFERROR(INDEX(Log!$A$4:$A$153,MATCH("*,"&amp;SUBSTITUTE(TRIM($B26)," ","")&amp;",*",Log!$W$4:$W$153,0))&amp;"","△ No row on Log"))</f>
        <v/>
      </c>
      <c r="F26" s="32">
        <f>IF($B26="",0,IF(LEFT($E26,1)="△",1,0))</f>
        <v/>
      </c>
    </row>
    <row r="27" ht="18" customHeight="1">
      <c r="A27" s="27" t="n"/>
      <c r="B27" s="29" t="n"/>
      <c r="C27" s="28" t="n"/>
      <c r="D27" s="29" t="n"/>
      <c r="E27" s="30">
        <f>IF($B27="","",IFERROR(INDEX(Log!$A$4:$A$153,MATCH("*,"&amp;SUBSTITUTE(TRIM($B27)," ","")&amp;",*",Log!$W$4:$W$153,0))&amp;"","△ No row on Log"))</f>
        <v/>
      </c>
      <c r="F27" s="32">
        <f>IF($B27="",0,IF(LEFT($E27,1)="△",1,0))</f>
        <v/>
      </c>
    </row>
    <row r="28" ht="18" customHeight="1">
      <c r="A28" s="27" t="n"/>
      <c r="B28" s="29" t="n"/>
      <c r="C28" s="28" t="n"/>
      <c r="D28" s="29" t="n"/>
      <c r="E28" s="30">
        <f>IF($B28="","",IFERROR(INDEX(Log!$A$4:$A$153,MATCH("*,"&amp;SUBSTITUTE(TRIM($B28)," ","")&amp;",*",Log!$W$4:$W$153,0))&amp;"","△ No row on Log"))</f>
        <v/>
      </c>
      <c r="F28" s="32">
        <f>IF($B28="",0,IF(LEFT($E28,1)="△",1,0))</f>
        <v/>
      </c>
    </row>
    <row r="29" ht="18" customHeight="1">
      <c r="A29" s="27" t="n"/>
      <c r="B29" s="29" t="n"/>
      <c r="C29" s="28" t="n"/>
      <c r="D29" s="29" t="n"/>
      <c r="E29" s="30">
        <f>IF($B29="","",IFERROR(INDEX(Log!$A$4:$A$153,MATCH("*,"&amp;SUBSTITUTE(TRIM($B29)," ","")&amp;",*",Log!$W$4:$W$153,0))&amp;"","△ No row on Log"))</f>
        <v/>
      </c>
      <c r="F29" s="32">
        <f>IF($B29="",0,IF(LEFT($E29,1)="△",1,0))</f>
        <v/>
      </c>
    </row>
    <row r="30" ht="18" customHeight="1">
      <c r="A30" s="27" t="n"/>
      <c r="B30" s="29" t="n"/>
      <c r="C30" s="28" t="n"/>
      <c r="D30" s="29" t="n"/>
      <c r="E30" s="30">
        <f>IF($B30="","",IFERROR(INDEX(Log!$A$4:$A$153,MATCH("*,"&amp;SUBSTITUTE(TRIM($B30)," ","")&amp;",*",Log!$W$4:$W$153,0))&amp;"","△ No row on Log"))</f>
        <v/>
      </c>
      <c r="F30" s="32">
        <f>IF($B30="",0,IF(LEFT($E30,1)="△",1,0))</f>
        <v/>
      </c>
    </row>
    <row r="31" ht="18" customHeight="1">
      <c r="A31" s="27" t="n"/>
      <c r="B31" s="29" t="n"/>
      <c r="C31" s="28" t="n"/>
      <c r="D31" s="29" t="n"/>
      <c r="E31" s="30">
        <f>IF($B31="","",IFERROR(INDEX(Log!$A$4:$A$153,MATCH("*,"&amp;SUBSTITUTE(TRIM($B31)," ","")&amp;",*",Log!$W$4:$W$153,0))&amp;"","△ No row on Log"))</f>
        <v/>
      </c>
      <c r="F31" s="32">
        <f>IF($B31="",0,IF(LEFT($E31,1)="△",1,0))</f>
        <v/>
      </c>
    </row>
    <row r="32" ht="18" customHeight="1">
      <c r="A32" s="27" t="n"/>
      <c r="B32" s="29" t="n"/>
      <c r="C32" s="28" t="n"/>
      <c r="D32" s="29" t="n"/>
      <c r="E32" s="30">
        <f>IF($B32="","",IFERROR(INDEX(Log!$A$4:$A$153,MATCH("*,"&amp;SUBSTITUTE(TRIM($B32)," ","")&amp;",*",Log!$W$4:$W$153,0))&amp;"","△ No row on Log"))</f>
        <v/>
      </c>
      <c r="F32" s="32">
        <f>IF($B32="",0,IF(LEFT($E32,1)="△",1,0))</f>
        <v/>
      </c>
    </row>
    <row r="33" ht="18" customHeight="1">
      <c r="A33" s="27" t="n"/>
      <c r="B33" s="29" t="n"/>
      <c r="C33" s="28" t="n"/>
      <c r="D33" s="29" t="n"/>
      <c r="E33" s="30">
        <f>IF($B33="","",IFERROR(INDEX(Log!$A$4:$A$153,MATCH("*,"&amp;SUBSTITUTE(TRIM($B33)," ","")&amp;",*",Log!$W$4:$W$153,0))&amp;"","△ No row on Log"))</f>
        <v/>
      </c>
      <c r="F33" s="32">
        <f>IF($B33="",0,IF(LEFT($E33,1)="△",1,0))</f>
        <v/>
      </c>
    </row>
    <row r="34" ht="18" customHeight="1">
      <c r="A34" s="27" t="n"/>
      <c r="B34" s="29" t="n"/>
      <c r="C34" s="28" t="n"/>
      <c r="D34" s="29" t="n"/>
      <c r="E34" s="30">
        <f>IF($B34="","",IFERROR(INDEX(Log!$A$4:$A$153,MATCH("*,"&amp;SUBSTITUTE(TRIM($B34)," ","")&amp;",*",Log!$W$4:$W$153,0))&amp;"","△ No row on Log"))</f>
        <v/>
      </c>
      <c r="F34" s="32">
        <f>IF($B34="",0,IF(LEFT($E34,1)="△",1,0))</f>
        <v/>
      </c>
    </row>
    <row r="35" ht="18" customHeight="1">
      <c r="A35" s="27" t="n"/>
      <c r="B35" s="29" t="n"/>
      <c r="C35" s="28" t="n"/>
      <c r="D35" s="29" t="n"/>
      <c r="E35" s="30">
        <f>IF($B35="","",IFERROR(INDEX(Log!$A$4:$A$153,MATCH("*,"&amp;SUBSTITUTE(TRIM($B35)," ","")&amp;",*",Log!$W$4:$W$153,0))&amp;"","△ No row on Log"))</f>
        <v/>
      </c>
      <c r="F35" s="32">
        <f>IF($B35="",0,IF(LEFT($E35,1)="△",1,0))</f>
        <v/>
      </c>
    </row>
    <row r="36" ht="18" customHeight="1">
      <c r="A36" s="27" t="n"/>
      <c r="B36" s="29" t="n"/>
      <c r="C36" s="28" t="n"/>
      <c r="D36" s="29" t="n"/>
      <c r="E36" s="30">
        <f>IF($B36="","",IFERROR(INDEX(Log!$A$4:$A$153,MATCH("*,"&amp;SUBSTITUTE(TRIM($B36)," ","")&amp;",*",Log!$W$4:$W$153,0))&amp;"","△ No row on Log"))</f>
        <v/>
      </c>
      <c r="F36" s="32">
        <f>IF($B36="",0,IF(LEFT($E36,1)="△",1,0))</f>
        <v/>
      </c>
    </row>
    <row r="37" ht="18" customHeight="1">
      <c r="A37" s="27" t="n"/>
      <c r="B37" s="29" t="n"/>
      <c r="C37" s="28" t="n"/>
      <c r="D37" s="29" t="n"/>
      <c r="E37" s="30">
        <f>IF($B37="","",IFERROR(INDEX(Log!$A$4:$A$153,MATCH("*,"&amp;SUBSTITUTE(TRIM($B37)," ","")&amp;",*",Log!$W$4:$W$153,0))&amp;"","△ No row on Log"))</f>
        <v/>
      </c>
      <c r="F37" s="32">
        <f>IF($B37="",0,IF(LEFT($E37,1)="△",1,0))</f>
        <v/>
      </c>
    </row>
    <row r="38" ht="18" customHeight="1">
      <c r="A38" s="27" t="n"/>
      <c r="B38" s="29" t="n"/>
      <c r="C38" s="28" t="n"/>
      <c r="D38" s="29" t="n"/>
      <c r="E38" s="30">
        <f>IF($B38="","",IFERROR(INDEX(Log!$A$4:$A$153,MATCH("*,"&amp;SUBSTITUTE(TRIM($B38)," ","")&amp;",*",Log!$W$4:$W$153,0))&amp;"","△ No row on Log"))</f>
        <v/>
      </c>
      <c r="F38" s="32">
        <f>IF($B38="",0,IF(LEFT($E38,1)="△",1,0))</f>
        <v/>
      </c>
    </row>
    <row r="39" ht="18" customHeight="1">
      <c r="A39" s="27" t="n"/>
      <c r="B39" s="29" t="n"/>
      <c r="C39" s="28" t="n"/>
      <c r="D39" s="29" t="n"/>
      <c r="E39" s="30">
        <f>IF($B39="","",IFERROR(INDEX(Log!$A$4:$A$153,MATCH("*,"&amp;SUBSTITUTE(TRIM($B39)," ","")&amp;",*",Log!$W$4:$W$153,0))&amp;"","△ No row on Log"))</f>
        <v/>
      </c>
      <c r="F39" s="32">
        <f>IF($B39="",0,IF(LEFT($E39,1)="△",1,0))</f>
        <v/>
      </c>
    </row>
    <row r="40" ht="18" customHeight="1">
      <c r="A40" s="27" t="n"/>
      <c r="B40" s="29" t="n"/>
      <c r="C40" s="28" t="n"/>
      <c r="D40" s="29" t="n"/>
      <c r="E40" s="30">
        <f>IF($B40="","",IFERROR(INDEX(Log!$A$4:$A$153,MATCH("*,"&amp;SUBSTITUTE(TRIM($B40)," ","")&amp;",*",Log!$W$4:$W$153,0))&amp;"","△ No row on Log"))</f>
        <v/>
      </c>
      <c r="F40" s="32">
        <f>IF($B40="",0,IF(LEFT($E40,1)="△",1,0))</f>
        <v/>
      </c>
    </row>
    <row r="41" ht="18" customHeight="1">
      <c r="A41" s="27" t="n"/>
      <c r="B41" s="29" t="n"/>
      <c r="C41" s="28" t="n"/>
      <c r="D41" s="29" t="n"/>
      <c r="E41" s="30">
        <f>IF($B41="","",IFERROR(INDEX(Log!$A$4:$A$153,MATCH("*,"&amp;SUBSTITUTE(TRIM($B41)," ","")&amp;",*",Log!$W$4:$W$153,0))&amp;"","△ No row on Log"))</f>
        <v/>
      </c>
      <c r="F41" s="32">
        <f>IF($B41="",0,IF(LEFT($E41,1)="△",1,0))</f>
        <v/>
      </c>
    </row>
    <row r="42" ht="18" customHeight="1">
      <c r="A42" s="27" t="n"/>
      <c r="B42" s="29" t="n"/>
      <c r="C42" s="28" t="n"/>
      <c r="D42" s="29" t="n"/>
      <c r="E42" s="30">
        <f>IF($B42="","",IFERROR(INDEX(Log!$A$4:$A$153,MATCH("*,"&amp;SUBSTITUTE(TRIM($B42)," ","")&amp;",*",Log!$W$4:$W$153,0))&amp;"","△ No row on Log"))</f>
        <v/>
      </c>
      <c r="F42" s="32">
        <f>IF($B42="",0,IF(LEFT($E42,1)="△",1,0))</f>
        <v/>
      </c>
    </row>
    <row r="43" ht="18" customHeight="1">
      <c r="A43" s="27" t="n"/>
      <c r="B43" s="29" t="n"/>
      <c r="C43" s="28" t="n"/>
      <c r="D43" s="29" t="n"/>
      <c r="E43" s="30">
        <f>IF($B43="","",IFERROR(INDEX(Log!$A$4:$A$153,MATCH("*,"&amp;SUBSTITUTE(TRIM($B43)," ","")&amp;",*",Log!$W$4:$W$153,0))&amp;"","△ No row on Log"))</f>
        <v/>
      </c>
      <c r="F43" s="32">
        <f>IF($B43="",0,IF(LEFT($E43,1)="△",1,0))</f>
        <v/>
      </c>
    </row>
    <row r="44" ht="18" customHeight="1">
      <c r="A44" s="27" t="n"/>
      <c r="B44" s="29" t="n"/>
      <c r="C44" s="28" t="n"/>
      <c r="D44" s="29" t="n"/>
      <c r="E44" s="30">
        <f>IF($B44="","",IFERROR(INDEX(Log!$A$4:$A$153,MATCH("*,"&amp;SUBSTITUTE(TRIM($B44)," ","")&amp;",*",Log!$W$4:$W$153,0))&amp;"","△ No row on Log"))</f>
        <v/>
      </c>
      <c r="F44" s="32">
        <f>IF($B44="",0,IF(LEFT($E44,1)="△",1,0))</f>
        <v/>
      </c>
    </row>
    <row r="45" ht="18" customHeight="1">
      <c r="A45" s="27" t="n"/>
      <c r="B45" s="29" t="n"/>
      <c r="C45" s="28" t="n"/>
      <c r="D45" s="29" t="n"/>
      <c r="E45" s="30">
        <f>IF($B45="","",IFERROR(INDEX(Log!$A$4:$A$153,MATCH("*,"&amp;SUBSTITUTE(TRIM($B45)," ","")&amp;",*",Log!$W$4:$W$153,0))&amp;"","△ No row on Log"))</f>
        <v/>
      </c>
      <c r="F45" s="32">
        <f>IF($B45="",0,IF(LEFT($E45,1)="△",1,0))</f>
        <v/>
      </c>
    </row>
  </sheetData>
  <sheetProtection selectLockedCells="0" selectUnlockedCells="0" sheet="1" objects="0" insertRows="1" insertHyperlinks="1" autoFilter="0" scenarios="0" formatColumns="0" deleteColumns="1" insertColumns="1" pivotTables="1" deleteRows="1" formatCells="0" formatRows="0" sort="1"/>
  <conditionalFormatting sqref="E6:E45">
    <cfRule type="expression" priority="1" dxfId="1" stopIfTrue="0">
      <formula>LEFT($E6,1)="△"</formula>
    </cfRule>
  </conditionalFormatting>
  <dataValidations count="4">
    <dataValidation sqref="A6:A45" showDropDown="0" showInputMessage="1" showErrorMessage="1" allowBlank="1" errorTitle="Check this entry" error="Pick a file from the list, or Other." promptTitle="Where" prompt="The file that shows the change. Pick it from the list, or Other." type="list" errorStyle="warning">
      <formula1>"Change log,Gate map,Acceptance and sign-off,RAID log,RACI,Program workbook,Program board notes,Status report,Other"</formula1>
    </dataValidation>
    <dataValidation sqref="B6:B45" showDropDown="0" showInputMessage="1" showErrorMessage="0" allowBlank="1" promptTitle="Id or name" prompt="Add a line for each change, waiver or gate decision another file shows, in that file's words: CH-3, C-02, M-04, or a gate's name." errorStyle="stop"/>
    <dataValidation sqref="C6:C45" showDropDown="0" showInputMessage="1" showErrorMessage="1" allowBlank="1" errorTitle="Check this entry" error="Type a date, such as 30 Jun 2027." promptTitle="Date" prompt="The day that file says it happened." type="date" errorStyle="stop" operator="between">
      <formula1>36526</formula1>
      <formula2>73415</formula2>
    </dataValidation>
    <dataValidation sqref="D6:D45" showDropDown="0" showInputMessage="1" showErrorMessage="0" allowBlank="1" promptTitle="What" prompt="A few words on what changed." errorStyle="stop"/>
  </dataValidations>
  <pageMargins left="0.4" right="0.4" top="0.6" bottom="0.6" header="0.3" footer="0.3"/>
  <pageSetup orientation="landscape" paperSize="9" scale="100"/>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0"/>
  </sheetPr>
  <dimension ref="A1:J36"/>
  <sheetViews>
    <sheetView showGridLines="0" tabSelected="0" workbookViewId="0">
      <selection activeCell="A1" sqref="A1"/>
    </sheetView>
  </sheetViews>
  <sheetFormatPr baseColWidth="8" defaultRowHeight="15"/>
  <cols>
    <col width="4" customWidth="1" min="1" max="1"/>
    <col width="17" customWidth="1" min="2" max="2"/>
    <col width="19" customWidth="1" min="3" max="3"/>
    <col width="28" customWidth="1" min="4" max="4"/>
    <col width="7" customWidth="1" min="5" max="5"/>
    <col width="22" customWidth="1" min="6" max="6"/>
    <col width="22" customWidth="1" min="7" max="7"/>
    <col width="16" customWidth="1" min="8" max="8"/>
    <col width="2" customWidth="1" min="9" max="9"/>
    <col hidden="1" width="34" customWidth="1" min="10" max="10"/>
  </cols>
  <sheetData>
    <row r="1" ht="36" customHeight="1">
      <c r="A1" s="1" t="inlineStr">
        <is>
          <t>People (Example)</t>
        </is>
      </c>
    </row>
    <row r="2" ht="18" customHeight="1">
      <c r="A2" s="11">
        <f>Summary!$A$2</f>
        <v/>
      </c>
    </row>
    <row r="4" ht="18" customHeight="1">
      <c r="A4" s="14" t="inlineStr">
        <is>
          <t>DECIDERS</t>
        </is>
      </c>
      <c r="B4" s="14" t="n"/>
      <c r="C4" s="14" t="n"/>
      <c r="D4" s="14" t="n"/>
      <c r="E4" s="14" t="n"/>
      <c r="F4" s="14" t="n"/>
      <c r="G4" s="14" t="n"/>
      <c r="H4" s="14" t="n"/>
    </row>
    <row r="5" ht="20" customHeight="1">
      <c r="A5" s="23" t="inlineStr">
        <is>
          <t>#</t>
        </is>
      </c>
      <c r="B5" s="22" t="inlineStr">
        <is>
          <t>Name</t>
        </is>
      </c>
      <c r="C5" s="22" t="inlineStr">
        <is>
          <t>Role</t>
        </is>
      </c>
      <c r="D5" s="23" t="inlineStr">
        <is>
          <t>As written</t>
        </is>
      </c>
      <c r="E5" s="22" t="inlineStr">
        <is>
          <t>Kind</t>
        </is>
      </c>
      <c r="F5" s="22" t="inlineStr">
        <is>
          <t>Members</t>
        </is>
      </c>
      <c r="G5" s="22" t="inlineStr">
        <is>
          <t>Signs for</t>
        </is>
      </c>
      <c r="H5" s="23" t="inlineStr">
        <is>
          <t>Row check</t>
        </is>
      </c>
      <c r="J5" s="23" t="inlineStr">
        <is>
          <t>Placeholders the second check refuses</t>
        </is>
      </c>
    </row>
    <row r="6" ht="18" customHeight="1">
      <c r="A6" s="33">
        <f>IF($B6="","",ROW()-5)</f>
        <v/>
      </c>
      <c r="B6" s="29" t="inlineStr">
        <is>
          <t>Priya</t>
        </is>
      </c>
      <c r="C6" s="29" t="inlineStr">
        <is>
          <t>CTO</t>
        </is>
      </c>
      <c r="D6" s="31">
        <f>IF($B6="","",IF($C6="",$B6,$B6&amp;" ("&amp;$C6&amp;")"))</f>
        <v/>
      </c>
      <c r="E6" s="27" t="inlineStr">
        <is>
          <t>Person</t>
        </is>
      </c>
      <c r="F6" s="29" t="n"/>
      <c r="G6" s="29" t="n"/>
      <c r="H6" s="31">
        <f>IF($B6="","",IF(COUNTIF($B$6:$B$25,$B6)&gt;1,"△ Name used twice",IF($E6="","△ Pick a Kind",IF(AND($E6="Body",LEN(TRIM($F6))=0),"△ A body needs its members",IF(AND($E6="Body",LEN(TRIM($G6))=0),"△ A body needs who signs for it",IF(AND($E6="Person",LEN(TRIM($F6)&amp;TRIM($G6))&gt;0),"△ Only a body has members and a signer","○ Clear"))))))</f>
        <v/>
      </c>
      <c r="J6" s="26" t="inlineStr">
        <is>
          <t>above</t>
        </is>
      </c>
    </row>
    <row r="7" ht="31" customHeight="1">
      <c r="A7" s="33">
        <f>IF($B7="","",ROW()-5)</f>
        <v/>
      </c>
      <c r="B7" s="29" t="inlineStr">
        <is>
          <t>Anders</t>
        </is>
      </c>
      <c r="C7" s="29" t="inlineStr">
        <is>
          <t>Engineering Manager</t>
        </is>
      </c>
      <c r="D7" s="31">
        <f>IF($B7="","",IF($C7="",$B7,$B7&amp;" ("&amp;$C7&amp;")"))</f>
        <v/>
      </c>
      <c r="E7" s="27" t="inlineStr">
        <is>
          <t>Person</t>
        </is>
      </c>
      <c r="F7" s="29" t="n"/>
      <c r="G7" s="29" t="n"/>
      <c r="H7" s="31">
        <f>IF($B7="","",IF(COUNTIF($B$6:$B$25,$B7)&gt;1,"△ Name used twice",IF($E7="","△ Pick a Kind",IF(AND($E7="Body",LEN(TRIM($F7))=0),"△ A body needs its members",IF(AND($E7="Body",LEN(TRIM($G7))=0),"△ A body needs who signs for it",IF(AND($E7="Person",LEN(TRIM($F7)&amp;TRIM($G7))&gt;0),"△ Only a body has members and a signer","○ Clear"))))))</f>
        <v/>
      </c>
      <c r="J7" s="26" t="inlineStr">
        <is>
          <t>see above</t>
        </is>
      </c>
    </row>
    <row r="8" ht="18" customHeight="1">
      <c r="A8" s="33">
        <f>IF($B8="","",ROW()-5)</f>
        <v/>
      </c>
      <c r="B8" s="29" t="inlineStr">
        <is>
          <t>Hugo</t>
        </is>
      </c>
      <c r="C8" s="29" t="inlineStr">
        <is>
          <t>Program Manager</t>
        </is>
      </c>
      <c r="D8" s="31">
        <f>IF($B8="","",IF($C8="",$B8,$B8&amp;" ("&amp;$C8&amp;")"))</f>
        <v/>
      </c>
      <c r="E8" s="27" t="inlineStr">
        <is>
          <t>Person</t>
        </is>
      </c>
      <c r="F8" s="29" t="n"/>
      <c r="G8" s="29" t="n"/>
      <c r="H8" s="31">
        <f>IF($B8="","",IF(COUNTIF($B$6:$B$25,$B8)&gt;1,"△ Name used twice",IF($E8="","△ Pick a Kind",IF(AND($E8="Body",LEN(TRIM($F8))=0),"△ A body needs its members",IF(AND($E8="Body",LEN(TRIM($G8))=0),"△ A body needs who signs for it",IF(AND($E8="Person",LEN(TRIM($F8)&amp;TRIM($G8))&gt;0),"△ Only a body has members and a signer","○ Clear"))))))</f>
        <v/>
      </c>
      <c r="J8" s="26" t="inlineStr">
        <is>
          <t>as above</t>
        </is>
      </c>
    </row>
    <row r="9" ht="31" customHeight="1">
      <c r="A9" s="33">
        <f>IF($B9="","",ROW()-5)</f>
        <v/>
      </c>
      <c r="B9" s="29" t="inlineStr">
        <is>
          <t>Rhys</t>
        </is>
      </c>
      <c r="C9" s="29" t="inlineStr">
        <is>
          <t>Finance Operations Lead</t>
        </is>
      </c>
      <c r="D9" s="31">
        <f>IF($B9="","",IF($C9="",$B9,$B9&amp;" ("&amp;$C9&amp;")"))</f>
        <v/>
      </c>
      <c r="E9" s="27" t="inlineStr">
        <is>
          <t>Person</t>
        </is>
      </c>
      <c r="F9" s="29" t="n"/>
      <c r="G9" s="29" t="n"/>
      <c r="H9" s="31">
        <f>IF($B9="","",IF(COUNTIF($B$6:$B$25,$B9)&gt;1,"△ Name used twice",IF($E9="","△ Pick a Kind",IF(AND($E9="Body",LEN(TRIM($F9))=0),"△ A body needs its members",IF(AND($E9="Body",LEN(TRIM($G9))=0),"△ A body needs who signs for it",IF(AND($E9="Person",LEN(TRIM($F9)&amp;TRIM($G9))&gt;0),"△ Only a body has members and a signer","○ Clear"))))))</f>
        <v/>
      </c>
      <c r="J9" s="26" t="inlineStr">
        <is>
          <t>tbd</t>
        </is>
      </c>
    </row>
    <row r="10" ht="70" customHeight="1">
      <c r="A10" s="33">
        <f>IF($B10="","",ROW()-5)</f>
        <v/>
      </c>
      <c r="B10" s="29" t="inlineStr">
        <is>
          <t>Program board</t>
        </is>
      </c>
      <c r="C10" s="29" t="n"/>
      <c r="D10" s="31">
        <f>IF($B10="","",IF($C10="",$B10,$B10&amp;" ("&amp;$C10&amp;")"))</f>
        <v/>
      </c>
      <c r="E10" s="27" t="inlineStr">
        <is>
          <t>Body</t>
        </is>
      </c>
      <c r="F10" s="29" t="inlineStr">
        <is>
          <t>Hugo (Program Manager), Anders (Engineering Manager), Rhys (Finance Operations Lead)</t>
        </is>
      </c>
      <c r="G10" s="29" t="inlineStr">
        <is>
          <t>Hugo (Program Manager)</t>
        </is>
      </c>
      <c r="H10" s="31">
        <f>IF($B10="","",IF(COUNTIF($B$6:$B$25,$B10)&gt;1,"△ Name used twice",IF($E10="","△ Pick a Kind",IF(AND($E10="Body",LEN(TRIM($F10))=0),"△ A body needs its members",IF(AND($E10="Body",LEN(TRIM($G10))=0),"△ A body needs who signs for it",IF(AND($E10="Person",LEN(TRIM($F10)&amp;TRIM($G10))&gt;0),"△ Only a body has members and a signer","○ Clear"))))))</f>
        <v/>
      </c>
      <c r="J10" s="26" t="inlineStr">
        <is>
          <t>n/a</t>
        </is>
      </c>
    </row>
    <row r="11" ht="18" customHeight="1">
      <c r="A11" s="33">
        <f>IF($B11="","",ROW()-5)</f>
        <v/>
      </c>
      <c r="B11" s="29" t="n"/>
      <c r="C11" s="29" t="n"/>
      <c r="D11" s="31">
        <f>IF($B11="","",IF($C11="",$B11,$B11&amp;" ("&amp;$C11&amp;")"))</f>
        <v/>
      </c>
      <c r="E11" s="27" t="n"/>
      <c r="F11" s="29" t="n"/>
      <c r="G11" s="29" t="n"/>
      <c r="H11" s="31">
        <f>IF($B11="","",IF(COUNTIF($B$6:$B$25,$B11)&gt;1,"△ Name used twice",IF($E11="","△ Pick a Kind",IF(AND($E11="Body",LEN(TRIM($F11))=0),"△ A body needs its members",IF(AND($E11="Body",LEN(TRIM($G11))=0),"△ A body needs who signs for it",IF(AND($E11="Person",LEN(TRIM($F11)&amp;TRIM($G11))&gt;0),"△ Only a body has members and a signer","○ Clear"))))))</f>
        <v/>
      </c>
      <c r="J11" s="26" t="inlineStr">
        <is>
          <t>as agreed</t>
        </is>
      </c>
    </row>
    <row r="12" ht="18" customHeight="1">
      <c r="A12" s="33">
        <f>IF($B12="","",ROW()-5)</f>
        <v/>
      </c>
      <c r="B12" s="29" t="n"/>
      <c r="C12" s="29" t="n"/>
      <c r="D12" s="31">
        <f>IF($B12="","",IF($C12="",$B12,$B12&amp;" ("&amp;$C12&amp;")"))</f>
        <v/>
      </c>
      <c r="E12" s="27" t="n"/>
      <c r="F12" s="29" t="n"/>
      <c r="G12" s="29" t="n"/>
      <c r="H12" s="31">
        <f>IF($B12="","",IF(COUNTIF($B$6:$B$25,$B12)&gt;1,"△ Name used twice",IF($E12="","△ Pick a Kind",IF(AND($E12="Body",LEN(TRIM($F12))=0),"△ A body needs its members",IF(AND($E12="Body",LEN(TRIM($G12))=0),"△ A body needs who signs for it",IF(AND($E12="Person",LEN(TRIM($F12)&amp;TRIM($G12))&gt;0),"△ Only a body has members and a signer","○ Clear"))))))</f>
        <v/>
      </c>
      <c r="J12" s="26" t="inlineStr">
        <is>
          <t>same as above</t>
        </is>
      </c>
    </row>
    <row r="13" ht="18" customHeight="1">
      <c r="A13" s="33">
        <f>IF($B13="","",ROW()-5)</f>
        <v/>
      </c>
      <c r="B13" s="29" t="n"/>
      <c r="C13" s="29" t="n"/>
      <c r="D13" s="31">
        <f>IF($B13="","",IF($C13="",$B13,$B13&amp;" ("&amp;$C13&amp;")"))</f>
        <v/>
      </c>
      <c r="E13" s="27" t="n"/>
      <c r="F13" s="29" t="n"/>
      <c r="G13" s="29" t="n"/>
      <c r="H13" s="31">
        <f>IF($B13="","",IF(COUNTIF($B$6:$B$25,$B13)&gt;1,"△ Name used twice",IF($E13="","△ Pick a Kind",IF(AND($E13="Body",LEN(TRIM($F13))=0),"△ A body needs its members",IF(AND($E13="Body",LEN(TRIM($G13))=0),"△ A body needs who signs for it",IF(AND($E13="Person",LEN(TRIM($F13)&amp;TRIM($G13))&gt;0),"△ Only a body has members and a signer","○ Clear"))))))</f>
        <v/>
      </c>
    </row>
    <row r="14" ht="18" customHeight="1">
      <c r="A14" s="33">
        <f>IF($B14="","",ROW()-5)</f>
        <v/>
      </c>
      <c r="B14" s="29" t="n"/>
      <c r="C14" s="29" t="n"/>
      <c r="D14" s="31">
        <f>IF($B14="","",IF($C14="",$B14,$B14&amp;" ("&amp;$C14&amp;")"))</f>
        <v/>
      </c>
      <c r="E14" s="27" t="n"/>
      <c r="F14" s="29" t="n"/>
      <c r="G14" s="29" t="n"/>
      <c r="H14" s="31">
        <f>IF($B14="","",IF(COUNTIF($B$6:$B$25,$B14)&gt;1,"△ Name used twice",IF($E14="","△ Pick a Kind",IF(AND($E14="Body",LEN(TRIM($F14))=0),"△ A body needs its members",IF(AND($E14="Body",LEN(TRIM($G14))=0),"△ A body needs who signs for it",IF(AND($E14="Person",LEN(TRIM($F14)&amp;TRIM($G14))&gt;0),"△ Only a body has members and a signer","○ Clear"))))))</f>
        <v/>
      </c>
    </row>
    <row r="15" ht="18" customHeight="1">
      <c r="A15" s="33">
        <f>IF($B15="","",ROW()-5)</f>
        <v/>
      </c>
      <c r="B15" s="29" t="n"/>
      <c r="C15" s="29" t="n"/>
      <c r="D15" s="31">
        <f>IF($B15="","",IF($C15="",$B15,$B15&amp;" ("&amp;$C15&amp;")"))</f>
        <v/>
      </c>
      <c r="E15" s="27" t="n"/>
      <c r="F15" s="29" t="n"/>
      <c r="G15" s="29" t="n"/>
      <c r="H15" s="31">
        <f>IF($B15="","",IF(COUNTIF($B$6:$B$25,$B15)&gt;1,"△ Name used twice",IF($E15="","△ Pick a Kind",IF(AND($E15="Body",LEN(TRIM($F15))=0),"△ A body needs its members",IF(AND($E15="Body",LEN(TRIM($G15))=0),"△ A body needs who signs for it",IF(AND($E15="Person",LEN(TRIM($F15)&amp;TRIM($G15))&gt;0),"△ Only a body has members and a signer","○ Clear"))))))</f>
        <v/>
      </c>
    </row>
    <row r="16" ht="18" customHeight="1">
      <c r="A16" s="33">
        <f>IF($B16="","",ROW()-5)</f>
        <v/>
      </c>
      <c r="B16" s="29" t="n"/>
      <c r="C16" s="29" t="n"/>
      <c r="D16" s="31">
        <f>IF($B16="","",IF($C16="",$B16,$B16&amp;" ("&amp;$C16&amp;")"))</f>
        <v/>
      </c>
      <c r="E16" s="27" t="n"/>
      <c r="F16" s="29" t="n"/>
      <c r="G16" s="29" t="n"/>
      <c r="H16" s="31">
        <f>IF($B16="","",IF(COUNTIF($B$6:$B$25,$B16)&gt;1,"△ Name used twice",IF($E16="","△ Pick a Kind",IF(AND($E16="Body",LEN(TRIM($F16))=0),"△ A body needs its members",IF(AND($E16="Body",LEN(TRIM($G16))=0),"△ A body needs who signs for it",IF(AND($E16="Person",LEN(TRIM($F16)&amp;TRIM($G16))&gt;0),"△ Only a body has members and a signer","○ Clear"))))))</f>
        <v/>
      </c>
    </row>
    <row r="17" ht="18" customHeight="1">
      <c r="A17" s="33">
        <f>IF($B17="","",ROW()-5)</f>
        <v/>
      </c>
      <c r="B17" s="29" t="n"/>
      <c r="C17" s="29" t="n"/>
      <c r="D17" s="31">
        <f>IF($B17="","",IF($C17="",$B17,$B17&amp;" ("&amp;$C17&amp;")"))</f>
        <v/>
      </c>
      <c r="E17" s="27" t="n"/>
      <c r="F17" s="29" t="n"/>
      <c r="G17" s="29" t="n"/>
      <c r="H17" s="31">
        <f>IF($B17="","",IF(COUNTIF($B$6:$B$25,$B17)&gt;1,"△ Name used twice",IF($E17="","△ Pick a Kind",IF(AND($E17="Body",LEN(TRIM($F17))=0),"△ A body needs its members",IF(AND($E17="Body",LEN(TRIM($G17))=0),"△ A body needs who signs for it",IF(AND($E17="Person",LEN(TRIM($F17)&amp;TRIM($G17))&gt;0),"△ Only a body has members and a signer","○ Clear"))))))</f>
        <v/>
      </c>
    </row>
    <row r="18" ht="18" customHeight="1">
      <c r="A18" s="33">
        <f>IF($B18="","",ROW()-5)</f>
        <v/>
      </c>
      <c r="B18" s="29" t="n"/>
      <c r="C18" s="29" t="n"/>
      <c r="D18" s="31">
        <f>IF($B18="","",IF($C18="",$B18,$B18&amp;" ("&amp;$C18&amp;")"))</f>
        <v/>
      </c>
      <c r="E18" s="27" t="n"/>
      <c r="F18" s="29" t="n"/>
      <c r="G18" s="29" t="n"/>
      <c r="H18" s="31">
        <f>IF($B18="","",IF(COUNTIF($B$6:$B$25,$B18)&gt;1,"△ Name used twice",IF($E18="","△ Pick a Kind",IF(AND($E18="Body",LEN(TRIM($F18))=0),"△ A body needs its members",IF(AND($E18="Body",LEN(TRIM($G18))=0),"△ A body needs who signs for it",IF(AND($E18="Person",LEN(TRIM($F18)&amp;TRIM($G18))&gt;0),"△ Only a body has members and a signer","○ Clear"))))))</f>
        <v/>
      </c>
    </row>
    <row r="19" ht="18" customHeight="1">
      <c r="A19" s="33">
        <f>IF($B19="","",ROW()-5)</f>
        <v/>
      </c>
      <c r="B19" s="29" t="n"/>
      <c r="C19" s="29" t="n"/>
      <c r="D19" s="31">
        <f>IF($B19="","",IF($C19="",$B19,$B19&amp;" ("&amp;$C19&amp;")"))</f>
        <v/>
      </c>
      <c r="E19" s="27" t="n"/>
      <c r="F19" s="29" t="n"/>
      <c r="G19" s="29" t="n"/>
      <c r="H19" s="31">
        <f>IF($B19="","",IF(COUNTIF($B$6:$B$25,$B19)&gt;1,"△ Name used twice",IF($E19="","△ Pick a Kind",IF(AND($E19="Body",LEN(TRIM($F19))=0),"△ A body needs its members",IF(AND($E19="Body",LEN(TRIM($G19))=0),"△ A body needs who signs for it",IF(AND($E19="Person",LEN(TRIM($F19)&amp;TRIM($G19))&gt;0),"△ Only a body has members and a signer","○ Clear"))))))</f>
        <v/>
      </c>
    </row>
    <row r="20" ht="18" customHeight="1">
      <c r="A20" s="33">
        <f>IF($B20="","",ROW()-5)</f>
        <v/>
      </c>
      <c r="B20" s="29" t="n"/>
      <c r="C20" s="29" t="n"/>
      <c r="D20" s="31">
        <f>IF($B20="","",IF($C20="",$B20,$B20&amp;" ("&amp;$C20&amp;")"))</f>
        <v/>
      </c>
      <c r="E20" s="27" t="n"/>
      <c r="F20" s="29" t="n"/>
      <c r="G20" s="29" t="n"/>
      <c r="H20" s="31">
        <f>IF($B20="","",IF(COUNTIF($B$6:$B$25,$B20)&gt;1,"△ Name used twice",IF($E20="","△ Pick a Kind",IF(AND($E20="Body",LEN(TRIM($F20))=0),"△ A body needs its members",IF(AND($E20="Body",LEN(TRIM($G20))=0),"△ A body needs who signs for it",IF(AND($E20="Person",LEN(TRIM($F20)&amp;TRIM($G20))&gt;0),"△ Only a body has members and a signer","○ Clear"))))))</f>
        <v/>
      </c>
    </row>
    <row r="21" ht="18" customHeight="1">
      <c r="A21" s="33">
        <f>IF($B21="","",ROW()-5)</f>
        <v/>
      </c>
      <c r="B21" s="29" t="n"/>
      <c r="C21" s="29" t="n"/>
      <c r="D21" s="31">
        <f>IF($B21="","",IF($C21="",$B21,$B21&amp;" ("&amp;$C21&amp;")"))</f>
        <v/>
      </c>
      <c r="E21" s="27" t="n"/>
      <c r="F21" s="29" t="n"/>
      <c r="G21" s="29" t="n"/>
      <c r="H21" s="31">
        <f>IF($B21="","",IF(COUNTIF($B$6:$B$25,$B21)&gt;1,"△ Name used twice",IF($E21="","△ Pick a Kind",IF(AND($E21="Body",LEN(TRIM($F21))=0),"△ A body needs its members",IF(AND($E21="Body",LEN(TRIM($G21))=0),"△ A body needs who signs for it",IF(AND($E21="Person",LEN(TRIM($F21)&amp;TRIM($G21))&gt;0),"△ Only a body has members and a signer","○ Clear"))))))</f>
        <v/>
      </c>
    </row>
    <row r="22" ht="18" customHeight="1">
      <c r="A22" s="33">
        <f>IF($B22="","",ROW()-5)</f>
        <v/>
      </c>
      <c r="B22" s="29" t="n"/>
      <c r="C22" s="29" t="n"/>
      <c r="D22" s="31">
        <f>IF($B22="","",IF($C22="",$B22,$B22&amp;" ("&amp;$C22&amp;")"))</f>
        <v/>
      </c>
      <c r="E22" s="27" t="n"/>
      <c r="F22" s="29" t="n"/>
      <c r="G22" s="29" t="n"/>
      <c r="H22" s="31">
        <f>IF($B22="","",IF(COUNTIF($B$6:$B$25,$B22)&gt;1,"△ Name used twice",IF($E22="","△ Pick a Kind",IF(AND($E22="Body",LEN(TRIM($F22))=0),"△ A body needs its members",IF(AND($E22="Body",LEN(TRIM($G22))=0),"△ A body needs who signs for it",IF(AND($E22="Person",LEN(TRIM($F22)&amp;TRIM($G22))&gt;0),"△ Only a body has members and a signer","○ Clear"))))))</f>
        <v/>
      </c>
    </row>
    <row r="23" ht="18" customHeight="1">
      <c r="A23" s="33">
        <f>IF($B23="","",ROW()-5)</f>
        <v/>
      </c>
      <c r="B23" s="29" t="n"/>
      <c r="C23" s="29" t="n"/>
      <c r="D23" s="31">
        <f>IF($B23="","",IF($C23="",$B23,$B23&amp;" ("&amp;$C23&amp;")"))</f>
        <v/>
      </c>
      <c r="E23" s="27" t="n"/>
      <c r="F23" s="29" t="n"/>
      <c r="G23" s="29" t="n"/>
      <c r="H23" s="31">
        <f>IF($B23="","",IF(COUNTIF($B$6:$B$25,$B23)&gt;1,"△ Name used twice",IF($E23="","△ Pick a Kind",IF(AND($E23="Body",LEN(TRIM($F23))=0),"△ A body needs its members",IF(AND($E23="Body",LEN(TRIM($G23))=0),"△ A body needs who signs for it",IF(AND($E23="Person",LEN(TRIM($F23)&amp;TRIM($G23))&gt;0),"△ Only a body has members and a signer","○ Clear"))))))</f>
        <v/>
      </c>
    </row>
    <row r="24" ht="18" customHeight="1">
      <c r="A24" s="33">
        <f>IF($B24="","",ROW()-5)</f>
        <v/>
      </c>
      <c r="B24" s="29" t="n"/>
      <c r="C24" s="29" t="n"/>
      <c r="D24" s="31">
        <f>IF($B24="","",IF($C24="",$B24,$B24&amp;" ("&amp;$C24&amp;")"))</f>
        <v/>
      </c>
      <c r="E24" s="27" t="n"/>
      <c r="F24" s="29" t="n"/>
      <c r="G24" s="29" t="n"/>
      <c r="H24" s="31">
        <f>IF($B24="","",IF(COUNTIF($B$6:$B$25,$B24)&gt;1,"△ Name used twice",IF($E24="","△ Pick a Kind",IF(AND($E24="Body",LEN(TRIM($F24))=0),"△ A body needs its members",IF(AND($E24="Body",LEN(TRIM($G24))=0),"△ A body needs who signs for it",IF(AND($E24="Person",LEN(TRIM($F24)&amp;TRIM($G24))&gt;0),"△ Only a body has members and a signer","○ Clear"))))))</f>
        <v/>
      </c>
    </row>
    <row r="25" ht="18" customHeight="1">
      <c r="A25" s="33">
        <f>IF($B25="","",ROW()-5)</f>
        <v/>
      </c>
      <c r="B25" s="29" t="n"/>
      <c r="C25" s="29" t="n"/>
      <c r="D25" s="31">
        <f>IF($B25="","",IF($C25="",$B25,$B25&amp;" ("&amp;$C25&amp;")"))</f>
        <v/>
      </c>
      <c r="E25" s="27" t="n"/>
      <c r="F25" s="29" t="n"/>
      <c r="G25" s="29" t="n"/>
      <c r="H25" s="31">
        <f>IF($B25="","",IF(COUNTIF($B$6:$B$25,$B25)&gt;1,"△ Name used twice",IF($E25="","△ Pick a Kind",IF(AND($E25="Body",LEN(TRIM($F25))=0),"△ A body needs its members",IF(AND($E25="Body",LEN(TRIM($G25))=0),"△ A body needs who signs for it",IF(AND($E25="Person",LEN(TRIM($F25)&amp;TRIM($G25))&gt;0),"△ Only a body has members and a signer","○ Clear"))))))</f>
        <v/>
      </c>
    </row>
    <row r="26" ht="6" customHeight="1"/>
    <row r="27" ht="6" customHeight="1"/>
    <row r="28" ht="18" customHeight="1">
      <c r="A28" s="14" t="inlineStr">
        <is>
          <t>GATES</t>
        </is>
      </c>
      <c r="B28" s="14" t="n"/>
      <c r="C28" s="14" t="n"/>
      <c r="D28" s="14" t="n"/>
      <c r="E28" s="14" t="n"/>
      <c r="F28" s="14" t="n"/>
      <c r="G28" s="14" t="n"/>
      <c r="H28" s="14" t="n"/>
    </row>
    <row r="29" ht="20" customHeight="1">
      <c r="B29" s="23" t="inlineStr">
        <is>
          <t>Gate</t>
        </is>
      </c>
      <c r="C29" s="22" t="inlineStr">
        <is>
          <t>Decides</t>
        </is>
      </c>
      <c r="D29" s="34" t="n"/>
    </row>
    <row r="30" ht="18" customHeight="1">
      <c r="B30" s="26" t="inlineStr">
        <is>
          <t>Start</t>
        </is>
      </c>
      <c r="C30" s="35" t="inlineStr">
        <is>
          <t>Priya (CTO)</t>
        </is>
      </c>
      <c r="D30" s="36" t="n"/>
    </row>
    <row r="31" ht="18" customHeight="1">
      <c r="B31" s="26" t="inlineStr">
        <is>
          <t>Plan baselined</t>
        </is>
      </c>
      <c r="C31" s="35" t="inlineStr">
        <is>
          <t>Anders (Engineering Manager)</t>
        </is>
      </c>
      <c r="D31" s="36" t="n"/>
    </row>
    <row r="32" ht="18" customHeight="1">
      <c r="B32" s="26" t="inlineStr">
        <is>
          <t>Build complete</t>
        </is>
      </c>
      <c r="C32" s="35" t="inlineStr">
        <is>
          <t>Anders (Engineering Manager)</t>
        </is>
      </c>
      <c r="D32" s="36" t="n"/>
    </row>
    <row r="33" ht="18" customHeight="1">
      <c r="B33" s="26" t="inlineStr">
        <is>
          <t>Readiness</t>
        </is>
      </c>
      <c r="C33" s="35" t="inlineStr">
        <is>
          <t>Anders (Engineering Manager)</t>
        </is>
      </c>
      <c r="D33" s="36" t="n"/>
    </row>
    <row r="34" ht="18" customHeight="1">
      <c r="B34" s="26" t="inlineStr">
        <is>
          <t>Go/no-go</t>
        </is>
      </c>
      <c r="C34" s="35" t="inlineStr">
        <is>
          <t>Priya (CTO)</t>
        </is>
      </c>
      <c r="D34" s="36" t="n"/>
    </row>
    <row r="35" ht="18" customHeight="1">
      <c r="B35" s="26" t="inlineStr">
        <is>
          <t>Handover accepted</t>
        </is>
      </c>
      <c r="C35" s="35" t="n"/>
      <c r="D35" s="36" t="n"/>
    </row>
    <row r="36" ht="18" customHeight="1">
      <c r="B36" s="26" t="inlineStr">
        <is>
          <t>Close</t>
        </is>
      </c>
      <c r="C36" s="35" t="inlineStr">
        <is>
          <t>Priya (CTO)</t>
        </is>
      </c>
      <c r="D36" s="36" t="n"/>
    </row>
  </sheetData>
  <sheetProtection selectLockedCells="0" selectUnlockedCells="0" sheet="1" objects="0" insertRows="1" insertHyperlinks="1" autoFilter="0" scenarios="0" formatColumns="0" deleteColumns="1" insertColumns="1" pivotTables="1" deleteRows="1" formatCells="0" formatRows="0" sort="1"/>
  <mergeCells count="8">
    <mergeCell ref="C34:D34"/>
    <mergeCell ref="C32:D32"/>
    <mergeCell ref="C29:D29"/>
    <mergeCell ref="C30:D30"/>
    <mergeCell ref="C33:D33"/>
    <mergeCell ref="C36:D36"/>
    <mergeCell ref="C31:D31"/>
    <mergeCell ref="C35:D35"/>
  </mergeCells>
  <conditionalFormatting sqref="H6:H25">
    <cfRule type="expression" priority="1" dxfId="1" stopIfTrue="0">
      <formula>LEFT($H6,1)="△"</formula>
    </cfRule>
  </conditionalFormatting>
  <dataValidations count="6">
    <dataValidation sqref="B6:B25" showDropDown="0" showInputMessage="1" showErrorMessage="0" allowBlank="1" promptTitle="Name" prompt="A first name, or a body's whole name, such as Program board." errorStyle="stop"/>
    <dataValidation sqref="C6:C25" showDropDown="0" showInputMessage="1" showErrorMessage="0" allowBlank="1" promptTitle="Role" prompt="A person's role, such as Engineering Manager. Leave it blank for a body." errorStyle="stop"/>
    <dataValidation sqref="E6:E25" showDropDown="0" showInputMessage="1" showErrorMessage="1" allowBlank="1" errorTitle="Check this entry" error="Pick Person or Body." promptTitle="Kind" prompt="Person or Body. A body is a board that decides together and has one person who signs for it. A team isn't a body." type="list" errorStyle="stop">
      <formula1>"Person,Body"</formula1>
    </dataValidation>
    <dataValidation sqref="F6:F25" showDropDown="0" showInputMessage="1" showErrorMessage="0" allowBlank="1" promptTitle="Members" prompt="A body's members, written as column D has them, separated by commas." errorStyle="stop"/>
    <dataValidation sqref="G6:G25" showDropDown="0" showInputMessage="1" showErrorMessage="1" allowBlank="1" errorTitle="Check this entry" error="Pick a name from column D, the one person who signs for this body." promptTitle="Signs for" prompt="The one person who signs for the body. Pick from column D." type="list" errorStyle="warning">
      <formula1>$D$6:$D$25</formula1>
    </dataValidation>
    <dataValidation sqref="C30:C36" showDropDown="0" showInputMessage="1" showErrorMessage="1" allowBlank="1" errorTitle="Check this entry" error="Pick a name from People: the one the gate map gives for this gate." promptTitle="Decides" prompt="The one person who decides each gate, as the gate map has it. Blank where the map's is blank. Change it only for a gate not yet decided." type="list" errorStyle="warning">
      <formula1>$D$6:$D$25</formula1>
    </dataValidation>
  </dataValidations>
  <pageMargins left="0.4" right="0.4" top="0.6" bottom="0.6" header="0.3" footer="0.3"/>
  <pageSetup orientation="landscape" paperSize="9" scale="100"/>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2026-10-24T09:02:25Z</dcterms:created>
  <dcterms:modified xmlns:dcterms="http://purl.org/dc/terms/" xmlns:xsi="http://www.w3.org/2001/XMLSchema-instance" xsi:type="dcterms:W3CDTF">2026-10-24T09:02:28Z</dcterms:modified>
</cp:coreProperties>
</file>