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mments/comment1.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ortfolio" sheetId="2" state="visible" r:id="rId2"/>
    <sheet xmlns:r="http://schemas.openxmlformats.org/officeDocument/2006/relationships" name="Register" sheetId="3" state="visible" r:id="rId3"/>
    <sheet xmlns:r="http://schemas.openxmlformats.org/officeDocument/2006/relationships" name="Steering" sheetId="4" state="visible" r:id="rId4"/>
    <sheet xmlns:r="http://schemas.openxmlformats.org/officeDocument/2006/relationships" name="Board" sheetId="5" state="visible" r:id="rId5"/>
    <sheet xmlns:r="http://schemas.openxmlformats.org/officeDocument/2006/relationships" name="Intake" sheetId="6" state="visible" r:id="rId6"/>
    <sheet xmlns:r="http://schemas.openxmlformats.org/officeDocument/2006/relationships" name="Capacity" sheetId="7" state="visible" r:id="rId7"/>
  </sheets>
  <definedNames>
    <definedName name="_xlnm._FilterDatabase" localSheetId="2" hidden="1">'Register'!$A$5:$AK$305</definedName>
    <definedName name="_xlnm.Print_Titles" localSheetId="2">'Register'!$5:$5</definedName>
    <definedName name="_xlnm.Print_Area" localSheetId="4">'Board'!$A$1:$F$70</definedName>
    <definedName name="_xlnm._FilterDatabase" localSheetId="5" hidden="1">'Intake'!$A$31:$X$81</definedName>
    <definedName name="_xlnm.Print_Titles" localSheetId="5">'Intake'!$31:$31</definedName>
  </definedNames>
  <calcPr calcId="124519" fullCalcOnLoad="1"/>
</workbook>
</file>

<file path=xl/styles.xml><?xml version="1.0" encoding="utf-8"?>
<styleSheet xmlns="http://schemas.openxmlformats.org/spreadsheetml/2006/main">
  <numFmts count="4">
    <numFmt numFmtId="164" formatCode="d mmm yyyy"/>
    <numFmt numFmtId="165" formatCode="d mmm"/>
    <numFmt numFmtId="166" formatCode="0.0;-0.0;0.0"/>
    <numFmt numFmtId="167" formatCode="d mmm yy"/>
  </numFmts>
  <fonts count="8">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9"/>
    </font>
    <font>
      <name val="Arial"/>
      <b val="1"/>
      <color rgb="000F1115"/>
      <sz val="9"/>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54">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xf>
    <xf numFmtId="0" fontId="3" fillId="0" borderId="0" applyAlignment="1" pivotButton="0" quotePrefix="0" xfId="0">
      <alignment vertical="center"/>
    </xf>
    <xf numFmtId="0" fontId="0" fillId="0" borderId="0" applyAlignment="1" pivotButton="0" quotePrefix="0" xfId="0">
      <alignment vertical="center"/>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4" fillId="0" borderId="0" applyAlignment="1" pivotButton="0" quotePrefix="0" xfId="0">
      <alignment horizontal="left" vertical="top" wrapText="1"/>
    </xf>
    <xf numFmtId="0" fontId="6" fillId="2" borderId="0" applyAlignment="1" pivotButton="0" quotePrefix="0" xfId="0">
      <alignmen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pivotButton="0" quotePrefix="0" xfId="0">
      <alignment horizontal="left" vertical="center"/>
    </xf>
    <xf numFmtId="164" fontId="3" fillId="3" borderId="1" applyAlignment="1" pivotButton="0" quotePrefix="0" xfId="0">
      <alignment horizontal="left" vertical="center"/>
    </xf>
    <xf numFmtId="164" fontId="3" fillId="4" borderId="1" applyAlignment="1" pivotButton="0" quotePrefix="0" xfId="0">
      <alignment horizontal="left" vertical="center"/>
    </xf>
    <xf numFmtId="0" fontId="3" fillId="4" borderId="1" applyAlignment="1" pivotButton="0" quotePrefix="0" xfId="0">
      <alignment horizontal="left" vertical="center"/>
    </xf>
    <xf numFmtId="1" fontId="3" fillId="3" borderId="1" applyAlignment="1" pivotButton="0" quotePrefix="0" xfId="0">
      <alignment horizontal="right" vertical="center"/>
    </xf>
    <xf numFmtId="9" fontId="3" fillId="3" borderId="1" applyAlignment="1" pivotButton="0" quotePrefix="0" xfId="0">
      <alignment horizontal="right" vertical="center"/>
    </xf>
    <xf numFmtId="3" fontId="3" fillId="3" borderId="1" applyAlignment="1" pivotButton="0" quotePrefix="0" xfId="0">
      <alignment horizontal="right" vertical="center"/>
    </xf>
    <xf numFmtId="3" fontId="3" fillId="4" borderId="1" applyAlignment="1" pivotButton="0" quotePrefix="0" xfId="0">
      <alignment horizontal="right" vertical="center"/>
    </xf>
    <xf numFmtId="1" fontId="3" fillId="4" borderId="1" applyAlignment="1" pivotButton="0" quotePrefix="0" xfId="0">
      <alignment horizontal="right" vertical="center"/>
    </xf>
    <xf numFmtId="0" fontId="5" fillId="2" borderId="0" applyAlignment="1" pivotButton="0" quotePrefix="0" xfId="0">
      <alignment vertical="center" wrapText="1"/>
    </xf>
    <xf numFmtId="0" fontId="3" fillId="0" borderId="0" applyAlignment="1" pivotButton="0" quotePrefix="0" xfId="0">
      <alignment vertical="center" wrapText="1"/>
    </xf>
    <xf numFmtId="0" fontId="4" fillId="4" borderId="1" applyAlignment="1" pivotButton="0" quotePrefix="0" xfId="0">
      <alignment horizontal="left" vertical="center"/>
    </xf>
    <xf numFmtId="0" fontId="4" fillId="3" borderId="2" applyAlignment="1" pivotButton="0" quotePrefix="0" xfId="0">
      <alignment vertical="center" wrapText="1"/>
    </xf>
    <xf numFmtId="0" fontId="3" fillId="3" borderId="1" applyAlignment="1" pivotButton="0" quotePrefix="0" xfId="0">
      <alignment vertical="center" wrapText="1"/>
    </xf>
    <xf numFmtId="164" fontId="3" fillId="3" borderId="1" applyAlignment="1" pivotButton="0" quotePrefix="0" xfId="0">
      <alignment horizontal="right" vertical="center"/>
    </xf>
    <xf numFmtId="0" fontId="7" fillId="4" borderId="2" applyAlignment="1" pivotButton="0" quotePrefix="0" xfId="0">
      <alignment vertical="center" wrapText="1"/>
    </xf>
    <xf numFmtId="0" fontId="3" fillId="3" borderId="1" applyAlignment="1" pivotButton="0" quotePrefix="0" xfId="0">
      <alignment vertical="center"/>
    </xf>
    <xf numFmtId="164" fontId="3" fillId="3" borderId="1" applyAlignment="1" pivotButton="0" quotePrefix="0" xfId="0">
      <alignment vertical="center"/>
    </xf>
    <xf numFmtId="0" fontId="3" fillId="4" borderId="1" applyAlignment="1" pivotButton="0" quotePrefix="0" xfId="0">
      <alignment vertical="center"/>
    </xf>
    <xf numFmtId="0" fontId="3" fillId="4" borderId="1" applyAlignment="1" pivotButton="0" quotePrefix="0" xfId="0">
      <alignment horizontal="right" vertical="center"/>
    </xf>
    <xf numFmtId="164" fontId="3" fillId="4" borderId="1" applyAlignment="1" pivotButton="0" quotePrefix="0" xfId="0">
      <alignment vertical="center"/>
    </xf>
    <xf numFmtId="0" fontId="4" fillId="0" borderId="0" applyAlignment="1" pivotButton="0" quotePrefix="0" xfId="0">
      <alignment vertical="center"/>
    </xf>
    <xf numFmtId="0" fontId="3" fillId="0" borderId="0" applyAlignment="1" pivotButton="0" quotePrefix="0" xfId="0">
      <alignment horizontal="right" vertical="center"/>
    </xf>
    <xf numFmtId="3" fontId="3" fillId="4" borderId="1" applyAlignment="1" pivotButton="0" quotePrefix="0" xfId="0">
      <alignment horizontal="left" vertical="center"/>
    </xf>
    <xf numFmtId="0" fontId="4" fillId="4" borderId="1" applyAlignment="1" pivotButton="0" quotePrefix="0" xfId="0">
      <alignment vertical="center"/>
    </xf>
    <xf numFmtId="1" fontId="4" fillId="4" borderId="1" applyAlignment="1" pivotButton="0" quotePrefix="0" xfId="0">
      <alignment horizontal="right" vertical="center"/>
    </xf>
    <xf numFmtId="3" fontId="4" fillId="4" borderId="1" applyAlignment="1" pivotButton="0" quotePrefix="0" xfId="0">
      <alignment horizontal="left" vertical="center"/>
    </xf>
    <xf numFmtId="0" fontId="5" fillId="0" borderId="0" applyAlignment="1" pivotButton="0" quotePrefix="0" xfId="0">
      <alignment vertical="top"/>
    </xf>
    <xf numFmtId="0" fontId="3" fillId="3" borderId="1" applyAlignment="1" pivotButton="0" quotePrefix="0" xfId="0">
      <alignment vertical="top" wrapText="1"/>
    </xf>
    <xf numFmtId="0" fontId="0" fillId="0" borderId="1" pivotButton="0" quotePrefix="0" xfId="0"/>
    <xf numFmtId="0" fontId="3" fillId="4" borderId="1" applyAlignment="1" pivotButton="0" quotePrefix="0" xfId="0">
      <alignment vertical="top" wrapText="1"/>
    </xf>
    <xf numFmtId="0" fontId="3" fillId="4" borderId="1" applyAlignment="1" pivotButton="0" quotePrefix="0" xfId="0">
      <alignment vertical="top"/>
    </xf>
    <xf numFmtId="0" fontId="4" fillId="0" borderId="0" applyAlignment="1" pivotButton="0" quotePrefix="0" xfId="0">
      <alignment vertical="top"/>
    </xf>
    <xf numFmtId="0" fontId="3" fillId="4" borderId="1" applyAlignment="1" pivotButton="0" quotePrefix="0" xfId="0">
      <alignment vertical="center" wrapText="1"/>
    </xf>
    <xf numFmtId="9" fontId="3" fillId="4" borderId="1" applyAlignment="1" pivotButton="0" quotePrefix="0" xfId="0">
      <alignment horizontal="right" vertical="center"/>
    </xf>
    <xf numFmtId="0" fontId="3" fillId="3" borderId="1" applyAlignment="1" pivotButton="0" quotePrefix="0" xfId="0">
      <alignment horizontal="right" vertical="center"/>
    </xf>
    <xf numFmtId="0" fontId="5" fillId="0" borderId="0" applyAlignment="1" pivotButton="0" quotePrefix="0" xfId="0">
      <alignment vertical="center"/>
    </xf>
    <xf numFmtId="165" fontId="7" fillId="4" borderId="2" applyAlignment="1" pivotButton="0" quotePrefix="0" xfId="0">
      <alignment horizontal="right" vertical="center"/>
    </xf>
    <xf numFmtId="166" fontId="3" fillId="4" borderId="1" applyAlignment="1" pivotButton="0" quotePrefix="0" xfId="0">
      <alignment horizontal="right" vertical="center"/>
    </xf>
    <xf numFmtId="166" fontId="4" fillId="4" borderId="1" applyAlignment="1" pivotButton="0" quotePrefix="0" xfId="0">
      <alignment horizontal="right" vertical="center"/>
    </xf>
    <xf numFmtId="167" fontId="3" fillId="3" borderId="1" applyAlignment="1" pivotButton="0" quotePrefix="0" xfId="0">
      <alignment horizontal="left" vertical="center"/>
    </xf>
  </cellXfs>
  <cellStyles count="1">
    <cellStyle name="Normal" xfId="0" builtinId="0" hidden="0"/>
  </cellStyles>
  <dxfs count="7">
    <dxf>
      <border>
        <left style="thin">
          <color rgb="000F1115"/>
        </left>
        <right style="thin">
          <color rgb="000F1115"/>
        </right>
        <top style="thin">
          <color rgb="000F1115"/>
        </top>
        <bottom style="thin">
          <color rgb="000F1115"/>
        </bottom>
      </border>
    </dxf>
    <dxf>
      <font>
        <color rgb="00CD2B31"/>
      </font>
    </dxf>
    <dxf>
      <fill>
        <patternFill patternType="solid">
          <fgColor rgb="00FFF2CC"/>
          <bgColor rgb="00FFF2CC"/>
        </patternFill>
      </fill>
    </dxf>
    <dxf>
      <font>
        <b val="1"/>
      </font>
    </dxf>
    <dxf>
      <fill>
        <patternFill patternType="solid">
          <fgColor rgb="00ECEEF0"/>
          <bgColor rgb="00ECEEF0"/>
        </patternFill>
      </fill>
    </dxf>
    <dxf>
      <font>
        <b val="1"/>
        <color rgb="00CD2B31"/>
      </font>
    </dxf>
    <dxf>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FRQZ</author>
  </authors>
  <commentList>
    <comment ref="M5" authorId="0" shapeId="0">
      <text>
        <t>Worked out. Don't type here.</t>
      </text>
    </comment>
    <comment ref="N5" authorId="0" shapeId="0">
      <text>
        <t>Worked out. Don't type here.</t>
      </text>
    </comment>
    <comment ref="O5" authorId="0" shapeId="0">
      <text>
        <t>Worked out. Don't type here.</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outlinePr summaryBelow="1" summaryRight="1"/>
    <pageSetUpPr fitToPage="1"/>
  </sheetPr>
  <dimension ref="A1:B87"/>
  <sheetViews>
    <sheetView showGridLines="0" workbookViewId="0">
      <selection activeCell="A1" sqref="A1"/>
    </sheetView>
  </sheetViews>
  <sheetFormatPr baseColWidth="8" defaultRowHeight="15"/>
  <cols>
    <col width="22" customWidth="1" min="1" max="1"/>
    <col width="110" customWidth="1" min="2" max="2"/>
  </cols>
  <sheetData>
    <row r="1" ht="36" customHeight="1">
      <c r="B1" s="1" t="inlineStr">
        <is>
          <t>Portfolio workbook · Starter</t>
        </is>
      </c>
    </row>
    <row r="2" ht="16" customHeight="1">
      <c r="A2" s="2" t="n"/>
      <c r="B2" s="3" t="inlineStr">
        <is>
          <t>A record of every program and project in one portfolio, kept by hand, with the requests waiting to start and who is free. Seven tabs: Read me, Portfolio, Register, Steering, Board, Intake and Capacity.</t>
        </is>
      </c>
    </row>
    <row r="3" ht="18" customHeight="1">
      <c r="A3" s="4" t="n"/>
    </row>
    <row r="4" ht="6" customHeight="1"/>
    <row r="5">
      <c r="A5" s="5" t="inlineStr">
        <is>
          <t>Where to start</t>
        </is>
      </c>
    </row>
    <row r="6" ht="32" customHeight="1">
      <c r="A6" s="6" t="n"/>
      <c r="B6" s="7" t="inlineStr">
        <is>
          <t>Start with the Register and the Board. Add Intake when requests start to queue, and Capacity when people are double-booked. Leave those two empty until then; their checks stay clear.</t>
        </is>
      </c>
    </row>
    <row r="8">
      <c r="A8" s="5" t="inlineStr">
        <is>
          <t>Filling it in</t>
        </is>
      </c>
    </row>
    <row r="9" ht="32" customHeight="1">
      <c r="A9" s="6" t="n">
        <v>1</v>
      </c>
      <c r="B9" s="7" t="inlineStr">
        <is>
          <t>On Portfolio, type the portfolio's name, its director and its manager. If a steering group meets, pick how often in Review cadence.</t>
        </is>
      </c>
    </row>
    <row r="10" ht="32" customHeight="1">
      <c r="A10" s="6" t="n">
        <v>2</v>
      </c>
      <c r="B10" s="7" t="inlineStr">
        <is>
          <t>On Register, add a row for every program and every project. In Sits under, pick the program each project belongs to, or Portfolio, or Outside the portfolio.</t>
        </is>
      </c>
    </row>
    <row r="11" ht="32" customHeight="1">
      <c r="A11" s="6" t="n">
        <v>3</v>
      </c>
      <c r="B11" s="7" t="inlineStr">
        <is>
          <t>Type Planned finish and Latest forecast. If a date hasn't moved, type it in both. Add Forecast spend on projects, and Budget on programs and on projects directly under Portfolio.</t>
        </is>
      </c>
    </row>
    <row r="12" ht="32" customHeight="1">
      <c r="A12" s="6" t="n">
        <v>4</v>
      </c>
      <c r="B12" s="7" t="inlineStr">
        <is>
          <t>Read the Health and Check columns. Fix every row that shows △, and write a Variance note on every Amber or Red row, ending with your name.</t>
        </is>
      </c>
    </row>
    <row r="13" ht="46" customHeight="1">
      <c r="A13" s="6" t="n">
        <v>5</v>
      </c>
      <c r="B13" s="7" t="inlineStr">
        <is>
          <t>Before each steering meeting, type Last checked on every row whose owner has just checked it, and Owner's view on every Amber or Red row. Then read the Board and write its two commentary lines. The director signs it once the steering group has seen it.</t>
        </is>
      </c>
    </row>
    <row r="14" ht="46" customHeight="1">
      <c r="A14" s="6" t="n">
        <v>6</v>
      </c>
      <c r="B14" s="7" t="inlineStr">
        <is>
          <t>When requests start to queue: on Intake, agree the criteria and weights and type the date. Add each request as it arrives and score it. Read Recommended rank and the two Fits columns, then type the decision, who made it, when, and why.</t>
        </is>
      </c>
    </row>
    <row r="15" ht="46" customHeight="1">
      <c r="A15" s="6" t="n">
        <v>7</v>
      </c>
      <c r="B15" s="7" t="inlineStr">
        <is>
          <t>When people start to be double-booked, list them on Capacity with any time away, and book their days on each current row, one line per run of weeks. Read Who is free before you take on new work.</t>
        </is>
      </c>
    </row>
    <row r="16" ht="32" customHeight="1">
      <c r="A16" s="6" t="n">
        <v>8</v>
      </c>
      <c r="B16" s="7" t="inlineStr">
        <is>
          <t>After each steering meeting, log each decision and its one accountable person on Steering, then type the meeting's date in Last review on Portfolio.</t>
        </is>
      </c>
    </row>
    <row r="18">
      <c r="A18" s="8" t="inlineStr">
        <is>
          <t>YOUR LOGO</t>
        </is>
      </c>
    </row>
    <row r="19" ht="32" customHeight="1">
      <c r="A19" s="6" t="n"/>
      <c r="B19" s="7" t="inlineStr">
        <is>
          <t>The FRQZ logo is in cell A1 on every tab. To use your own, delete it and insert your logo in A1, on each tab.</t>
        </is>
      </c>
    </row>
    <row r="21">
      <c r="A21" s="8" t="inlineStr">
        <is>
          <t>NAMES</t>
        </is>
      </c>
    </row>
    <row r="22" ht="32" customHeight="1">
      <c r="A22" s="6" t="n"/>
      <c r="B22" s="7" t="inlineStr">
        <is>
          <t>Type each person's name the same way every time, with a role in brackets if you like: Priya (CTO). Names are matched exactly as typed, so Priya and Priya (CTO) count as two people.</t>
        </is>
      </c>
    </row>
    <row r="24">
      <c r="A24" s="8" t="inlineStr">
        <is>
          <t>READING THE MARKS</t>
        </is>
      </c>
    </row>
    <row r="25" ht="32" customHeight="1">
      <c r="A25" s="9" t="inlineStr">
        <is>
          <t>■ Red</t>
        </is>
      </c>
      <c r="B25" s="7" t="inlineStr">
        <is>
          <t>Late, or over budget, by more than your limit. The limits are on Portfolio, and you can change them.</t>
        </is>
      </c>
    </row>
    <row r="26" ht="18" customHeight="1">
      <c r="A26" s="9" t="inlineStr">
        <is>
          <t>◧ Amber</t>
        </is>
      </c>
      <c r="B26" s="7" t="inlineStr">
        <is>
          <t>Late, or over budget, within your limit.</t>
        </is>
      </c>
    </row>
    <row r="27" ht="18" customHeight="1">
      <c r="A27" s="9" t="inlineStr">
        <is>
          <t>□ On track</t>
        </is>
      </c>
      <c r="B27" s="7" t="inlineStr">
        <is>
          <t>A date or a budget was read, and nothing is late or over.</t>
        </is>
      </c>
    </row>
    <row r="28" ht="32" customHeight="1">
      <c r="A28" s="6" t="inlineStr">
        <is>
          <t>Not read</t>
        </is>
      </c>
      <c r="B28" s="7" t="inlineStr">
        <is>
          <t>Nothing to judge from yet. A project with a Planned finish and no Latest forecast reads Not read; if the date hasn't moved, type it again as the forecast.</t>
        </is>
      </c>
    </row>
    <row r="29" ht="18" customHeight="1">
      <c r="A29" s="6" t="inlineStr">
        <is>
          <t>Not counted</t>
        </is>
      </c>
      <c r="B29" s="7" t="inlineStr">
        <is>
          <t>Proposed, Completed or Terminated. Left out of every count.</t>
        </is>
      </c>
    </row>
    <row r="30" ht="32" customHeight="1">
      <c r="A30" s="9" t="inlineStr">
        <is>
          <t>△</t>
        </is>
      </c>
      <c r="B30" s="7" t="inlineStr">
        <is>
          <t>A check found something, and the words say what. Filter the Check column on △ to list them all.</t>
        </is>
      </c>
    </row>
    <row r="31" ht="18" customHeight="1">
      <c r="A31" s="9" t="inlineStr">
        <is>
          <t>○ Clear</t>
        </is>
      </c>
      <c r="B31" s="7" t="inlineStr">
        <is>
          <t>The check found nothing.</t>
        </is>
      </c>
    </row>
    <row r="33">
      <c r="A33" s="8" t="inlineStr">
        <is>
          <t>HOW HEALTH IS WORKED OUT</t>
        </is>
      </c>
    </row>
    <row r="34" ht="46" customHeight="1">
      <c r="A34" s="6" t="n"/>
      <c r="B34" s="7" t="inlineStr">
        <is>
          <t>Dates: a project is Red once its Planned finish has passed while it's still Active or Paused. Otherwise a Latest forecast past the plan by more than your limit is Red, and a smaller slip is Amber.</t>
        </is>
      </c>
    </row>
    <row r="35" ht="32" customHeight="1">
      <c r="A35" s="6" t="n"/>
      <c r="B35" s="7" t="inlineStr">
        <is>
          <t>Money: spend over Budget by more than your limit is Red, and a smaller overrun is Amber. A program's spend is its projects' Forecast spend added up.</t>
        </is>
      </c>
    </row>
    <row r="36" ht="46" customHeight="1">
      <c r="A36" s="6" t="n"/>
      <c r="B36" s="7" t="inlineStr">
        <is>
          <t>Health is the worse of the two. A program with no Latest forecast uses the latest among its projects. Its colour never hides theirs: Projects inside counts its Red and Amber projects beside it.</t>
        </is>
      </c>
    </row>
    <row r="38">
      <c r="A38" s="8" t="inlineStr">
        <is>
          <t>GREY COLUMNS</t>
        </is>
      </c>
    </row>
    <row r="39" ht="32" customHeight="1">
      <c r="A39" s="6" t="n"/>
      <c r="B39" s="7" t="inlineStr">
        <is>
          <t>Grey cells are worked out from what you type. Don't type over them: a typed value replaces the formula.</t>
        </is>
      </c>
    </row>
    <row r="40" ht="32" customHeight="1">
      <c r="A40" s="6" t="n"/>
      <c r="B40" s="7" t="inlineStr">
        <is>
          <t>Owner's current rows counts the Active and Paused rows that carry each owner's name, so you can see who's spread thin. It sets no limit.</t>
        </is>
      </c>
    </row>
    <row r="42">
      <c r="A42" s="8" t="inlineStr">
        <is>
          <t>THE BOARD</t>
        </is>
      </c>
    </row>
    <row r="43" ht="32" customHeight="1">
      <c r="A43" s="6" t="n"/>
      <c r="B43" s="7" t="inlineStr">
        <is>
          <t>The Board is worked out from the Register, like Health. You type only its two commentary lines, the Kept in cell and the signature.</t>
        </is>
      </c>
    </row>
    <row r="44" ht="32" customHeight="1">
      <c r="A44" s="6" t="n"/>
      <c r="B44" s="7" t="inlineStr">
        <is>
          <t>The first time, type Last checked on every row you've checked. As soon as one row has a date, every current row without a recent one counts as not checked.</t>
        </is>
      </c>
    </row>
    <row r="45" ht="32" customHeight="1">
      <c r="A45" s="6" t="n"/>
      <c r="B45" s="7" t="inlineStr">
        <is>
          <t>Last checked: the day the owner last read this row's dates, forecast spend and note and said they still stand. Type it again at each check.</t>
        </is>
      </c>
    </row>
    <row r="46" ht="32" customHeight="1">
      <c r="A46" s="6" t="n"/>
      <c r="B46" s="7" t="inlineStr">
        <is>
          <t>Owner's view: the owner's answer to whether the date and the cost will hold. It shows beside Health and never changes it.</t>
        </is>
      </c>
    </row>
    <row r="47" ht="32" customHeight="1">
      <c r="A47" s="6" t="n"/>
      <c r="B47" s="7" t="inlineStr">
        <is>
          <t>To close a row, change its Status to Completed or Terminated. Don't delete it: the Board lists what left since the last review, and a deleted row can't be listed.</t>
        </is>
      </c>
    </row>
    <row r="48" ht="32" customHeight="1">
      <c r="A48" s="6" t="n"/>
      <c r="B48" s="7" t="inlineStr">
        <is>
          <t>Its only settings are the two numbers on its second page. 35 days is where they start; change it to suit.</t>
        </is>
      </c>
    </row>
    <row r="49" ht="32" customHeight="1">
      <c r="A49" s="6" t="n"/>
      <c r="B49" s="7" t="inlineStr">
        <is>
          <t>The Board runs three checks of its own, on its second page. They aren't among the seven on Portfolio. Portfolio does show the counts from Intake and Capacity, under its seven.</t>
        </is>
      </c>
    </row>
    <row r="50" ht="46" customHeight="1">
      <c r="A50" s="6" t="n"/>
      <c r="B50" s="7" t="inlineStr">
        <is>
          <t>An assistant can prepare the Board for you. The brief is in frqz-portfolio-agent-brief.txt, beside this file. Open and save the workbook once in your spreadsheet first, so the assistant can read the results.</t>
        </is>
      </c>
    </row>
    <row r="52">
      <c r="A52" s="8" t="inlineStr">
        <is>
          <t>INTAKE AND SCORING</t>
        </is>
      </c>
    </row>
    <row r="53" ht="32" customHeight="1">
      <c r="A53" s="6" t="n"/>
      <c r="B53" s="7" t="inlineStr">
        <is>
          <t>Score: the weighted criteria, 20 to 100. Recommended rank: the order the scores suggest for the queue. Fits: whether what's left covers this request and every one ranked above it.</t>
        </is>
      </c>
    </row>
    <row r="54" ht="32" customHeight="1">
      <c r="A54" s="6" t="n"/>
      <c r="B54" s="7" t="inlineStr">
        <is>
          <t>The score leaves out cost and effort. The two Fits columns test them against the money left and the free person-days, in rank order.</t>
        </is>
      </c>
    </row>
    <row r="55" ht="46" customHeight="1">
      <c r="A55" s="6" t="n"/>
      <c r="B55" s="7" t="inlineStr">
        <is>
          <t>An accepted request is shown to fit when it fits the money and the people, or when Gives way names an Active project that slows or stops for it. It needs a cost and an effort either way.</t>
        </is>
      </c>
    </row>
    <row r="56" ht="32" customHeight="1">
      <c r="A56" s="6" t="n"/>
      <c r="B56" s="7" t="inlineStr">
        <is>
          <t>Agree the criteria and weights before anyone scores, and type the date. The check can show only that a date was typed and that no decision is dated before it.</t>
        </is>
      </c>
    </row>
    <row r="57" ht="32" customHeight="1">
      <c r="A57" s="6" t="n"/>
      <c r="B57" s="7" t="inlineStr">
        <is>
          <t>Fits the money tests against money not yet given to any program. For work inside a program, ask that program's owner.</t>
        </is>
      </c>
    </row>
    <row r="58" ht="32" customHeight="1">
      <c r="A58" s="6" t="n"/>
      <c r="B58" s="7" t="inlineStr">
        <is>
          <t>Free person-days is typed. Capacity's figure for the next 13 weeks shows beside it. That figure counts anyone whose project has no booking as free, so it's the most you could have.</t>
        </is>
      </c>
    </row>
    <row r="59" ht="32" customHeight="1">
      <c r="A59" s="6" t="n"/>
      <c r="B59" s="7" t="inlineStr">
        <is>
          <t>Give the Register row the same name as the request. To rename a project or an objective, use Find and Replace on every tab.</t>
        </is>
      </c>
    </row>
    <row r="60" ht="18" customHeight="1">
      <c r="A60" s="6" t="n"/>
      <c r="B60" s="7" t="inlineStr">
        <is>
          <t>An accepted request has 14 days to get its Register row before the check flags it.</t>
        </is>
      </c>
    </row>
    <row r="61" ht="18" customHeight="1">
      <c r="A61" s="6" t="n"/>
      <c r="B61" s="7" t="inlineStr">
        <is>
          <t>Record intake decisions here, and the steering group's other decisions on Steering.</t>
        </is>
      </c>
    </row>
    <row r="62" ht="32" customHeight="1">
      <c r="A62" s="6" t="n"/>
      <c r="B62" s="7" t="inlineStr">
        <is>
          <t>Intake runs four checks of its own. Their count shows on Portfolio, under the seven checks there.</t>
        </is>
      </c>
    </row>
    <row r="63" ht="46" customHeight="1">
      <c r="A63" s="6" t="n"/>
      <c r="B63" s="7" t="inlineStr">
        <is>
          <t>An assistant can prepare the intake queue for you. The brief is in frqz-intake-agent-brief.txt, beside this file. Open and save the workbook once in your spreadsheet first, so the assistant can read the results.</t>
        </is>
      </c>
    </row>
    <row r="65">
      <c r="A65" s="8" t="inlineStr">
        <is>
          <t>CAPACITY</t>
        </is>
      </c>
    </row>
    <row r="66" ht="32" customHeight="1">
      <c r="A66" s="6" t="n"/>
      <c r="B66" s="7" t="inlineStr">
        <is>
          <t>Capacity shows who is free in each of 13 weeks, starting from First week. Move First week forward as the weeks pass. Bookings and Time away keep their own dates.</t>
        </is>
      </c>
    </row>
    <row r="67" ht="32" customHeight="1">
      <c r="A67" s="6" t="n"/>
      <c r="B67" s="7" t="inlineStr">
        <is>
          <t>Everything on Capacity is in days a week. A person with 4 usual days and 3 booked has 1 free.</t>
        </is>
      </c>
    </row>
    <row r="68" ht="32" customHeight="1">
      <c r="A68" s="6" t="n"/>
      <c r="B68" s="7" t="inlineStr">
        <is>
          <t>People lists whoever does the work. A first name is enough; it doesn't have to match Owner on the Register.</t>
        </is>
      </c>
    </row>
    <row r="69" ht="46" customHeight="1">
      <c r="A69" s="6" t="n"/>
      <c r="B69" s="7" t="inlineStr">
        <is>
          <t>Each Bookings line is one person on one Register row, from a first Monday to a last, at the same days a week. When the pace changes, end the line and start another. Book each day once, on the program or on one of its projects.</t>
        </is>
      </c>
    </row>
    <row r="70" ht="32" customHeight="1">
      <c r="A70" s="6" t="n"/>
      <c r="B70" s="7" t="inlineStr">
        <is>
          <t>Book days on a Proposed row to see who would go over if it were approved: the last column of Who is free shows it. The line counts against nobody until the row is Active.</t>
        </is>
      </c>
    </row>
    <row r="71" ht="46" customHeight="1">
      <c r="A71" s="6" t="n"/>
      <c r="B71" s="7" t="inlineStr">
        <is>
          <t>Everyone and Outside team are kept for two uses. On Time away, Everyone takes the days off every person, as for a public holiday. On Bookings, Outside team means a vendor or contractor staffs the row: it uses nobody's days, and the row counts as staffed.</t>
        </is>
      </c>
    </row>
    <row r="72" ht="32" customHeight="1">
      <c r="A72" s="6" t="n"/>
      <c r="B72" s="7" t="inlineStr">
        <is>
          <t>Free days, at most, is a ceiling. A person whose project has no booking yet looks free, and so does a week nobody has booked.</t>
        </is>
      </c>
    </row>
    <row r="73" ht="32" customHeight="1">
      <c r="A73" s="6" t="n"/>
      <c r="B73" s="7" t="inlineStr">
        <is>
          <t>Someone booked for all their days shows as over in any week they're away. Split the line and book fewer days that week, or leave the finding.</t>
        </is>
      </c>
    </row>
    <row r="74" ht="18" customHeight="1">
      <c r="A74" s="6" t="n"/>
      <c r="B74" s="7" t="inlineStr">
        <is>
          <t>Time away holds dates and days, never a reason. Anyone who opens the file can read it.</t>
        </is>
      </c>
    </row>
    <row r="75" ht="32" customHeight="1">
      <c r="A75" s="6" t="n"/>
      <c r="B75" s="7" t="inlineStr">
        <is>
          <t>Clear a line to remove it. Don't insert or delete rows on Capacity: each table sits at fixed rows. If two Register rows share a name, bookings go to the first.</t>
        </is>
      </c>
    </row>
    <row r="76" ht="32" customHeight="1">
      <c r="A76" s="6" t="n"/>
      <c r="B76" s="7" t="inlineStr">
        <is>
          <t>Capacity runs four checks of its own, at the top of the tab. Portfolio shows how many fail, apart from its seven.</t>
        </is>
      </c>
    </row>
    <row r="77" ht="46" customHeight="1">
      <c r="A77" s="6" t="n"/>
      <c r="B77" s="7" t="inlineStr">
        <is>
          <t>An assistant can read Capacity for you. The brief is in frqz-capacity-agent-brief.txt, beside this file. Open and save the workbook once in your spreadsheet first, so the assistant can read the results.</t>
        </is>
      </c>
    </row>
    <row r="79">
      <c r="A79" s="8" t="inlineStr">
        <is>
          <t>THE FULL WORKBOOK</t>
        </is>
      </c>
    </row>
    <row r="80" ht="46" customHeight="1">
      <c r="A80" s="6" t="n"/>
      <c r="B80" s="7" t="inlineStr">
        <is>
          <t>The Full workbook adds a Funding tab, meetings and actions on Steering, and a Checks tab that runs twelve checks to this file's seven. Register A to L, the objectives, Steering A to C and Intake A to R match, so rows paste across.</t>
        </is>
      </c>
    </row>
    <row r="81" ht="32" customHeight="1">
      <c r="A81" s="6" t="n"/>
      <c r="B81" s="7" t="inlineStr">
        <is>
          <t>To move your rows to the Full workbook, paste Register columns A to L, then AJ to AK, as two pastes. One paste of A to AK would clear the Full file's Approach column.</t>
        </is>
      </c>
    </row>
    <row r="83">
      <c r="A83" s="8" t="inlineStr">
        <is>
          <t>FOR A SMALL TEAM</t>
        </is>
      </c>
    </row>
    <row r="84" ht="18" customHeight="1">
      <c r="A84" s="6" t="n"/>
      <c r="B84" s="7" t="inlineStr">
        <is>
          <t>Use projects only: Level Project and Sits under Portfolio on every row.</t>
        </is>
      </c>
    </row>
    <row r="85" ht="32" customHeight="1">
      <c r="A85" s="6" t="n"/>
      <c r="B85" s="7" t="inlineStr">
        <is>
          <t>Fill in Status, Owner, Planned finish, Latest forecast and, on Amber or Red rows, a Variance note.</t>
        </is>
      </c>
    </row>
    <row r="86" ht="32" customHeight="1">
      <c r="A86" s="6" t="n"/>
      <c r="B86" s="7" t="inlineStr">
        <is>
          <t>Leave Sponsor, Objective, Budget, Forecast spend, the envelope, the review cadence and the Steering tab empty. Nothing asks for them.</t>
        </is>
      </c>
    </row>
    <row r="87" ht="32" customHeight="1">
      <c r="A87" s="6" t="n"/>
      <c r="B87" s="7" t="inlineStr">
        <is>
          <t>Three checks still run: a row with no owner, Sits under, and an Amber or Red row with no variance note.</t>
        </is>
      </c>
    </row>
  </sheetData>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D56"/>
  <sheetViews>
    <sheetView showGridLines="0" workbookViewId="0">
      <selection activeCell="A1" sqref="A1"/>
    </sheetView>
  </sheetViews>
  <sheetFormatPr baseColWidth="8" defaultRowHeight="15"/>
  <cols>
    <col width="30" customWidth="1" min="1" max="1"/>
    <col width="30" customWidth="1" min="2" max="2"/>
    <col width="60" customWidth="1" min="3" max="3"/>
    <col width="14" customWidth="1" min="4" max="4"/>
  </cols>
  <sheetData>
    <row r="1" ht="36" customHeight="1">
      <c r="B1" s="1" t="inlineStr">
        <is>
          <t>Portfolio</t>
        </is>
      </c>
    </row>
    <row r="2" ht="16" customHeight="1">
      <c r="A2" s="2" t="inlineStr">
        <is>
          <t>One portfolio per workbook. Type in the white cells; the grey ones are worked out.</t>
        </is>
      </c>
    </row>
    <row r="3" ht="18" customHeight="1">
      <c r="A3" s="4" t="n"/>
    </row>
    <row r="4" ht="6" customHeight="1"/>
    <row r="5">
      <c r="A5" s="10" t="inlineStr">
        <is>
          <t>THE PORTFOLIO</t>
        </is>
      </c>
      <c r="B5" s="11" t="n"/>
      <c r="C5" s="11" t="n"/>
      <c r="D5" s="11" t="n"/>
    </row>
    <row r="6" ht="18" customHeight="1">
      <c r="A6" s="12" t="inlineStr">
        <is>
          <t>PORTFOLIO NAME</t>
        </is>
      </c>
      <c r="B6" s="13" t="n"/>
      <c r="C6" s="12" t="inlineStr">
        <is>
          <t>What you call the work this workbook covers. Required.</t>
        </is>
      </c>
    </row>
    <row r="7" ht="30" customHeight="1">
      <c r="A7" s="12" t="inlineStr">
        <is>
          <t>DIRECTOR</t>
        </is>
      </c>
      <c r="B7" s="13" t="n"/>
      <c r="C7" s="12" t="inlineStr">
        <is>
          <t>The person accountable for the portfolio's direction and benefits. A name, with a role in brackets if you like. Required.</t>
        </is>
      </c>
    </row>
    <row r="8" ht="30" customHeight="1">
      <c r="A8" s="12" t="inlineStr">
        <is>
          <t>MANAGER</t>
        </is>
      </c>
      <c r="B8" s="13" t="n"/>
      <c r="C8" s="12" t="inlineStr">
        <is>
          <t>The person who runs it day to day and keeps the register. Can be the director. Required.</t>
        </is>
      </c>
    </row>
    <row r="9" ht="30" customHeight="1">
      <c r="A9" s="12" t="inlineStr">
        <is>
          <t>REVIEW CADENCE</t>
        </is>
      </c>
      <c r="B9" s="13" t="n"/>
      <c r="C9" s="12" t="inlineStr">
        <is>
          <t>How often the steering group reviews the portfolio. Leave blank if there isn't one.</t>
        </is>
      </c>
    </row>
    <row r="10" ht="18" customHeight="1">
      <c r="A10" s="12" t="inlineStr">
        <is>
          <t>LAST REVIEW</t>
        </is>
      </c>
      <c r="B10" s="14" t="n"/>
      <c r="C10" s="12" t="inlineStr">
        <is>
          <t>The date of the latest steering meeting.</t>
        </is>
      </c>
    </row>
    <row r="11" ht="18" customHeight="1">
      <c r="A11" s="12" t="inlineStr">
        <is>
          <t>NEXT REVIEW</t>
        </is>
      </c>
      <c r="B11" s="15">
        <f>IF(OR($B$9="",$B$10=""),"No review date",IF($B$9="Monthly",EDATE($B$10,1),IF($B$9="Quarterly",EDATE($B$10,3),IF($B$9="Twice a year",EDATE($B$10,6),IF($B$9="Yearly",EDATE($B$10,12),"No review date")))))</f>
        <v/>
      </c>
      <c r="C11" s="12" t="inlineStr">
        <is>
          <t>Worked out: Last review plus the cadence.</t>
        </is>
      </c>
    </row>
    <row r="12" ht="30" customHeight="1">
      <c r="A12" s="12" t="inlineStr">
        <is>
          <t>REVIEW CHECK</t>
        </is>
      </c>
      <c r="B12" s="16">
        <f>IF($B$9="","○ Clear",IF($B$11="No review date","△ No review date",IF($B$11&lt;TODAY(),"△ Review overdue since "&amp;TEXT($B$11,"d mmm yyyy"),"○ Clear")))</f>
        <v/>
      </c>
      <c r="C12" s="12" t="inlineStr">
        <is>
          <t>Shows △ when the next review has passed, or a cadence is set with no Last review.</t>
        </is>
      </c>
    </row>
    <row r="14">
      <c r="A14" s="10" t="inlineStr">
        <is>
          <t>LIMITS FOR RED</t>
        </is>
      </c>
      <c r="B14" s="11" t="n"/>
      <c r="C14" s="11" t="n"/>
      <c r="D14" s="11" t="n"/>
    </row>
    <row r="15" ht="30" customHeight="1">
      <c r="A15" s="12" t="inlineStr">
        <is>
          <t>DAYS LATE BEFORE RED, PROJECTS</t>
        </is>
      </c>
      <c r="B15" s="17" t="n"/>
      <c r="C15" s="12" t="inlineStr">
        <is>
          <t>Working days a project may run past its Planned finish before it reads Red. Starts at 5; change it to suit.</t>
        </is>
      </c>
    </row>
    <row r="16" ht="30" customHeight="1">
      <c r="A16" s="12" t="inlineStr">
        <is>
          <t>DAYS LATE BEFORE RED, PROGRAMS</t>
        </is>
      </c>
      <c r="B16" s="17" t="n"/>
      <c r="C16" s="12" t="inlineStr">
        <is>
          <t>Working days a program may run past its Planned finish before it reads Red. Starts at 10.</t>
        </is>
      </c>
    </row>
    <row r="17" ht="30" customHeight="1">
      <c r="A17" s="12" t="inlineStr">
        <is>
          <t>OVER BUDGET BEFORE RED</t>
        </is>
      </c>
      <c r="B17" s="18" t="n"/>
      <c r="C17" s="12" t="inlineStr">
        <is>
          <t>How far spend may run over Budget before a row reads Red. A smaller overrun reads Amber. Starts at 10%.</t>
        </is>
      </c>
    </row>
    <row r="19">
      <c r="A19" s="10" t="inlineStr">
        <is>
          <t>ENVELOPE</t>
        </is>
      </c>
      <c r="B19" s="11" t="n"/>
      <c r="C19" s="11" t="n"/>
      <c r="D19" s="11" t="n"/>
    </row>
    <row r="20" ht="30" customHeight="1">
      <c r="A20" s="12" t="inlineStr">
        <is>
          <t>ENVELOPE</t>
        </is>
      </c>
      <c r="B20" s="19" t="n"/>
      <c r="C20" s="12" t="inlineStr">
        <is>
          <t>The total the portfolio may spend. Optional; leave it blank and the envelope check doesn't run.</t>
        </is>
      </c>
    </row>
    <row r="21" ht="30" customHeight="1">
      <c r="A21" s="12" t="inlineStr">
        <is>
          <t>BUDGETS GIVEN OUT</t>
        </is>
      </c>
      <c r="B21" s="20">
        <f>SUMIFS(Register!$K$6:$K$305,Register!$C$6:$C$305,"Portfolio",Register!$D$6:$D$305,"&lt;&gt;Proposed")</f>
        <v/>
      </c>
      <c r="C21" s="12" t="inlineStr">
        <is>
          <t>Every Budget on a row directly under Portfolio, Proposed rows left out. When a row closes, lower its Budget to what was spent.</t>
        </is>
      </c>
    </row>
    <row r="22" ht="18" customHeight="1">
      <c r="A22" s="12" t="inlineStr">
        <is>
          <t>LEFT IN THE ENVELOPE</t>
        </is>
      </c>
      <c r="B22" s="20">
        <f>IF($B$20="","",$B$20-$B$21)</f>
        <v/>
      </c>
      <c r="C22" s="12" t="inlineStr">
        <is>
          <t>The envelope minus budgets given out. Negative means over.</t>
        </is>
      </c>
    </row>
    <row r="23" ht="30" customHeight="1">
      <c r="A23" s="12" t="inlineStr">
        <is>
          <t>FORECAST SPEND, ALL PROJECTS</t>
        </is>
      </c>
      <c r="B23" s="20">
        <f>SUMIFS(Register!$J$6:$J$305,Register!$B$6:$B$305,"Project",Register!$D$6:$D$305,"&lt;&gt;Proposed",Register!$Z$6:$Z$305,1)</f>
        <v/>
      </c>
      <c r="C23" s="12" t="inlineStr">
        <is>
          <t>Forecast spend added up across this portfolio's projects, Proposed left out.</t>
        </is>
      </c>
    </row>
    <row r="24" ht="30" customHeight="1">
      <c r="A24" s="12" t="inlineStr">
        <is>
          <t>PROJECTS WITH NO FORECAST SPEND</t>
        </is>
      </c>
      <c r="B24" s="21">
        <f>COUNTIFS(Register!$B$6:$B$305,"Project",Register!$D$6:$D$305,"&lt;&gt;Proposed",Register!$Z$6:$Z$305,1)-COUNTIFS(Register!$B$6:$B$305,"Project",Register!$D$6:$D$305,"&lt;&gt;Proposed",Register!$Z$6:$Z$305,1,Register!$J$6:$J$305,"&gt;=0")</f>
        <v/>
      </c>
      <c r="C24" s="12" t="inlineStr">
        <is>
          <t>Projects in that total with Forecast spend blank. While there are any, the figure above reads low.</t>
        </is>
      </c>
    </row>
    <row r="25" ht="18" customHeight="1">
      <c r="A25" s="12" t="inlineStr">
        <is>
          <t>ENVELOPE CHECK</t>
        </is>
      </c>
      <c r="B25" s="16">
        <f>IF(OR($B$20="",$B$21&lt;=$B$20),"○ Clear","△ Budgets over the envelope by "&amp;TEXT($B$21-$B$20,"#,##0"))</f>
        <v/>
      </c>
      <c r="C25" s="12" t="inlineStr">
        <is>
          <t>Shows △ when budgets given out pass the envelope.</t>
        </is>
      </c>
    </row>
    <row r="27">
      <c r="A27" s="10" t="inlineStr">
        <is>
          <t>COUNTS BY HEALTH</t>
        </is>
      </c>
      <c r="B27" s="11" t="n"/>
      <c r="C27" s="22" t="inlineStr">
        <is>
          <t>Programs and projects directly under Portfolio, one count each. A program's own projects are counted beside it on Register.</t>
        </is>
      </c>
      <c r="D27" s="11" t="n"/>
    </row>
    <row r="28" ht="18" customHeight="1">
      <c r="A28" s="23" t="inlineStr">
        <is>
          <t>■ Red</t>
        </is>
      </c>
      <c r="B28" s="21">
        <f>COUNTIFS(Register!$C$6:$C$305,"Portfolio",Register!$M$6:$M$305,"■ Red")</f>
        <v/>
      </c>
    </row>
    <row r="29" ht="18" customHeight="1">
      <c r="A29" s="23" t="inlineStr">
        <is>
          <t>◧ Amber</t>
        </is>
      </c>
      <c r="B29" s="21">
        <f>COUNTIFS(Register!$C$6:$C$305,"Portfolio",Register!$M$6:$M$305,"◧ Amber")</f>
        <v/>
      </c>
    </row>
    <row r="30" ht="18" customHeight="1">
      <c r="A30" s="23" t="inlineStr">
        <is>
          <t>□ On track</t>
        </is>
      </c>
      <c r="B30" s="21">
        <f>COUNTIFS(Register!$C$6:$C$305,"Portfolio",Register!$M$6:$M$305,"□ On track")</f>
        <v/>
      </c>
    </row>
    <row r="31" ht="18" customHeight="1">
      <c r="A31" s="23" t="inlineStr">
        <is>
          <t>Not read</t>
        </is>
      </c>
      <c r="B31" s="21">
        <f>COUNTIFS(Register!$C$6:$C$305,"Portfolio",Register!$M$6:$M$305,"Not read")</f>
        <v/>
      </c>
    </row>
    <row r="32" ht="30" customHeight="1">
      <c r="A32" s="12" t="inlineStr">
        <is>
          <t>CURRENT ROWS OUTSIDE THE PORTFOLIO</t>
        </is>
      </c>
      <c r="B32" s="21">
        <f>COUNTIFS(Register!$C$6:$C$305,"Outside the portfolio",Register!$Q$6:$Q$305,1)</f>
        <v/>
      </c>
      <c r="C32" s="12" t="inlineStr">
        <is>
          <t>Active or Paused rows with Sits under set to Outside the portfolio. Left out of the counts above.</t>
        </is>
      </c>
    </row>
    <row r="34">
      <c r="A34" s="10" t="inlineStr">
        <is>
          <t>CHECKS</t>
        </is>
      </c>
      <c r="B34" s="24">
        <f>COUNTIF($B$35:$B$41,"△*")&amp;" of 7 failing"</f>
        <v/>
      </c>
      <c r="C34" s="11" t="n"/>
      <c r="D34" s="11" t="n"/>
    </row>
    <row r="35" ht="18" customHeight="1">
      <c r="A35" s="12" t="inlineStr">
        <is>
          <t>A ROW WITH NO OWNER</t>
        </is>
      </c>
      <c r="B35" s="16">
        <f>IF(SUM(Register!$AA$6:$AA$305)=0,"○ Clear","△ No owner on "&amp;SUM(Register!$AA$6:$AA$305)&amp;IF(SUM(Register!$AA$6:$AA$305)=1," row"," rows"))</f>
        <v/>
      </c>
    </row>
    <row r="36" ht="18" customHeight="1">
      <c r="A36" s="12" t="inlineStr">
        <is>
          <t>A PROGRAM WITH NO SPONSOR</t>
        </is>
      </c>
      <c r="B36" s="16">
        <f>IF(SUM(Register!$AB$6:$AB$305)=0,"○ Clear","△ No sponsor on "&amp;SUM(Register!$AB$6:$AB$305)&amp;IF(SUM(Register!$AB$6:$AB$305)=1," program"," programs"))</f>
        <v/>
      </c>
    </row>
    <row r="37" ht="30" customHeight="1">
      <c r="A37" s="12" t="inlineStr">
        <is>
          <t>SITS UNDER, OR A CURRENT ROW OUTSIDE THE PORTFOLIO</t>
        </is>
      </c>
      <c r="B37" s="16">
        <f>IF(COUNTIF(Register!$AC$6:$AC$305,"&gt;0")=0,"○ Clear","△ Check Sits under: "&amp;COUNTIF(Register!$AC$6:$AC$305,1)&amp;". Current rows outside the portfolio: "&amp;COUNTIF(Register!$AC$6:$AC$305,2)&amp;".")</f>
        <v/>
      </c>
    </row>
    <row r="38" ht="18" customHeight="1">
      <c r="A38" s="12" t="inlineStr">
        <is>
          <t>BUDGETS OVER THE ENVELOPE</t>
        </is>
      </c>
      <c r="B38" s="16">
        <f>$B$25</f>
        <v/>
      </c>
    </row>
    <row r="39" ht="30" customHeight="1">
      <c r="A39" s="12" t="inlineStr">
        <is>
          <t>REVIEW OVERDUE, OR NO REVIEW DATE</t>
        </is>
      </c>
      <c r="B39" s="16">
        <f>$B$12</f>
        <v/>
      </c>
    </row>
    <row r="40" ht="30" customHeight="1">
      <c r="A40" s="12" t="inlineStr">
        <is>
          <t>AN AMBER OR RED ROW WITH NO VARIANCE NOTE</t>
        </is>
      </c>
      <c r="B40" s="16">
        <f>IF(SUM(Register!$AD$6:$AD$305)=0,"○ Clear","△ No variance note on "&amp;SUM(Register!$AD$6:$AD$305)&amp;IF(SUM(Register!$AD$6:$AD$305)=1," row"," rows"))</f>
        <v/>
      </c>
    </row>
    <row r="41" ht="30" customHeight="1">
      <c r="A41" s="12" t="inlineStr">
        <is>
          <t>A DECISION WITHOUT ONE ACCOUNTABLE PERSON</t>
        </is>
      </c>
      <c r="B41" s="16">
        <f>IF(COUNTIF(Steering!$D$6:$D$105,"△*")=0,"○ Clear","△ "&amp;COUNTIF(Steering!$D$6:$D$105,"△*")&amp;IF(COUNTIF(Steering!$D$6:$D$105,"△*")=1," decision"," decisions")&amp;" without one accountable person")</f>
        <v/>
      </c>
    </row>
    <row r="42" ht="18" customHeight="1">
      <c r="A42" s="12" t="inlineStr">
        <is>
          <t>INTAKE CHECKS</t>
        </is>
      </c>
      <c r="B42" s="24">
        <f>Intake!$B$28</f>
        <v/>
      </c>
    </row>
    <row r="43" ht="18" customHeight="1">
      <c r="A43" s="12" t="inlineStr">
        <is>
          <t>CAPACITY CHECKS</t>
        </is>
      </c>
      <c r="B43" s="24">
        <f>Capacity!$B$10</f>
        <v/>
      </c>
    </row>
    <row r="44" ht="6" customHeight="1"/>
    <row r="45">
      <c r="A45" s="10" t="inlineStr">
        <is>
          <t>OBJECTIVES</t>
        </is>
      </c>
      <c r="B45" s="11" t="n"/>
      <c r="C45" s="11" t="n"/>
      <c r="D45" s="11" t="n"/>
    </row>
    <row r="46" ht="20" customHeight="1">
      <c r="A46" s="25" t="inlineStr">
        <is>
          <t>Objective</t>
        </is>
      </c>
      <c r="B46" s="25" t="inlineStr">
        <is>
          <t>Owner</t>
        </is>
      </c>
      <c r="C46" s="25" t="inlineStr">
        <is>
          <t>Measure and target</t>
        </is>
      </c>
      <c r="D46" s="25" t="inlineStr">
        <is>
          <t>Target date</t>
        </is>
      </c>
    </row>
    <row r="47">
      <c r="A47" s="26" t="n"/>
      <c r="B47" s="26" t="n"/>
      <c r="C47" s="26" t="n"/>
      <c r="D47" s="27" t="n"/>
    </row>
    <row r="48">
      <c r="A48" s="26" t="n"/>
      <c r="B48" s="26" t="n"/>
      <c r="C48" s="26" t="n"/>
      <c r="D48" s="27" t="n"/>
    </row>
    <row r="49">
      <c r="A49" s="26" t="n"/>
      <c r="B49" s="26" t="n"/>
      <c r="C49" s="26" t="n"/>
      <c r="D49" s="27" t="n"/>
    </row>
    <row r="50">
      <c r="A50" s="26" t="n"/>
      <c r="B50" s="26" t="n"/>
      <c r="C50" s="26" t="n"/>
      <c r="D50" s="27" t="n"/>
    </row>
    <row r="51">
      <c r="A51" s="26" t="n"/>
      <c r="B51" s="26" t="n"/>
      <c r="C51" s="26" t="n"/>
      <c r="D51" s="27" t="n"/>
    </row>
    <row r="52">
      <c r="A52" s="26" t="n"/>
      <c r="B52" s="26" t="n"/>
      <c r="C52" s="26" t="n"/>
      <c r="D52" s="27" t="n"/>
    </row>
    <row r="53">
      <c r="A53" s="26" t="n"/>
      <c r="B53" s="26" t="n"/>
      <c r="C53" s="26" t="n"/>
      <c r="D53" s="27" t="n"/>
    </row>
    <row r="54">
      <c r="A54" s="26" t="n"/>
      <c r="B54" s="26" t="n"/>
      <c r="C54" s="26" t="n"/>
      <c r="D54" s="27" t="n"/>
    </row>
    <row r="55">
      <c r="A55" s="26" t="n"/>
      <c r="B55" s="26" t="n"/>
      <c r="C55" s="26" t="n"/>
      <c r="D55" s="27" t="n"/>
    </row>
    <row r="56">
      <c r="A56" s="26" t="n"/>
      <c r="B56" s="26" t="n"/>
      <c r="C56" s="26" t="n"/>
      <c r="D56" s="27" t="n"/>
    </row>
  </sheetData>
  <conditionalFormatting sqref="B6:B8">
    <cfRule type="expression" priority="1" dxfId="0" stopIfTrue="0">
      <formula>B6=""</formula>
    </cfRule>
  </conditionalFormatting>
  <conditionalFormatting sqref="B35:B41">
    <cfRule type="expression" priority="2" dxfId="1" stopIfTrue="0">
      <formula>LEFT(B35,1)="△"</formula>
    </cfRule>
  </conditionalFormatting>
  <conditionalFormatting sqref="B12">
    <cfRule type="expression" priority="3" dxfId="1" stopIfTrue="0">
      <formula>LEFT(B12,1)="△"</formula>
    </cfRule>
  </conditionalFormatting>
  <conditionalFormatting sqref="B25">
    <cfRule type="expression" priority="4" dxfId="1" stopIfTrue="0">
      <formula>LEFT(B25,1)="△"</formula>
    </cfRule>
  </conditionalFormatting>
  <dataValidations count="13">
    <dataValidation sqref="B6" showDropDown="0" showInputMessage="1" showErrorMessage="0" allowBlank="1" promptTitle="Portfolio name" prompt="What you call the work this workbook covers. Required." errorStyle="stop"/>
    <dataValidation sqref="B7" showDropDown="0" showInputMessage="1" showErrorMessage="0" allowBlank="1" promptTitle="Director" prompt="The person accountable for the portfolio's direction and benefits. A name, with a role in brackets if you like. Required." errorStyle="stop"/>
    <dataValidation sqref="B8" showDropDown="0" showInputMessage="1" showErrorMessage="0" allowBlank="1" promptTitle="Manager" prompt="The person who runs it day to day and keeps the register. Can be the director. Required." errorStyle="stop"/>
    <dataValidation sqref="B9" showDropDown="0" showInputMessage="1" showErrorMessage="1" allowBlank="1" errorTitle="Check this entry" error="Pick a cadence from the list." promptTitle="Review cadence" prompt="How often the steering group reviews the portfolio. Leave blank if there isn't one." type="list" errorStyle="stop">
      <formula1>"Monthly,Quarterly,Twice a year,Yearly"</formula1>
    </dataValidation>
    <dataValidation sqref="B10" showDropDown="0" showInputMessage="1" showErrorMessage="1" allowBlank="1" errorTitle="Check this entry" error="Type a date, such as 30 Jun 2027." promptTitle="Last review" prompt="The date of the latest steering meeting." type="date" errorStyle="stop" operator="greaterThan">
      <formula1>36526</formula1>
    </dataValidation>
    <dataValidation sqref="B15" showDropDown="0" showInputMessage="1" showErrorMessage="1" allowBlank="1" errorTitle="Check this entry" error="Type a whole number of working days, 0 to 365." promptTitle="Days late before Red, projects" prompt="Working days a project may run past its Planned finish before it reads Red. Starts at 5; change it to suit." type="whole" errorStyle="stop" operator="between">
      <formula1>0</formula1>
      <formula2>365</formula2>
    </dataValidation>
    <dataValidation sqref="B16" showDropDown="0" showInputMessage="1" showErrorMessage="1" allowBlank="1" errorTitle="Check this entry" error="Type a whole number of working days, 0 to 365." promptTitle="Days late before Red, programs" prompt="Working days a program may run past its Planned finish before it reads Red. Starts at 10." type="whole" errorStyle="stop" operator="between">
      <formula1>0</formula1>
      <formula2>365</formula2>
    </dataValidation>
    <dataValidation sqref="B17" showDropDown="0" showInputMessage="1" showErrorMessage="1" allowBlank="1" errorTitle="Check this entry" error="Type a percent, such as 10%." promptTitle="Over budget before Red" prompt="How far spend may run over Budget before a row reads Red. A smaller overrun reads Amber. Starts at 10%." type="decimal" errorStyle="stop" operator="between">
      <formula1>0</formula1>
      <formula2>1</formula2>
    </dataValidation>
    <dataValidation sqref="B20" showDropDown="0" showInputMessage="1" showErrorMessage="1" allowBlank="1" errorTitle="Check this entry" error="Type an amount of 0 or more, with no currency sign." promptTitle="Envelope" prompt="The total the portfolio may spend. Optional; leave it blank and the envelope check doesn't run." type="decimal" errorStyle="stop" operator="greaterThanOrEqual">
      <formula1>0</formula1>
    </dataValidation>
    <dataValidation sqref="A47:A56" showDropDown="0" showInputMessage="1" showErrorMessage="0" allowBlank="1" promptTitle="Objective" prompt="What the portfolio is for, in one line." errorStyle="stop"/>
    <dataValidation sqref="B47:B56" showDropDown="0" showInputMessage="1" showErrorMessage="0" allowBlank="1" promptTitle="Owner" prompt="The one person accountable for it." errorStyle="stop"/>
    <dataValidation sqref="C47:C56" showDropDown="0" showInputMessage="1" showErrorMessage="0" allowBlank="1" promptTitle="Measure and target" prompt="How you'll know, with the number you're aiming for. For example: Days to first live use: 21." errorStyle="stop"/>
    <dataValidation sqref="D47:D56" showDropDown="0" showInputMessage="1" showErrorMessage="1" allowBlank="1" errorTitle="Check this entry" error="Type a date, such as 30 Jun 2027." promptTitle="Target date" prompt="The date to reach the target by." type="date" errorStyle="stop" operator="greaterThan">
      <formula1>36526</formula1>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Z30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30" customWidth="1" min="3" max="3"/>
    <col width="12" customWidth="1" min="4" max="4"/>
    <col width="26" customWidth="1" min="5" max="5"/>
    <col width="20" customWidth="1" min="6" max="6"/>
    <col width="34" customWidth="1" min="7" max="7"/>
    <col width="13" customWidth="1" min="8" max="8"/>
    <col width="13" customWidth="1" min="9" max="9"/>
    <col width="14" customWidth="1" min="10" max="10"/>
    <col width="14" customWidth="1" min="11" max="11"/>
    <col width="44" customWidth="1" min="12" max="12"/>
    <col width="12" customWidth="1" min="13" max="13"/>
    <col width="22" customWidth="1" min="14" max="14"/>
    <col width="12" customWidth="1" min="15" max="15"/>
    <col width="34" customWidth="1" min="16" max="16"/>
    <col hidden="1" outlineLevel="1" width="13" customWidth="1" min="17" max="35"/>
    <col width="13" customWidth="1" min="36" max="36"/>
    <col width="15" customWidth="1" min="37" max="37"/>
    <col hidden="1" outlineLevel="1" width="13" customWidth="1" min="38" max="52"/>
  </cols>
  <sheetData>
    <row r="1" ht="36" customHeight="1">
      <c r="B1" s="1" t="inlineStr">
        <is>
          <t>Register</t>
        </is>
      </c>
    </row>
    <row r="2" ht="16" customHeight="1">
      <c r="A2" s="2">
        <f>IF(Portfolio!$B$6="","","Portfolio: "&amp;Portfolio!$B$6)</f>
        <v/>
      </c>
    </row>
    <row r="3" ht="18" customHeight="1">
      <c r="A3" s="4" t="n"/>
    </row>
    <row r="4" ht="6" customHeight="1"/>
    <row r="5" ht="32" customHeight="1">
      <c r="A5" s="25" t="inlineStr">
        <is>
          <t>Name</t>
        </is>
      </c>
      <c r="B5" s="25" t="inlineStr">
        <is>
          <t>Level</t>
        </is>
      </c>
      <c r="C5" s="25" t="inlineStr">
        <is>
          <t>Sits under</t>
        </is>
      </c>
      <c r="D5" s="25" t="inlineStr">
        <is>
          <t>Status</t>
        </is>
      </c>
      <c r="E5" s="25" t="inlineStr">
        <is>
          <t>Owner</t>
        </is>
      </c>
      <c r="F5" s="25" t="inlineStr">
        <is>
          <t>Sponsor</t>
        </is>
      </c>
      <c r="G5" s="25" t="inlineStr">
        <is>
          <t>Objective</t>
        </is>
      </c>
      <c r="H5" s="25" t="inlineStr">
        <is>
          <t>Planned finish</t>
        </is>
      </c>
      <c r="I5" s="25" t="inlineStr">
        <is>
          <t>Latest forecast</t>
        </is>
      </c>
      <c r="J5" s="25" t="inlineStr">
        <is>
          <t>Forecast spend</t>
        </is>
      </c>
      <c r="K5" s="25" t="inlineStr">
        <is>
          <t>Budget</t>
        </is>
      </c>
      <c r="L5" s="25" t="inlineStr">
        <is>
          <t>Variance note</t>
        </is>
      </c>
      <c r="M5" s="28" t="inlineStr">
        <is>
          <t>Health</t>
        </is>
      </c>
      <c r="N5" s="28" t="inlineStr">
        <is>
          <t>Projects inside</t>
        </is>
      </c>
      <c r="O5" s="28" t="inlineStr">
        <is>
          <t>Owner's current rows</t>
        </is>
      </c>
      <c r="P5" s="28" t="inlineStr">
        <is>
          <t>Check</t>
        </is>
      </c>
      <c r="Q5" s="28" t="inlineStr">
        <is>
          <t>Helper, worked out</t>
        </is>
      </c>
      <c r="R5" s="28" t="inlineStr">
        <is>
          <t>Helper, worked out</t>
        </is>
      </c>
      <c r="S5" s="28" t="inlineStr">
        <is>
          <t>Helper, worked out</t>
        </is>
      </c>
      <c r="T5" s="28" t="inlineStr">
        <is>
          <t>Helper, worked out</t>
        </is>
      </c>
      <c r="U5" s="28" t="inlineStr">
        <is>
          <t>Helper, worked out</t>
        </is>
      </c>
      <c r="V5" s="28" t="inlineStr">
        <is>
          <t>Helper, worked out</t>
        </is>
      </c>
      <c r="W5" s="28" t="inlineStr">
        <is>
          <t>Helper, worked out</t>
        </is>
      </c>
      <c r="X5" s="28" t="inlineStr">
        <is>
          <t>Helper, worked out</t>
        </is>
      </c>
      <c r="Y5" s="28" t="inlineStr">
        <is>
          <t>Helper, worked out</t>
        </is>
      </c>
      <c r="Z5" s="28" t="inlineStr">
        <is>
          <t>Helper, worked out</t>
        </is>
      </c>
      <c r="AA5" s="28" t="inlineStr">
        <is>
          <t>Helper, worked out</t>
        </is>
      </c>
      <c r="AB5" s="28" t="inlineStr">
        <is>
          <t>Helper, worked out</t>
        </is>
      </c>
      <c r="AC5" s="28" t="inlineStr">
        <is>
          <t>Helper, worked out</t>
        </is>
      </c>
      <c r="AD5" s="28" t="inlineStr">
        <is>
          <t>Helper, worked out</t>
        </is>
      </c>
      <c r="AE5" s="28" t="inlineStr">
        <is>
          <t>Helper, worked out</t>
        </is>
      </c>
      <c r="AJ5" s="25" t="inlineStr">
        <is>
          <t>Last checked</t>
        </is>
      </c>
      <c r="AK5" s="25" t="inlineStr">
        <is>
          <t>Owner's view</t>
        </is>
      </c>
      <c r="AL5" s="28" t="inlineStr">
        <is>
          <t>Current and in the portfolio (1 or 0)</t>
        </is>
      </c>
      <c r="AM5" s="28" t="inlineStr">
        <is>
          <t>Board helper</t>
        </is>
      </c>
      <c r="AN5" s="28" t="inlineStr">
        <is>
          <t>Board helper</t>
        </is>
      </c>
      <c r="AO5" s="28" t="inlineStr">
        <is>
          <t>Board helper</t>
        </is>
      </c>
      <c r="AP5" s="28" t="inlineStr">
        <is>
          <t>Board helper</t>
        </is>
      </c>
      <c r="AQ5" s="28" t="inlineStr">
        <is>
          <t>Board helper</t>
        </is>
      </c>
      <c r="AR5" s="28" t="inlineStr">
        <is>
          <t>Board helper</t>
        </is>
      </c>
      <c r="AS5" s="28" t="inlineStr">
        <is>
          <t>Board helper</t>
        </is>
      </c>
      <c r="AT5" s="28" t="inlineStr">
        <is>
          <t>Board helper</t>
        </is>
      </c>
      <c r="AU5" s="28" t="inlineStr">
        <is>
          <t>Board helper</t>
        </is>
      </c>
      <c r="AV5" s="28" t="inlineStr">
        <is>
          <t>Board helper</t>
        </is>
      </c>
      <c r="AW5" s="28" t="inlineStr">
        <is>
          <t>Board helper</t>
        </is>
      </c>
      <c r="AX5" s="28" t="inlineStr">
        <is>
          <t>Board helper</t>
        </is>
      </c>
      <c r="AY5" s="28" t="inlineStr">
        <is>
          <t>Board helper</t>
        </is>
      </c>
      <c r="AZ5" s="28" t="inlineStr">
        <is>
          <t>Board helper</t>
        </is>
      </c>
    </row>
    <row r="6">
      <c r="A6" s="29" t="n"/>
      <c r="B6" s="29" t="n"/>
      <c r="C6" s="29" t="n"/>
      <c r="D6" s="29" t="n"/>
      <c r="E6" s="29" t="n"/>
      <c r="F6" s="29" t="n"/>
      <c r="G6" s="29" t="n"/>
      <c r="H6" s="30" t="n"/>
      <c r="I6" s="30" t="n"/>
      <c r="J6" s="19" t="n"/>
      <c r="K6" s="19" t="n"/>
      <c r="L6" s="26" t="n"/>
      <c r="M6" s="31">
        <f>IF($A6="","",IF($D6="","Not read",IF($Q6=0,"Not counted",IF(MAX($X6,$Y6)=3,"■ Red",IF(MAX($X6,$Y6)=2,"◧ Amber",IF(MAX($X6,$Y6)=1,"□ On track","Not read"))))))</f>
        <v/>
      </c>
      <c r="N6" s="31">
        <f>IF(OR($A6="",$B6&lt;&gt;"Program"),"","■ "&amp;COUNTIFS($C$6:$C$305,$A6,$M$6:$M$305,"■ Red")&amp;" Red, ◧ "&amp;COUNTIFS($C$6:$C$305,$A6,$M$6:$M$305,"◧ Amber")&amp;" Amber")</f>
        <v/>
      </c>
      <c r="O6" s="32">
        <f>IF(OR($A6="",$E6=""),"",COUNTIFS($E$6:$E$305,$E6,$D$6:$D$305,"Active")+COUNTIFS($E$6:$E$305,$E6,$D$6:$D$305,"Paused"))</f>
        <v/>
      </c>
      <c r="P6" s="31">
        <f>IF($A6="","",IF($AE6=0,"○ Clear",IF($AA6=1,"△ No owner",IF($AC6=1,"△ Check Sits under",IF($AC6=2,"△ Outside the portfolio",IF($AB6=1,"△ No sponsor","△ No variance note"))))&amp;IF($AE6&gt;1," (+"&amp;($AE6-1)&amp;" more)","")))</f>
        <v/>
      </c>
      <c r="Q6" s="31">
        <f>IF(AND($A6&lt;&gt;"",OR($D6="Active",$D6="Paused")),1,0)</f>
        <v/>
      </c>
      <c r="R6" s="31" t="inlineStr">
        <is>
          <t>Portfolio</t>
        </is>
      </c>
      <c r="S6" s="31">
        <f>IF(AND($A6&lt;&gt;"",$B6="Program"),COUNTIFS($B$6:$B6,"Program",$A$6:$A6,"&lt;&gt;"),"")</f>
        <v/>
      </c>
      <c r="T6" s="33">
        <f>IF(AND($A6&lt;&gt;"",$B6="Program"),SUMPRODUCT(MAX(($C$6:$C$305=$A6)*($B$6:$B$305="Project")*($D$6:$D$305&lt;&gt;"Proposed")*$I$6:$I$305)),0)</f>
        <v/>
      </c>
      <c r="U6" s="33">
        <f>IF($I6&lt;&gt;"",$I6,IF($T6&gt;0,$T6,""))</f>
        <v/>
      </c>
      <c r="V6" s="31">
        <f>IF(AND($A6&lt;&gt;"",$B6="Program"),SUMIFS($J$6:$J$305,$C$6:$C$305,$A6,$B$6:$B$305,"Project",$D$6:$D$305,"&lt;&gt;Proposed"),0)</f>
        <v/>
      </c>
      <c r="W6" s="31">
        <f>IF(AND($A6&lt;&gt;"",$B6="Program"),COUNTIFS($C$6:$C$305,$A6,$B$6:$B$305,"Project",$D$6:$D$305,"&lt;&gt;Proposed")-COUNTIFS($C$6:$C$305,$A6,$B$6:$B$305,"Project",$D$6:$D$305,"&lt;&gt;Proposed",$J$6:$J$305,"&gt;=0"),0)</f>
        <v/>
      </c>
      <c r="X6" s="31">
        <f>IF(OR($Q6=0,$H6=""),0,IF(AND($B6="Project",$H6&lt;TODAY()),3,IF($U6="",0,IF($U6&lt;=$H6,1,IF(NETWORKDAYS($H6,$U6)-1&gt;IF($B6="Program",Portfolio!$B$16,Portfolio!$B$15),3,2)))))</f>
        <v/>
      </c>
      <c r="Y6" s="31">
        <f>IF(OR($Q6=0,$K6="",$K6=0),0,IF(AND($B6="Project",$J6=""),0,IF(IF($B6="Program",$V6,$J6)&gt;$K6*(1+Portfolio!$B$17),3,IF(IF($B6="Program",$V6,$J6)&gt;$K6,2,IF(AND($B6="Program",OR($W6&gt;0,$V6=0)),0,1)))))</f>
        <v/>
      </c>
      <c r="Z6" s="31">
        <f>IF($A6="",0,IF($C6="Portfolio",1,IF(AND($B6="Project",$C6&lt;&gt;"",$C6&lt;&gt;"Outside the portfolio"),IFERROR(IF(AND(INDEX($B$6:$B$305,MATCH($C6,$A$6:$A$305,0))="Program",INDEX($C$6:$C$305,MATCH($C6,$A$6:$A$305,0))="Portfolio"),1,0),0),0)))</f>
        <v/>
      </c>
      <c r="AA6" s="31">
        <f>IF(AND($A6&lt;&gt;"",$E6="",OR($Q6=1,$D6="Proposed")),1,0)</f>
        <v/>
      </c>
      <c r="AB6" s="31">
        <f>IF(AND($A6&lt;&gt;"",$B6="Program",$F6="",$Q6=1),1,0)</f>
        <v/>
      </c>
      <c r="AC6" s="31">
        <f>IF(OR($A6="",$D6="Completed",$D6="Terminated"),0,IF($C6="",1,IF($C6="Portfolio",0,IF($C6="Outside the portfolio",IF($Q6=1,2,0),IF($B6="Project",IF(IFERROR(INDEX($B$6:$B$305,MATCH($C6,$A$6:$A$305,0)),"")="Program",0,1),1)))))</f>
        <v/>
      </c>
      <c r="AD6" s="31">
        <f>IF(AND($A6&lt;&gt;"",OR($M6="■ Red",$M6="◧ Amber"),$L6=""),1,0)</f>
        <v/>
      </c>
      <c r="AE6" s="31">
        <f>$AA6+$AB6+IF($AC6&gt;0,1,0)+$AD6</f>
        <v/>
      </c>
      <c r="AJ6" s="14" t="n"/>
      <c r="AK6" s="29" t="n"/>
      <c r="AL6" s="31">
        <f>IF(AND($Q6=1,$Z6=1),1,0)</f>
        <v/>
      </c>
      <c r="AM6" s="31">
        <f>IF(AND($AL6=1,$AJ6&lt;&gt;""),MAX(0,TODAY()-$AJ6),"")</f>
        <v/>
      </c>
      <c r="AN6" s="31">
        <f>IF(OR($AL6=0,COUNT($AJ$6:$AJ$305)=0),0,IF($AJ6="",1,IF(TODAY()-$AJ6&gt;Board!$B$40,1,0)))</f>
        <v/>
      </c>
      <c r="AO6" s="31">
        <f>IF($AL6=0,0,IF($M6="■ Red",3,IF($M6="◧ Amber",2,IF($M6="□ On track",1,0))))</f>
        <v/>
      </c>
      <c r="AP6" s="31">
        <f>IF($AL6=0,0,IF($AK6="Will not hold",3,IF($AK6="At risk",2,IF($AK6="Will hold",1,0))))</f>
        <v/>
      </c>
      <c r="AQ6" s="31">
        <f>IF($AL6=0,"",IF($AO6=3,0,IF($AO6=2,1,IF(AND($AP6&gt;=2,$AP6&gt;$AO6),2,""))))</f>
        <v/>
      </c>
      <c r="AR6" s="31">
        <f>IF($AQ6="","",$AQ6*1000+6)</f>
        <v/>
      </c>
      <c r="AS6" s="31">
        <f>IF(AND($AL6=1,$AO6&gt;=2,$AP6&gt;=1,$AP6&lt;$AO6),1,0)</f>
        <v/>
      </c>
      <c r="AT6" s="31">
        <f>IF(AND($AL6=1,$AO6&gt;=2,$AP6=0),1,0)</f>
        <v/>
      </c>
      <c r="AU6" s="31">
        <f>IF(AND($AL6=1,$U6&lt;&gt;"",$U6&lt;TODAY()),1,0)</f>
        <v/>
      </c>
      <c r="AV6" s="31">
        <f>IF(OR($A6="",$AJ6="",Portfolio!$B$10=""),0,IF($AJ6&lt;=Portfolio!$B$10,0,IF(AND($D6="Completed",$Z6=1),1,IF(AND($D6="Terminated",$Z6=1),2,IF(AND($Q6=1,$Z6=0),3,0)))))</f>
        <v/>
      </c>
      <c r="AW6" s="31">
        <f>IF($AV6&gt;0,COUNTIF($AV$6:$AV6,"&gt;0"),"")</f>
        <v/>
      </c>
      <c r="AX6" s="31">
        <f>IF($AL6=0,"",IF(AND($B6="Project",$H6&lt;&gt;"",$H6&lt;TODAY()),"Planned finish "&amp;TEXT($H6,"d mmm")&amp;" has passed",IF($X6&gt;=2,(NETWORKDAYS($H6,$U6)-1)&amp;" working days past plan","")))</f>
        <v/>
      </c>
      <c r="AY6" s="31">
        <f>IF($AL6=0,"",IF($Y6&gt;=2,"Over budget by "&amp;TEXT(IF($B6="Program",$V6,$J6)-$K6,"#,##0"),""))</f>
        <v/>
      </c>
      <c r="AZ6" s="31">
        <f>IF(AND($AL6=1,$U6&lt;&gt;""),IF(AND(N($U6)&gt;=TODAY(),N($U6)&lt;=TODAY()+Board!$B$41),1,0),0)</f>
        <v/>
      </c>
    </row>
    <row r="7">
      <c r="A7" s="29" t="n"/>
      <c r="B7" s="29" t="n"/>
      <c r="C7" s="29" t="n"/>
      <c r="D7" s="29" t="n"/>
      <c r="E7" s="29" t="n"/>
      <c r="F7" s="29" t="n"/>
      <c r="G7" s="29" t="n"/>
      <c r="H7" s="30" t="n"/>
      <c r="I7" s="30" t="n"/>
      <c r="J7" s="19" t="n"/>
      <c r="K7" s="19" t="n"/>
      <c r="L7" s="26" t="n"/>
      <c r="M7" s="31">
        <f>IF($A7="","",IF($D7="","Not read",IF($Q7=0,"Not counted",IF(MAX($X7,$Y7)=3,"■ Red",IF(MAX($X7,$Y7)=2,"◧ Amber",IF(MAX($X7,$Y7)=1,"□ On track","Not read"))))))</f>
        <v/>
      </c>
      <c r="N7" s="31">
        <f>IF(OR($A7="",$B7&lt;&gt;"Program"),"","■ "&amp;COUNTIFS($C$6:$C$305,$A7,$M$6:$M$305,"■ Red")&amp;" Red, ◧ "&amp;COUNTIFS($C$6:$C$305,$A7,$M$6:$M$305,"◧ Amber")&amp;" Amber")</f>
        <v/>
      </c>
      <c r="O7" s="32">
        <f>IF(OR($A7="",$E7=""),"",COUNTIFS($E$6:$E$305,$E7,$D$6:$D$305,"Active")+COUNTIFS($E$6:$E$305,$E7,$D$6:$D$305,"Paused"))</f>
        <v/>
      </c>
      <c r="P7" s="31">
        <f>IF($A7="","",IF($AE7=0,"○ Clear",IF($AA7=1,"△ No owner",IF($AC7=1,"△ Check Sits under",IF($AC7=2,"△ Outside the portfolio",IF($AB7=1,"△ No sponsor","△ No variance note"))))&amp;IF($AE7&gt;1," (+"&amp;($AE7-1)&amp;" more)","")))</f>
        <v/>
      </c>
      <c r="Q7" s="31">
        <f>IF(AND($A7&lt;&gt;"",OR($D7="Active",$D7="Paused")),1,0)</f>
        <v/>
      </c>
      <c r="R7" s="31" t="inlineStr">
        <is>
          <t>Outside the portfolio</t>
        </is>
      </c>
      <c r="S7" s="31">
        <f>IF(AND($A7&lt;&gt;"",$B7="Program"),COUNTIFS($B$6:$B7,"Program",$A$6:$A7,"&lt;&gt;"),"")</f>
        <v/>
      </c>
      <c r="T7" s="33">
        <f>IF(AND($A7&lt;&gt;"",$B7="Program"),SUMPRODUCT(MAX(($C$6:$C$305=$A7)*($B$6:$B$305="Project")*($D$6:$D$305&lt;&gt;"Proposed")*$I$6:$I$305)),0)</f>
        <v/>
      </c>
      <c r="U7" s="33">
        <f>IF($I7&lt;&gt;"",$I7,IF($T7&gt;0,$T7,""))</f>
        <v/>
      </c>
      <c r="V7" s="31">
        <f>IF(AND($A7&lt;&gt;"",$B7="Program"),SUMIFS($J$6:$J$305,$C$6:$C$305,$A7,$B$6:$B$305,"Project",$D$6:$D$305,"&lt;&gt;Proposed"),0)</f>
        <v/>
      </c>
      <c r="W7" s="31">
        <f>IF(AND($A7&lt;&gt;"",$B7="Program"),COUNTIFS($C$6:$C$305,$A7,$B$6:$B$305,"Project",$D$6:$D$305,"&lt;&gt;Proposed")-COUNTIFS($C$6:$C$305,$A7,$B$6:$B$305,"Project",$D$6:$D$305,"&lt;&gt;Proposed",$J$6:$J$305,"&gt;=0"),0)</f>
        <v/>
      </c>
      <c r="X7" s="31">
        <f>IF(OR($Q7=0,$H7=""),0,IF(AND($B7="Project",$H7&lt;TODAY()),3,IF($U7="",0,IF($U7&lt;=$H7,1,IF(NETWORKDAYS($H7,$U7)-1&gt;IF($B7="Program",Portfolio!$B$16,Portfolio!$B$15),3,2)))))</f>
        <v/>
      </c>
      <c r="Y7" s="31">
        <f>IF(OR($Q7=0,$K7="",$K7=0),0,IF(AND($B7="Project",$J7=""),0,IF(IF($B7="Program",$V7,$J7)&gt;$K7*(1+Portfolio!$B$17),3,IF(IF($B7="Program",$V7,$J7)&gt;$K7,2,IF(AND($B7="Program",OR($W7&gt;0,$V7=0)),0,1)))))</f>
        <v/>
      </c>
      <c r="Z7" s="31">
        <f>IF($A7="",0,IF($C7="Portfolio",1,IF(AND($B7="Project",$C7&lt;&gt;"",$C7&lt;&gt;"Outside the portfolio"),IFERROR(IF(AND(INDEX($B$6:$B$305,MATCH($C7,$A$6:$A$305,0))="Program",INDEX($C$6:$C$305,MATCH($C7,$A$6:$A$305,0))="Portfolio"),1,0),0),0)))</f>
        <v/>
      </c>
      <c r="AA7" s="31">
        <f>IF(AND($A7&lt;&gt;"",$E7="",OR($Q7=1,$D7="Proposed")),1,0)</f>
        <v/>
      </c>
      <c r="AB7" s="31">
        <f>IF(AND($A7&lt;&gt;"",$B7="Program",$F7="",$Q7=1),1,0)</f>
        <v/>
      </c>
      <c r="AC7" s="31">
        <f>IF(OR($A7="",$D7="Completed",$D7="Terminated"),0,IF($C7="",1,IF($C7="Portfolio",0,IF($C7="Outside the portfolio",IF($Q7=1,2,0),IF($B7="Project",IF(IFERROR(INDEX($B$6:$B$305,MATCH($C7,$A$6:$A$305,0)),"")="Program",0,1),1)))))</f>
        <v/>
      </c>
      <c r="AD7" s="31">
        <f>IF(AND($A7&lt;&gt;"",OR($M7="■ Red",$M7="◧ Amber"),$L7=""),1,0)</f>
        <v/>
      </c>
      <c r="AE7" s="31">
        <f>$AA7+$AB7+IF($AC7&gt;0,1,0)+$AD7</f>
        <v/>
      </c>
      <c r="AJ7" s="14" t="n"/>
      <c r="AK7" s="29" t="n"/>
      <c r="AL7" s="31">
        <f>IF(AND($Q7=1,$Z7=1),1,0)</f>
        <v/>
      </c>
      <c r="AM7" s="31">
        <f>IF(AND($AL7=1,$AJ7&lt;&gt;""),MAX(0,TODAY()-$AJ7),"")</f>
        <v/>
      </c>
      <c r="AN7" s="31">
        <f>IF(OR($AL7=0,COUNT($AJ$6:$AJ$305)=0),0,IF($AJ7="",1,IF(TODAY()-$AJ7&gt;Board!$B$40,1,0)))</f>
        <v/>
      </c>
      <c r="AO7" s="31">
        <f>IF($AL7=0,0,IF($M7="■ Red",3,IF($M7="◧ Amber",2,IF($M7="□ On track",1,0))))</f>
        <v/>
      </c>
      <c r="AP7" s="31">
        <f>IF($AL7=0,0,IF($AK7="Will not hold",3,IF($AK7="At risk",2,IF($AK7="Will hold",1,0))))</f>
        <v/>
      </c>
      <c r="AQ7" s="31">
        <f>IF($AL7=0,"",IF($AO7=3,0,IF($AO7=2,1,IF(AND($AP7&gt;=2,$AP7&gt;$AO7),2,""))))</f>
        <v/>
      </c>
      <c r="AR7" s="31">
        <f>IF($AQ7="","",$AQ7*1000+7)</f>
        <v/>
      </c>
      <c r="AS7" s="31">
        <f>IF(AND($AL7=1,$AO7&gt;=2,$AP7&gt;=1,$AP7&lt;$AO7),1,0)</f>
        <v/>
      </c>
      <c r="AT7" s="31">
        <f>IF(AND($AL7=1,$AO7&gt;=2,$AP7=0),1,0)</f>
        <v/>
      </c>
      <c r="AU7" s="31">
        <f>IF(AND($AL7=1,$U7&lt;&gt;"",$U7&lt;TODAY()),1,0)</f>
        <v/>
      </c>
      <c r="AV7" s="31">
        <f>IF(OR($A7="",$AJ7="",Portfolio!$B$10=""),0,IF($AJ7&lt;=Portfolio!$B$10,0,IF(AND($D7="Completed",$Z7=1),1,IF(AND($D7="Terminated",$Z7=1),2,IF(AND($Q7=1,$Z7=0),3,0)))))</f>
        <v/>
      </c>
      <c r="AW7" s="31">
        <f>IF($AV7&gt;0,COUNTIF($AV$6:$AV7,"&gt;0"),"")</f>
        <v/>
      </c>
      <c r="AX7" s="31">
        <f>IF($AL7=0,"",IF(AND($B7="Project",$H7&lt;&gt;"",$H7&lt;TODAY()),"Planned finish "&amp;TEXT($H7,"d mmm")&amp;" has passed",IF($X7&gt;=2,(NETWORKDAYS($H7,$U7)-1)&amp;" working days past plan","")))</f>
        <v/>
      </c>
      <c r="AY7" s="31">
        <f>IF($AL7=0,"",IF($Y7&gt;=2,"Over budget by "&amp;TEXT(IF($B7="Program",$V7,$J7)-$K7,"#,##0"),""))</f>
        <v/>
      </c>
      <c r="AZ7" s="31">
        <f>IF(AND($AL7=1,$U7&lt;&gt;""),IF(AND(N($U7)&gt;=TODAY(),N($U7)&lt;=TODAY()+Board!$B$41),1,0),0)</f>
        <v/>
      </c>
    </row>
    <row r="8">
      <c r="A8" s="29" t="n"/>
      <c r="B8" s="29" t="n"/>
      <c r="C8" s="29" t="n"/>
      <c r="D8" s="29" t="n"/>
      <c r="E8" s="29" t="n"/>
      <c r="F8" s="29" t="n"/>
      <c r="G8" s="29" t="n"/>
      <c r="H8" s="30" t="n"/>
      <c r="I8" s="30" t="n"/>
      <c r="J8" s="19" t="n"/>
      <c r="K8" s="19" t="n"/>
      <c r="L8" s="26" t="n"/>
      <c r="M8" s="31">
        <f>IF($A8="","",IF($D8="","Not read",IF($Q8=0,"Not counted",IF(MAX($X8,$Y8)=3,"■ Red",IF(MAX($X8,$Y8)=2,"◧ Amber",IF(MAX($X8,$Y8)=1,"□ On track","Not read"))))))</f>
        <v/>
      </c>
      <c r="N8" s="31">
        <f>IF(OR($A8="",$B8&lt;&gt;"Program"),"","■ "&amp;COUNTIFS($C$6:$C$305,$A8,$M$6:$M$305,"■ Red")&amp;" Red, ◧ "&amp;COUNTIFS($C$6:$C$305,$A8,$M$6:$M$305,"◧ Amber")&amp;" Amber")</f>
        <v/>
      </c>
      <c r="O8" s="32">
        <f>IF(OR($A8="",$E8=""),"",COUNTIFS($E$6:$E$305,$E8,$D$6:$D$305,"Active")+COUNTIFS($E$6:$E$305,$E8,$D$6:$D$305,"Paused"))</f>
        <v/>
      </c>
      <c r="P8" s="31">
        <f>IF($A8="","",IF($AE8=0,"○ Clear",IF($AA8=1,"△ No owner",IF($AC8=1,"△ Check Sits under",IF($AC8=2,"△ Outside the portfolio",IF($AB8=1,"△ No sponsor","△ No variance note"))))&amp;IF($AE8&gt;1," (+"&amp;($AE8-1)&amp;" more)","")))</f>
        <v/>
      </c>
      <c r="Q8" s="31">
        <f>IF(AND($A8&lt;&gt;"",OR($D8="Active",$D8="Paused")),1,0)</f>
        <v/>
      </c>
      <c r="R8" s="31">
        <f>IFERROR(INDEX($A$6:$A$305,MATCH(1,$S$6:$S$305,0)),"")</f>
        <v/>
      </c>
      <c r="S8" s="31">
        <f>IF(AND($A8&lt;&gt;"",$B8="Program"),COUNTIFS($B$6:$B8,"Program",$A$6:$A8,"&lt;&gt;"),"")</f>
        <v/>
      </c>
      <c r="T8" s="33">
        <f>IF(AND($A8&lt;&gt;"",$B8="Program"),SUMPRODUCT(MAX(($C$6:$C$305=$A8)*($B$6:$B$305="Project")*($D$6:$D$305&lt;&gt;"Proposed")*$I$6:$I$305)),0)</f>
        <v/>
      </c>
      <c r="U8" s="33">
        <f>IF($I8&lt;&gt;"",$I8,IF($T8&gt;0,$T8,""))</f>
        <v/>
      </c>
      <c r="V8" s="31">
        <f>IF(AND($A8&lt;&gt;"",$B8="Program"),SUMIFS($J$6:$J$305,$C$6:$C$305,$A8,$B$6:$B$305,"Project",$D$6:$D$305,"&lt;&gt;Proposed"),0)</f>
        <v/>
      </c>
      <c r="W8" s="31">
        <f>IF(AND($A8&lt;&gt;"",$B8="Program"),COUNTIFS($C$6:$C$305,$A8,$B$6:$B$305,"Project",$D$6:$D$305,"&lt;&gt;Proposed")-COUNTIFS($C$6:$C$305,$A8,$B$6:$B$305,"Project",$D$6:$D$305,"&lt;&gt;Proposed",$J$6:$J$305,"&gt;=0"),0)</f>
        <v/>
      </c>
      <c r="X8" s="31">
        <f>IF(OR($Q8=0,$H8=""),0,IF(AND($B8="Project",$H8&lt;TODAY()),3,IF($U8="",0,IF($U8&lt;=$H8,1,IF(NETWORKDAYS($H8,$U8)-1&gt;IF($B8="Program",Portfolio!$B$16,Portfolio!$B$15),3,2)))))</f>
        <v/>
      </c>
      <c r="Y8" s="31">
        <f>IF(OR($Q8=0,$K8="",$K8=0),0,IF(AND($B8="Project",$J8=""),0,IF(IF($B8="Program",$V8,$J8)&gt;$K8*(1+Portfolio!$B$17),3,IF(IF($B8="Program",$V8,$J8)&gt;$K8,2,IF(AND($B8="Program",OR($W8&gt;0,$V8=0)),0,1)))))</f>
        <v/>
      </c>
      <c r="Z8" s="31">
        <f>IF($A8="",0,IF($C8="Portfolio",1,IF(AND($B8="Project",$C8&lt;&gt;"",$C8&lt;&gt;"Outside the portfolio"),IFERROR(IF(AND(INDEX($B$6:$B$305,MATCH($C8,$A$6:$A$305,0))="Program",INDEX($C$6:$C$305,MATCH($C8,$A$6:$A$305,0))="Portfolio"),1,0),0),0)))</f>
        <v/>
      </c>
      <c r="AA8" s="31">
        <f>IF(AND($A8&lt;&gt;"",$E8="",OR($Q8=1,$D8="Proposed")),1,0)</f>
        <v/>
      </c>
      <c r="AB8" s="31">
        <f>IF(AND($A8&lt;&gt;"",$B8="Program",$F8="",$Q8=1),1,0)</f>
        <v/>
      </c>
      <c r="AC8" s="31">
        <f>IF(OR($A8="",$D8="Completed",$D8="Terminated"),0,IF($C8="",1,IF($C8="Portfolio",0,IF($C8="Outside the portfolio",IF($Q8=1,2,0),IF($B8="Project",IF(IFERROR(INDEX($B$6:$B$305,MATCH($C8,$A$6:$A$305,0)),"")="Program",0,1),1)))))</f>
        <v/>
      </c>
      <c r="AD8" s="31">
        <f>IF(AND($A8&lt;&gt;"",OR($M8="■ Red",$M8="◧ Amber"),$L8=""),1,0)</f>
        <v/>
      </c>
      <c r="AE8" s="31">
        <f>$AA8+$AB8+IF($AC8&gt;0,1,0)+$AD8</f>
        <v/>
      </c>
      <c r="AJ8" s="14" t="n"/>
      <c r="AK8" s="29" t="n"/>
      <c r="AL8" s="31">
        <f>IF(AND($Q8=1,$Z8=1),1,0)</f>
        <v/>
      </c>
      <c r="AM8" s="31">
        <f>IF(AND($AL8=1,$AJ8&lt;&gt;""),MAX(0,TODAY()-$AJ8),"")</f>
        <v/>
      </c>
      <c r="AN8" s="31">
        <f>IF(OR($AL8=0,COUNT($AJ$6:$AJ$305)=0),0,IF($AJ8="",1,IF(TODAY()-$AJ8&gt;Board!$B$40,1,0)))</f>
        <v/>
      </c>
      <c r="AO8" s="31">
        <f>IF($AL8=0,0,IF($M8="■ Red",3,IF($M8="◧ Amber",2,IF($M8="□ On track",1,0))))</f>
        <v/>
      </c>
      <c r="AP8" s="31">
        <f>IF($AL8=0,0,IF($AK8="Will not hold",3,IF($AK8="At risk",2,IF($AK8="Will hold",1,0))))</f>
        <v/>
      </c>
      <c r="AQ8" s="31">
        <f>IF($AL8=0,"",IF($AO8=3,0,IF($AO8=2,1,IF(AND($AP8&gt;=2,$AP8&gt;$AO8),2,""))))</f>
        <v/>
      </c>
      <c r="AR8" s="31">
        <f>IF($AQ8="","",$AQ8*1000+8)</f>
        <v/>
      </c>
      <c r="AS8" s="31">
        <f>IF(AND($AL8=1,$AO8&gt;=2,$AP8&gt;=1,$AP8&lt;$AO8),1,0)</f>
        <v/>
      </c>
      <c r="AT8" s="31">
        <f>IF(AND($AL8=1,$AO8&gt;=2,$AP8=0),1,0)</f>
        <v/>
      </c>
      <c r="AU8" s="31">
        <f>IF(AND($AL8=1,$U8&lt;&gt;"",$U8&lt;TODAY()),1,0)</f>
        <v/>
      </c>
      <c r="AV8" s="31">
        <f>IF(OR($A8="",$AJ8="",Portfolio!$B$10=""),0,IF($AJ8&lt;=Portfolio!$B$10,0,IF(AND($D8="Completed",$Z8=1),1,IF(AND($D8="Terminated",$Z8=1),2,IF(AND($Q8=1,$Z8=0),3,0)))))</f>
        <v/>
      </c>
      <c r="AW8" s="31">
        <f>IF($AV8&gt;0,COUNTIF($AV$6:$AV8,"&gt;0"),"")</f>
        <v/>
      </c>
      <c r="AX8" s="31">
        <f>IF($AL8=0,"",IF(AND($B8="Project",$H8&lt;&gt;"",$H8&lt;TODAY()),"Planned finish "&amp;TEXT($H8,"d mmm")&amp;" has passed",IF($X8&gt;=2,(NETWORKDAYS($H8,$U8)-1)&amp;" working days past plan","")))</f>
        <v/>
      </c>
      <c r="AY8" s="31">
        <f>IF($AL8=0,"",IF($Y8&gt;=2,"Over budget by "&amp;TEXT(IF($B8="Program",$V8,$J8)-$K8,"#,##0"),""))</f>
        <v/>
      </c>
      <c r="AZ8" s="31">
        <f>IF(AND($AL8=1,$U8&lt;&gt;""),IF(AND(N($U8)&gt;=TODAY(),N($U8)&lt;=TODAY()+Board!$B$41),1,0),0)</f>
        <v/>
      </c>
    </row>
    <row r="9">
      <c r="A9" s="29" t="n"/>
      <c r="B9" s="29" t="n"/>
      <c r="C9" s="29" t="n"/>
      <c r="D9" s="29" t="n"/>
      <c r="E9" s="29" t="n"/>
      <c r="F9" s="29" t="n"/>
      <c r="G9" s="29" t="n"/>
      <c r="H9" s="30" t="n"/>
      <c r="I9" s="30" t="n"/>
      <c r="J9" s="19" t="n"/>
      <c r="K9" s="19" t="n"/>
      <c r="L9" s="26" t="n"/>
      <c r="M9" s="31">
        <f>IF($A9="","",IF($D9="","Not read",IF($Q9=0,"Not counted",IF(MAX($X9,$Y9)=3,"■ Red",IF(MAX($X9,$Y9)=2,"◧ Amber",IF(MAX($X9,$Y9)=1,"□ On track","Not read"))))))</f>
        <v/>
      </c>
      <c r="N9" s="31">
        <f>IF(OR($A9="",$B9&lt;&gt;"Program"),"","■ "&amp;COUNTIFS($C$6:$C$305,$A9,$M$6:$M$305,"■ Red")&amp;" Red, ◧ "&amp;COUNTIFS($C$6:$C$305,$A9,$M$6:$M$305,"◧ Amber")&amp;" Amber")</f>
        <v/>
      </c>
      <c r="O9" s="32">
        <f>IF(OR($A9="",$E9=""),"",COUNTIFS($E$6:$E$305,$E9,$D$6:$D$305,"Active")+COUNTIFS($E$6:$E$305,$E9,$D$6:$D$305,"Paused"))</f>
        <v/>
      </c>
      <c r="P9" s="31">
        <f>IF($A9="","",IF($AE9=0,"○ Clear",IF($AA9=1,"△ No owner",IF($AC9=1,"△ Check Sits under",IF($AC9=2,"△ Outside the portfolio",IF($AB9=1,"△ No sponsor","△ No variance note"))))&amp;IF($AE9&gt;1," (+"&amp;($AE9-1)&amp;" more)","")))</f>
        <v/>
      </c>
      <c r="Q9" s="31">
        <f>IF(AND($A9&lt;&gt;"",OR($D9="Active",$D9="Paused")),1,0)</f>
        <v/>
      </c>
      <c r="R9" s="31">
        <f>IFERROR(INDEX($A$6:$A$305,MATCH(2,$S$6:$S$305,0)),"")</f>
        <v/>
      </c>
      <c r="S9" s="31">
        <f>IF(AND($A9&lt;&gt;"",$B9="Program"),COUNTIFS($B$6:$B9,"Program",$A$6:$A9,"&lt;&gt;"),"")</f>
        <v/>
      </c>
      <c r="T9" s="33">
        <f>IF(AND($A9&lt;&gt;"",$B9="Program"),SUMPRODUCT(MAX(($C$6:$C$305=$A9)*($B$6:$B$305="Project")*($D$6:$D$305&lt;&gt;"Proposed")*$I$6:$I$305)),0)</f>
        <v/>
      </c>
      <c r="U9" s="33">
        <f>IF($I9&lt;&gt;"",$I9,IF($T9&gt;0,$T9,""))</f>
        <v/>
      </c>
      <c r="V9" s="31">
        <f>IF(AND($A9&lt;&gt;"",$B9="Program"),SUMIFS($J$6:$J$305,$C$6:$C$305,$A9,$B$6:$B$305,"Project",$D$6:$D$305,"&lt;&gt;Proposed"),0)</f>
        <v/>
      </c>
      <c r="W9" s="31">
        <f>IF(AND($A9&lt;&gt;"",$B9="Program"),COUNTIFS($C$6:$C$305,$A9,$B$6:$B$305,"Project",$D$6:$D$305,"&lt;&gt;Proposed")-COUNTIFS($C$6:$C$305,$A9,$B$6:$B$305,"Project",$D$6:$D$305,"&lt;&gt;Proposed",$J$6:$J$305,"&gt;=0"),0)</f>
        <v/>
      </c>
      <c r="X9" s="31">
        <f>IF(OR($Q9=0,$H9=""),0,IF(AND($B9="Project",$H9&lt;TODAY()),3,IF($U9="",0,IF($U9&lt;=$H9,1,IF(NETWORKDAYS($H9,$U9)-1&gt;IF($B9="Program",Portfolio!$B$16,Portfolio!$B$15),3,2)))))</f>
        <v/>
      </c>
      <c r="Y9" s="31">
        <f>IF(OR($Q9=0,$K9="",$K9=0),0,IF(AND($B9="Project",$J9=""),0,IF(IF($B9="Program",$V9,$J9)&gt;$K9*(1+Portfolio!$B$17),3,IF(IF($B9="Program",$V9,$J9)&gt;$K9,2,IF(AND($B9="Program",OR($W9&gt;0,$V9=0)),0,1)))))</f>
        <v/>
      </c>
      <c r="Z9" s="31">
        <f>IF($A9="",0,IF($C9="Portfolio",1,IF(AND($B9="Project",$C9&lt;&gt;"",$C9&lt;&gt;"Outside the portfolio"),IFERROR(IF(AND(INDEX($B$6:$B$305,MATCH($C9,$A$6:$A$305,0))="Program",INDEX($C$6:$C$305,MATCH($C9,$A$6:$A$305,0))="Portfolio"),1,0),0),0)))</f>
        <v/>
      </c>
      <c r="AA9" s="31">
        <f>IF(AND($A9&lt;&gt;"",$E9="",OR($Q9=1,$D9="Proposed")),1,0)</f>
        <v/>
      </c>
      <c r="AB9" s="31">
        <f>IF(AND($A9&lt;&gt;"",$B9="Program",$F9="",$Q9=1),1,0)</f>
        <v/>
      </c>
      <c r="AC9" s="31">
        <f>IF(OR($A9="",$D9="Completed",$D9="Terminated"),0,IF($C9="",1,IF($C9="Portfolio",0,IF($C9="Outside the portfolio",IF($Q9=1,2,0),IF($B9="Project",IF(IFERROR(INDEX($B$6:$B$305,MATCH($C9,$A$6:$A$305,0)),"")="Program",0,1),1)))))</f>
        <v/>
      </c>
      <c r="AD9" s="31">
        <f>IF(AND($A9&lt;&gt;"",OR($M9="■ Red",$M9="◧ Amber"),$L9=""),1,0)</f>
        <v/>
      </c>
      <c r="AE9" s="31">
        <f>$AA9+$AB9+IF($AC9&gt;0,1,0)+$AD9</f>
        <v/>
      </c>
      <c r="AJ9" s="14" t="n"/>
      <c r="AK9" s="29" t="n"/>
      <c r="AL9" s="31">
        <f>IF(AND($Q9=1,$Z9=1),1,0)</f>
        <v/>
      </c>
      <c r="AM9" s="31">
        <f>IF(AND($AL9=1,$AJ9&lt;&gt;""),MAX(0,TODAY()-$AJ9),"")</f>
        <v/>
      </c>
      <c r="AN9" s="31">
        <f>IF(OR($AL9=0,COUNT($AJ$6:$AJ$305)=0),0,IF($AJ9="",1,IF(TODAY()-$AJ9&gt;Board!$B$40,1,0)))</f>
        <v/>
      </c>
      <c r="AO9" s="31">
        <f>IF($AL9=0,0,IF($M9="■ Red",3,IF($M9="◧ Amber",2,IF($M9="□ On track",1,0))))</f>
        <v/>
      </c>
      <c r="AP9" s="31">
        <f>IF($AL9=0,0,IF($AK9="Will not hold",3,IF($AK9="At risk",2,IF($AK9="Will hold",1,0))))</f>
        <v/>
      </c>
      <c r="AQ9" s="31">
        <f>IF($AL9=0,"",IF($AO9=3,0,IF($AO9=2,1,IF(AND($AP9&gt;=2,$AP9&gt;$AO9),2,""))))</f>
        <v/>
      </c>
      <c r="AR9" s="31">
        <f>IF($AQ9="","",$AQ9*1000+9)</f>
        <v/>
      </c>
      <c r="AS9" s="31">
        <f>IF(AND($AL9=1,$AO9&gt;=2,$AP9&gt;=1,$AP9&lt;$AO9),1,0)</f>
        <v/>
      </c>
      <c r="AT9" s="31">
        <f>IF(AND($AL9=1,$AO9&gt;=2,$AP9=0),1,0)</f>
        <v/>
      </c>
      <c r="AU9" s="31">
        <f>IF(AND($AL9=1,$U9&lt;&gt;"",$U9&lt;TODAY()),1,0)</f>
        <v/>
      </c>
      <c r="AV9" s="31">
        <f>IF(OR($A9="",$AJ9="",Portfolio!$B$10=""),0,IF($AJ9&lt;=Portfolio!$B$10,0,IF(AND($D9="Completed",$Z9=1),1,IF(AND($D9="Terminated",$Z9=1),2,IF(AND($Q9=1,$Z9=0),3,0)))))</f>
        <v/>
      </c>
      <c r="AW9" s="31">
        <f>IF($AV9&gt;0,COUNTIF($AV$6:$AV9,"&gt;0"),"")</f>
        <v/>
      </c>
      <c r="AX9" s="31">
        <f>IF($AL9=0,"",IF(AND($B9="Project",$H9&lt;&gt;"",$H9&lt;TODAY()),"Planned finish "&amp;TEXT($H9,"d mmm")&amp;" has passed",IF($X9&gt;=2,(NETWORKDAYS($H9,$U9)-1)&amp;" working days past plan","")))</f>
        <v/>
      </c>
      <c r="AY9" s="31">
        <f>IF($AL9=0,"",IF($Y9&gt;=2,"Over budget by "&amp;TEXT(IF($B9="Program",$V9,$J9)-$K9,"#,##0"),""))</f>
        <v/>
      </c>
      <c r="AZ9" s="31">
        <f>IF(AND($AL9=1,$U9&lt;&gt;""),IF(AND(N($U9)&gt;=TODAY(),N($U9)&lt;=TODAY()+Board!$B$41),1,0),0)</f>
        <v/>
      </c>
    </row>
    <row r="10">
      <c r="A10" s="29" t="n"/>
      <c r="B10" s="29" t="n"/>
      <c r="C10" s="29" t="n"/>
      <c r="D10" s="29" t="n"/>
      <c r="E10" s="29" t="n"/>
      <c r="F10" s="29" t="n"/>
      <c r="G10" s="29" t="n"/>
      <c r="H10" s="30" t="n"/>
      <c r="I10" s="30" t="n"/>
      <c r="J10" s="19" t="n"/>
      <c r="K10" s="19" t="n"/>
      <c r="L10" s="26" t="n"/>
      <c r="M10" s="31">
        <f>IF($A10="","",IF($D10="","Not read",IF($Q10=0,"Not counted",IF(MAX($X10,$Y10)=3,"■ Red",IF(MAX($X10,$Y10)=2,"◧ Amber",IF(MAX($X10,$Y10)=1,"□ On track","Not read"))))))</f>
        <v/>
      </c>
      <c r="N10" s="31">
        <f>IF(OR($A10="",$B10&lt;&gt;"Program"),"","■ "&amp;COUNTIFS($C$6:$C$305,$A10,$M$6:$M$305,"■ Red")&amp;" Red, ◧ "&amp;COUNTIFS($C$6:$C$305,$A10,$M$6:$M$305,"◧ Amber")&amp;" Amber")</f>
        <v/>
      </c>
      <c r="O10" s="32">
        <f>IF(OR($A10="",$E10=""),"",COUNTIFS($E$6:$E$305,$E10,$D$6:$D$305,"Active")+COUNTIFS($E$6:$E$305,$E10,$D$6:$D$305,"Paused"))</f>
        <v/>
      </c>
      <c r="P10" s="31">
        <f>IF($A10="","",IF($AE10=0,"○ Clear",IF($AA10=1,"△ No owner",IF($AC10=1,"△ Check Sits under",IF($AC10=2,"△ Outside the portfolio",IF($AB10=1,"△ No sponsor","△ No variance note"))))&amp;IF($AE10&gt;1," (+"&amp;($AE10-1)&amp;" more)","")))</f>
        <v/>
      </c>
      <c r="Q10" s="31">
        <f>IF(AND($A10&lt;&gt;"",OR($D10="Active",$D10="Paused")),1,0)</f>
        <v/>
      </c>
      <c r="R10" s="31">
        <f>IFERROR(INDEX($A$6:$A$305,MATCH(3,$S$6:$S$305,0)),"")</f>
        <v/>
      </c>
      <c r="S10" s="31">
        <f>IF(AND($A10&lt;&gt;"",$B10="Program"),COUNTIFS($B$6:$B10,"Program",$A$6:$A10,"&lt;&gt;"),"")</f>
        <v/>
      </c>
      <c r="T10" s="33">
        <f>IF(AND($A10&lt;&gt;"",$B10="Program"),SUMPRODUCT(MAX(($C$6:$C$305=$A10)*($B$6:$B$305="Project")*($D$6:$D$305&lt;&gt;"Proposed")*$I$6:$I$305)),0)</f>
        <v/>
      </c>
      <c r="U10" s="33">
        <f>IF($I10&lt;&gt;"",$I10,IF($T10&gt;0,$T10,""))</f>
        <v/>
      </c>
      <c r="V10" s="31">
        <f>IF(AND($A10&lt;&gt;"",$B10="Program"),SUMIFS($J$6:$J$305,$C$6:$C$305,$A10,$B$6:$B$305,"Project",$D$6:$D$305,"&lt;&gt;Proposed"),0)</f>
        <v/>
      </c>
      <c r="W10" s="31">
        <f>IF(AND($A10&lt;&gt;"",$B10="Program"),COUNTIFS($C$6:$C$305,$A10,$B$6:$B$305,"Project",$D$6:$D$305,"&lt;&gt;Proposed")-COUNTIFS($C$6:$C$305,$A10,$B$6:$B$305,"Project",$D$6:$D$305,"&lt;&gt;Proposed",$J$6:$J$305,"&gt;=0"),0)</f>
        <v/>
      </c>
      <c r="X10" s="31">
        <f>IF(OR($Q10=0,$H10=""),0,IF(AND($B10="Project",$H10&lt;TODAY()),3,IF($U10="",0,IF($U10&lt;=$H10,1,IF(NETWORKDAYS($H10,$U10)-1&gt;IF($B10="Program",Portfolio!$B$16,Portfolio!$B$15),3,2)))))</f>
        <v/>
      </c>
      <c r="Y10" s="31">
        <f>IF(OR($Q10=0,$K10="",$K10=0),0,IF(AND($B10="Project",$J10=""),0,IF(IF($B10="Program",$V10,$J10)&gt;$K10*(1+Portfolio!$B$17),3,IF(IF($B10="Program",$V10,$J10)&gt;$K10,2,IF(AND($B10="Program",OR($W10&gt;0,$V10=0)),0,1)))))</f>
        <v/>
      </c>
      <c r="Z10" s="31">
        <f>IF($A10="",0,IF($C10="Portfolio",1,IF(AND($B10="Project",$C10&lt;&gt;"",$C10&lt;&gt;"Outside the portfolio"),IFERROR(IF(AND(INDEX($B$6:$B$305,MATCH($C10,$A$6:$A$305,0))="Program",INDEX($C$6:$C$305,MATCH($C10,$A$6:$A$305,0))="Portfolio"),1,0),0),0)))</f>
        <v/>
      </c>
      <c r="AA10" s="31">
        <f>IF(AND($A10&lt;&gt;"",$E10="",OR($Q10=1,$D10="Proposed")),1,0)</f>
        <v/>
      </c>
      <c r="AB10" s="31">
        <f>IF(AND($A10&lt;&gt;"",$B10="Program",$F10="",$Q10=1),1,0)</f>
        <v/>
      </c>
      <c r="AC10" s="31">
        <f>IF(OR($A10="",$D10="Completed",$D10="Terminated"),0,IF($C10="",1,IF($C10="Portfolio",0,IF($C10="Outside the portfolio",IF($Q10=1,2,0),IF($B10="Project",IF(IFERROR(INDEX($B$6:$B$305,MATCH($C10,$A$6:$A$305,0)),"")="Program",0,1),1)))))</f>
        <v/>
      </c>
      <c r="AD10" s="31">
        <f>IF(AND($A10&lt;&gt;"",OR($M10="■ Red",$M10="◧ Amber"),$L10=""),1,0)</f>
        <v/>
      </c>
      <c r="AE10" s="31">
        <f>$AA10+$AB10+IF($AC10&gt;0,1,0)+$AD10</f>
        <v/>
      </c>
      <c r="AJ10" s="14" t="n"/>
      <c r="AK10" s="29" t="n"/>
      <c r="AL10" s="31">
        <f>IF(AND($Q10=1,$Z10=1),1,0)</f>
        <v/>
      </c>
      <c r="AM10" s="31">
        <f>IF(AND($AL10=1,$AJ10&lt;&gt;""),MAX(0,TODAY()-$AJ10),"")</f>
        <v/>
      </c>
      <c r="AN10" s="31">
        <f>IF(OR($AL10=0,COUNT($AJ$6:$AJ$305)=0),0,IF($AJ10="",1,IF(TODAY()-$AJ10&gt;Board!$B$40,1,0)))</f>
        <v/>
      </c>
      <c r="AO10" s="31">
        <f>IF($AL10=0,0,IF($M10="■ Red",3,IF($M10="◧ Amber",2,IF($M10="□ On track",1,0))))</f>
        <v/>
      </c>
      <c r="AP10" s="31">
        <f>IF($AL10=0,0,IF($AK10="Will not hold",3,IF($AK10="At risk",2,IF($AK10="Will hold",1,0))))</f>
        <v/>
      </c>
      <c r="AQ10" s="31">
        <f>IF($AL10=0,"",IF($AO10=3,0,IF($AO10=2,1,IF(AND($AP10&gt;=2,$AP10&gt;$AO10),2,""))))</f>
        <v/>
      </c>
      <c r="AR10" s="31">
        <f>IF($AQ10="","",$AQ10*1000+10)</f>
        <v/>
      </c>
      <c r="AS10" s="31">
        <f>IF(AND($AL10=1,$AO10&gt;=2,$AP10&gt;=1,$AP10&lt;$AO10),1,0)</f>
        <v/>
      </c>
      <c r="AT10" s="31">
        <f>IF(AND($AL10=1,$AO10&gt;=2,$AP10=0),1,0)</f>
        <v/>
      </c>
      <c r="AU10" s="31">
        <f>IF(AND($AL10=1,$U10&lt;&gt;"",$U10&lt;TODAY()),1,0)</f>
        <v/>
      </c>
      <c r="AV10" s="31">
        <f>IF(OR($A10="",$AJ10="",Portfolio!$B$10=""),0,IF($AJ10&lt;=Portfolio!$B$10,0,IF(AND($D10="Completed",$Z10=1),1,IF(AND($D10="Terminated",$Z10=1),2,IF(AND($Q10=1,$Z10=0),3,0)))))</f>
        <v/>
      </c>
      <c r="AW10" s="31">
        <f>IF($AV10&gt;0,COUNTIF($AV$6:$AV10,"&gt;0"),"")</f>
        <v/>
      </c>
      <c r="AX10" s="31">
        <f>IF($AL10=0,"",IF(AND($B10="Project",$H10&lt;&gt;"",$H10&lt;TODAY()),"Planned finish "&amp;TEXT($H10,"d mmm")&amp;" has passed",IF($X10&gt;=2,(NETWORKDAYS($H10,$U10)-1)&amp;" working days past plan","")))</f>
        <v/>
      </c>
      <c r="AY10" s="31">
        <f>IF($AL10=0,"",IF($Y10&gt;=2,"Over budget by "&amp;TEXT(IF($B10="Program",$V10,$J10)-$K10,"#,##0"),""))</f>
        <v/>
      </c>
      <c r="AZ10" s="31">
        <f>IF(AND($AL10=1,$U10&lt;&gt;""),IF(AND(N($U10)&gt;=TODAY(),N($U10)&lt;=TODAY()+Board!$B$41),1,0),0)</f>
        <v/>
      </c>
    </row>
    <row r="11">
      <c r="A11" s="29" t="n"/>
      <c r="B11" s="29" t="n"/>
      <c r="C11" s="29" t="n"/>
      <c r="D11" s="29" t="n"/>
      <c r="E11" s="29" t="n"/>
      <c r="F11" s="29" t="n"/>
      <c r="G11" s="29" t="n"/>
      <c r="H11" s="30" t="n"/>
      <c r="I11" s="30" t="n"/>
      <c r="J11" s="19" t="n"/>
      <c r="K11" s="19" t="n"/>
      <c r="L11" s="26" t="n"/>
      <c r="M11" s="31">
        <f>IF($A11="","",IF($D11="","Not read",IF($Q11=0,"Not counted",IF(MAX($X11,$Y11)=3,"■ Red",IF(MAX($X11,$Y11)=2,"◧ Amber",IF(MAX($X11,$Y11)=1,"□ On track","Not read"))))))</f>
        <v/>
      </c>
      <c r="N11" s="31">
        <f>IF(OR($A11="",$B11&lt;&gt;"Program"),"","■ "&amp;COUNTIFS($C$6:$C$305,$A11,$M$6:$M$305,"■ Red")&amp;" Red, ◧ "&amp;COUNTIFS($C$6:$C$305,$A11,$M$6:$M$305,"◧ Amber")&amp;" Amber")</f>
        <v/>
      </c>
      <c r="O11" s="32">
        <f>IF(OR($A11="",$E11=""),"",COUNTIFS($E$6:$E$305,$E11,$D$6:$D$305,"Active")+COUNTIFS($E$6:$E$305,$E11,$D$6:$D$305,"Paused"))</f>
        <v/>
      </c>
      <c r="P11" s="31">
        <f>IF($A11="","",IF($AE11=0,"○ Clear",IF($AA11=1,"△ No owner",IF($AC11=1,"△ Check Sits under",IF($AC11=2,"△ Outside the portfolio",IF($AB11=1,"△ No sponsor","△ No variance note"))))&amp;IF($AE11&gt;1," (+"&amp;($AE11-1)&amp;" more)","")))</f>
        <v/>
      </c>
      <c r="Q11" s="31">
        <f>IF(AND($A11&lt;&gt;"",OR($D11="Active",$D11="Paused")),1,0)</f>
        <v/>
      </c>
      <c r="R11" s="31">
        <f>IFERROR(INDEX($A$6:$A$305,MATCH(4,$S$6:$S$305,0)),"")</f>
        <v/>
      </c>
      <c r="S11" s="31">
        <f>IF(AND($A11&lt;&gt;"",$B11="Program"),COUNTIFS($B$6:$B11,"Program",$A$6:$A11,"&lt;&gt;"),"")</f>
        <v/>
      </c>
      <c r="T11" s="33">
        <f>IF(AND($A11&lt;&gt;"",$B11="Program"),SUMPRODUCT(MAX(($C$6:$C$305=$A11)*($B$6:$B$305="Project")*($D$6:$D$305&lt;&gt;"Proposed")*$I$6:$I$305)),0)</f>
        <v/>
      </c>
      <c r="U11" s="33">
        <f>IF($I11&lt;&gt;"",$I11,IF($T11&gt;0,$T11,""))</f>
        <v/>
      </c>
      <c r="V11" s="31">
        <f>IF(AND($A11&lt;&gt;"",$B11="Program"),SUMIFS($J$6:$J$305,$C$6:$C$305,$A11,$B$6:$B$305,"Project",$D$6:$D$305,"&lt;&gt;Proposed"),0)</f>
        <v/>
      </c>
      <c r="W11" s="31">
        <f>IF(AND($A11&lt;&gt;"",$B11="Program"),COUNTIFS($C$6:$C$305,$A11,$B$6:$B$305,"Project",$D$6:$D$305,"&lt;&gt;Proposed")-COUNTIFS($C$6:$C$305,$A11,$B$6:$B$305,"Project",$D$6:$D$305,"&lt;&gt;Proposed",$J$6:$J$305,"&gt;=0"),0)</f>
        <v/>
      </c>
      <c r="X11" s="31">
        <f>IF(OR($Q11=0,$H11=""),0,IF(AND($B11="Project",$H11&lt;TODAY()),3,IF($U11="",0,IF($U11&lt;=$H11,1,IF(NETWORKDAYS($H11,$U11)-1&gt;IF($B11="Program",Portfolio!$B$16,Portfolio!$B$15),3,2)))))</f>
        <v/>
      </c>
      <c r="Y11" s="31">
        <f>IF(OR($Q11=0,$K11="",$K11=0),0,IF(AND($B11="Project",$J11=""),0,IF(IF($B11="Program",$V11,$J11)&gt;$K11*(1+Portfolio!$B$17),3,IF(IF($B11="Program",$V11,$J11)&gt;$K11,2,IF(AND($B11="Program",OR($W11&gt;0,$V11=0)),0,1)))))</f>
        <v/>
      </c>
      <c r="Z11" s="31">
        <f>IF($A11="",0,IF($C11="Portfolio",1,IF(AND($B11="Project",$C11&lt;&gt;"",$C11&lt;&gt;"Outside the portfolio"),IFERROR(IF(AND(INDEX($B$6:$B$305,MATCH($C11,$A$6:$A$305,0))="Program",INDEX($C$6:$C$305,MATCH($C11,$A$6:$A$305,0))="Portfolio"),1,0),0),0)))</f>
        <v/>
      </c>
      <c r="AA11" s="31">
        <f>IF(AND($A11&lt;&gt;"",$E11="",OR($Q11=1,$D11="Proposed")),1,0)</f>
        <v/>
      </c>
      <c r="AB11" s="31">
        <f>IF(AND($A11&lt;&gt;"",$B11="Program",$F11="",$Q11=1),1,0)</f>
        <v/>
      </c>
      <c r="AC11" s="31">
        <f>IF(OR($A11="",$D11="Completed",$D11="Terminated"),0,IF($C11="",1,IF($C11="Portfolio",0,IF($C11="Outside the portfolio",IF($Q11=1,2,0),IF($B11="Project",IF(IFERROR(INDEX($B$6:$B$305,MATCH($C11,$A$6:$A$305,0)),"")="Program",0,1),1)))))</f>
        <v/>
      </c>
      <c r="AD11" s="31">
        <f>IF(AND($A11&lt;&gt;"",OR($M11="■ Red",$M11="◧ Amber"),$L11=""),1,0)</f>
        <v/>
      </c>
      <c r="AE11" s="31">
        <f>$AA11+$AB11+IF($AC11&gt;0,1,0)+$AD11</f>
        <v/>
      </c>
      <c r="AJ11" s="14" t="n"/>
      <c r="AK11" s="29" t="n"/>
      <c r="AL11" s="31">
        <f>IF(AND($Q11=1,$Z11=1),1,0)</f>
        <v/>
      </c>
      <c r="AM11" s="31">
        <f>IF(AND($AL11=1,$AJ11&lt;&gt;""),MAX(0,TODAY()-$AJ11),"")</f>
        <v/>
      </c>
      <c r="AN11" s="31">
        <f>IF(OR($AL11=0,COUNT($AJ$6:$AJ$305)=0),0,IF($AJ11="",1,IF(TODAY()-$AJ11&gt;Board!$B$40,1,0)))</f>
        <v/>
      </c>
      <c r="AO11" s="31">
        <f>IF($AL11=0,0,IF($M11="■ Red",3,IF($M11="◧ Amber",2,IF($M11="□ On track",1,0))))</f>
        <v/>
      </c>
      <c r="AP11" s="31">
        <f>IF($AL11=0,0,IF($AK11="Will not hold",3,IF($AK11="At risk",2,IF($AK11="Will hold",1,0))))</f>
        <v/>
      </c>
      <c r="AQ11" s="31">
        <f>IF($AL11=0,"",IF($AO11=3,0,IF($AO11=2,1,IF(AND($AP11&gt;=2,$AP11&gt;$AO11),2,""))))</f>
        <v/>
      </c>
      <c r="AR11" s="31">
        <f>IF($AQ11="","",$AQ11*1000+11)</f>
        <v/>
      </c>
      <c r="AS11" s="31">
        <f>IF(AND($AL11=1,$AO11&gt;=2,$AP11&gt;=1,$AP11&lt;$AO11),1,0)</f>
        <v/>
      </c>
      <c r="AT11" s="31">
        <f>IF(AND($AL11=1,$AO11&gt;=2,$AP11=0),1,0)</f>
        <v/>
      </c>
      <c r="AU11" s="31">
        <f>IF(AND($AL11=1,$U11&lt;&gt;"",$U11&lt;TODAY()),1,0)</f>
        <v/>
      </c>
      <c r="AV11" s="31">
        <f>IF(OR($A11="",$AJ11="",Portfolio!$B$10=""),0,IF($AJ11&lt;=Portfolio!$B$10,0,IF(AND($D11="Completed",$Z11=1),1,IF(AND($D11="Terminated",$Z11=1),2,IF(AND($Q11=1,$Z11=0),3,0)))))</f>
        <v/>
      </c>
      <c r="AW11" s="31">
        <f>IF($AV11&gt;0,COUNTIF($AV$6:$AV11,"&gt;0"),"")</f>
        <v/>
      </c>
      <c r="AX11" s="31">
        <f>IF($AL11=0,"",IF(AND($B11="Project",$H11&lt;&gt;"",$H11&lt;TODAY()),"Planned finish "&amp;TEXT($H11,"d mmm")&amp;" has passed",IF($X11&gt;=2,(NETWORKDAYS($H11,$U11)-1)&amp;" working days past plan","")))</f>
        <v/>
      </c>
      <c r="AY11" s="31">
        <f>IF($AL11=0,"",IF($Y11&gt;=2,"Over budget by "&amp;TEXT(IF($B11="Program",$V11,$J11)-$K11,"#,##0"),""))</f>
        <v/>
      </c>
      <c r="AZ11" s="31">
        <f>IF(AND($AL11=1,$U11&lt;&gt;""),IF(AND(N($U11)&gt;=TODAY(),N($U11)&lt;=TODAY()+Board!$B$41),1,0),0)</f>
        <v/>
      </c>
    </row>
    <row r="12">
      <c r="A12" s="29" t="n"/>
      <c r="B12" s="29" t="n"/>
      <c r="C12" s="29" t="n"/>
      <c r="D12" s="29" t="n"/>
      <c r="E12" s="29" t="n"/>
      <c r="F12" s="29" t="n"/>
      <c r="G12" s="29" t="n"/>
      <c r="H12" s="30" t="n"/>
      <c r="I12" s="30" t="n"/>
      <c r="J12" s="19" t="n"/>
      <c r="K12" s="19" t="n"/>
      <c r="L12" s="26" t="n"/>
      <c r="M12" s="31">
        <f>IF($A12="","",IF($D12="","Not read",IF($Q12=0,"Not counted",IF(MAX($X12,$Y12)=3,"■ Red",IF(MAX($X12,$Y12)=2,"◧ Amber",IF(MAX($X12,$Y12)=1,"□ On track","Not read"))))))</f>
        <v/>
      </c>
      <c r="N12" s="31">
        <f>IF(OR($A12="",$B12&lt;&gt;"Program"),"","■ "&amp;COUNTIFS($C$6:$C$305,$A12,$M$6:$M$305,"■ Red")&amp;" Red, ◧ "&amp;COUNTIFS($C$6:$C$305,$A12,$M$6:$M$305,"◧ Amber")&amp;" Amber")</f>
        <v/>
      </c>
      <c r="O12" s="32">
        <f>IF(OR($A12="",$E12=""),"",COUNTIFS($E$6:$E$305,$E12,$D$6:$D$305,"Active")+COUNTIFS($E$6:$E$305,$E12,$D$6:$D$305,"Paused"))</f>
        <v/>
      </c>
      <c r="P12" s="31">
        <f>IF($A12="","",IF($AE12=0,"○ Clear",IF($AA12=1,"△ No owner",IF($AC12=1,"△ Check Sits under",IF($AC12=2,"△ Outside the portfolio",IF($AB12=1,"△ No sponsor","△ No variance note"))))&amp;IF($AE12&gt;1," (+"&amp;($AE12-1)&amp;" more)","")))</f>
        <v/>
      </c>
      <c r="Q12" s="31">
        <f>IF(AND($A12&lt;&gt;"",OR($D12="Active",$D12="Paused")),1,0)</f>
        <v/>
      </c>
      <c r="R12" s="31">
        <f>IFERROR(INDEX($A$6:$A$305,MATCH(5,$S$6:$S$305,0)),"")</f>
        <v/>
      </c>
      <c r="S12" s="31">
        <f>IF(AND($A12&lt;&gt;"",$B12="Program"),COUNTIFS($B$6:$B12,"Program",$A$6:$A12,"&lt;&gt;"),"")</f>
        <v/>
      </c>
      <c r="T12" s="33">
        <f>IF(AND($A12&lt;&gt;"",$B12="Program"),SUMPRODUCT(MAX(($C$6:$C$305=$A12)*($B$6:$B$305="Project")*($D$6:$D$305&lt;&gt;"Proposed")*$I$6:$I$305)),0)</f>
        <v/>
      </c>
      <c r="U12" s="33">
        <f>IF($I12&lt;&gt;"",$I12,IF($T12&gt;0,$T12,""))</f>
        <v/>
      </c>
      <c r="V12" s="31">
        <f>IF(AND($A12&lt;&gt;"",$B12="Program"),SUMIFS($J$6:$J$305,$C$6:$C$305,$A12,$B$6:$B$305,"Project",$D$6:$D$305,"&lt;&gt;Proposed"),0)</f>
        <v/>
      </c>
      <c r="W12" s="31">
        <f>IF(AND($A12&lt;&gt;"",$B12="Program"),COUNTIFS($C$6:$C$305,$A12,$B$6:$B$305,"Project",$D$6:$D$305,"&lt;&gt;Proposed")-COUNTIFS($C$6:$C$305,$A12,$B$6:$B$305,"Project",$D$6:$D$305,"&lt;&gt;Proposed",$J$6:$J$305,"&gt;=0"),0)</f>
        <v/>
      </c>
      <c r="X12" s="31">
        <f>IF(OR($Q12=0,$H12=""),0,IF(AND($B12="Project",$H12&lt;TODAY()),3,IF($U12="",0,IF($U12&lt;=$H12,1,IF(NETWORKDAYS($H12,$U12)-1&gt;IF($B12="Program",Portfolio!$B$16,Portfolio!$B$15),3,2)))))</f>
        <v/>
      </c>
      <c r="Y12" s="31">
        <f>IF(OR($Q12=0,$K12="",$K12=0),0,IF(AND($B12="Project",$J12=""),0,IF(IF($B12="Program",$V12,$J12)&gt;$K12*(1+Portfolio!$B$17),3,IF(IF($B12="Program",$V12,$J12)&gt;$K12,2,IF(AND($B12="Program",OR($W12&gt;0,$V12=0)),0,1)))))</f>
        <v/>
      </c>
      <c r="Z12" s="31">
        <f>IF($A12="",0,IF($C12="Portfolio",1,IF(AND($B12="Project",$C12&lt;&gt;"",$C12&lt;&gt;"Outside the portfolio"),IFERROR(IF(AND(INDEX($B$6:$B$305,MATCH($C12,$A$6:$A$305,0))="Program",INDEX($C$6:$C$305,MATCH($C12,$A$6:$A$305,0))="Portfolio"),1,0),0),0)))</f>
        <v/>
      </c>
      <c r="AA12" s="31">
        <f>IF(AND($A12&lt;&gt;"",$E12="",OR($Q12=1,$D12="Proposed")),1,0)</f>
        <v/>
      </c>
      <c r="AB12" s="31">
        <f>IF(AND($A12&lt;&gt;"",$B12="Program",$F12="",$Q12=1),1,0)</f>
        <v/>
      </c>
      <c r="AC12" s="31">
        <f>IF(OR($A12="",$D12="Completed",$D12="Terminated"),0,IF($C12="",1,IF($C12="Portfolio",0,IF($C12="Outside the portfolio",IF($Q12=1,2,0),IF($B12="Project",IF(IFERROR(INDEX($B$6:$B$305,MATCH($C12,$A$6:$A$305,0)),"")="Program",0,1),1)))))</f>
        <v/>
      </c>
      <c r="AD12" s="31">
        <f>IF(AND($A12&lt;&gt;"",OR($M12="■ Red",$M12="◧ Amber"),$L12=""),1,0)</f>
        <v/>
      </c>
      <c r="AE12" s="31">
        <f>$AA12+$AB12+IF($AC12&gt;0,1,0)+$AD12</f>
        <v/>
      </c>
      <c r="AJ12" s="14" t="n"/>
      <c r="AK12" s="29" t="n"/>
      <c r="AL12" s="31">
        <f>IF(AND($Q12=1,$Z12=1),1,0)</f>
        <v/>
      </c>
      <c r="AM12" s="31">
        <f>IF(AND($AL12=1,$AJ12&lt;&gt;""),MAX(0,TODAY()-$AJ12),"")</f>
        <v/>
      </c>
      <c r="AN12" s="31">
        <f>IF(OR($AL12=0,COUNT($AJ$6:$AJ$305)=0),0,IF($AJ12="",1,IF(TODAY()-$AJ12&gt;Board!$B$40,1,0)))</f>
        <v/>
      </c>
      <c r="AO12" s="31">
        <f>IF($AL12=0,0,IF($M12="■ Red",3,IF($M12="◧ Amber",2,IF($M12="□ On track",1,0))))</f>
        <v/>
      </c>
      <c r="AP12" s="31">
        <f>IF($AL12=0,0,IF($AK12="Will not hold",3,IF($AK12="At risk",2,IF($AK12="Will hold",1,0))))</f>
        <v/>
      </c>
      <c r="AQ12" s="31">
        <f>IF($AL12=0,"",IF($AO12=3,0,IF($AO12=2,1,IF(AND($AP12&gt;=2,$AP12&gt;$AO12),2,""))))</f>
        <v/>
      </c>
      <c r="AR12" s="31">
        <f>IF($AQ12="","",$AQ12*1000+12)</f>
        <v/>
      </c>
      <c r="AS12" s="31">
        <f>IF(AND($AL12=1,$AO12&gt;=2,$AP12&gt;=1,$AP12&lt;$AO12),1,0)</f>
        <v/>
      </c>
      <c r="AT12" s="31">
        <f>IF(AND($AL12=1,$AO12&gt;=2,$AP12=0),1,0)</f>
        <v/>
      </c>
      <c r="AU12" s="31">
        <f>IF(AND($AL12=1,$U12&lt;&gt;"",$U12&lt;TODAY()),1,0)</f>
        <v/>
      </c>
      <c r="AV12" s="31">
        <f>IF(OR($A12="",$AJ12="",Portfolio!$B$10=""),0,IF($AJ12&lt;=Portfolio!$B$10,0,IF(AND($D12="Completed",$Z12=1),1,IF(AND($D12="Terminated",$Z12=1),2,IF(AND($Q12=1,$Z12=0),3,0)))))</f>
        <v/>
      </c>
      <c r="AW12" s="31">
        <f>IF($AV12&gt;0,COUNTIF($AV$6:$AV12,"&gt;0"),"")</f>
        <v/>
      </c>
      <c r="AX12" s="31">
        <f>IF($AL12=0,"",IF(AND($B12="Project",$H12&lt;&gt;"",$H12&lt;TODAY()),"Planned finish "&amp;TEXT($H12,"d mmm")&amp;" has passed",IF($X12&gt;=2,(NETWORKDAYS($H12,$U12)-1)&amp;" working days past plan","")))</f>
        <v/>
      </c>
      <c r="AY12" s="31">
        <f>IF($AL12=0,"",IF($Y12&gt;=2,"Over budget by "&amp;TEXT(IF($B12="Program",$V12,$J12)-$K12,"#,##0"),""))</f>
        <v/>
      </c>
      <c r="AZ12" s="31">
        <f>IF(AND($AL12=1,$U12&lt;&gt;""),IF(AND(N($U12)&gt;=TODAY(),N($U12)&lt;=TODAY()+Board!$B$41),1,0),0)</f>
        <v/>
      </c>
    </row>
    <row r="13">
      <c r="A13" s="29" t="n"/>
      <c r="B13" s="29" t="n"/>
      <c r="C13" s="29" t="n"/>
      <c r="D13" s="29" t="n"/>
      <c r="E13" s="29" t="n"/>
      <c r="F13" s="29" t="n"/>
      <c r="G13" s="29" t="n"/>
      <c r="H13" s="30" t="n"/>
      <c r="I13" s="30" t="n"/>
      <c r="J13" s="19" t="n"/>
      <c r="K13" s="19" t="n"/>
      <c r="L13" s="26" t="n"/>
      <c r="M13" s="31">
        <f>IF($A13="","",IF($D13="","Not read",IF($Q13=0,"Not counted",IF(MAX($X13,$Y13)=3,"■ Red",IF(MAX($X13,$Y13)=2,"◧ Amber",IF(MAX($X13,$Y13)=1,"□ On track","Not read"))))))</f>
        <v/>
      </c>
      <c r="N13" s="31">
        <f>IF(OR($A13="",$B13&lt;&gt;"Program"),"","■ "&amp;COUNTIFS($C$6:$C$305,$A13,$M$6:$M$305,"■ Red")&amp;" Red, ◧ "&amp;COUNTIFS($C$6:$C$305,$A13,$M$6:$M$305,"◧ Amber")&amp;" Amber")</f>
        <v/>
      </c>
      <c r="O13" s="32">
        <f>IF(OR($A13="",$E13=""),"",COUNTIFS($E$6:$E$305,$E13,$D$6:$D$305,"Active")+COUNTIFS($E$6:$E$305,$E13,$D$6:$D$305,"Paused"))</f>
        <v/>
      </c>
      <c r="P13" s="31">
        <f>IF($A13="","",IF($AE13=0,"○ Clear",IF($AA13=1,"△ No owner",IF($AC13=1,"△ Check Sits under",IF($AC13=2,"△ Outside the portfolio",IF($AB13=1,"△ No sponsor","△ No variance note"))))&amp;IF($AE13&gt;1," (+"&amp;($AE13-1)&amp;" more)","")))</f>
        <v/>
      </c>
      <c r="Q13" s="31">
        <f>IF(AND($A13&lt;&gt;"",OR($D13="Active",$D13="Paused")),1,0)</f>
        <v/>
      </c>
      <c r="R13" s="31">
        <f>IFERROR(INDEX($A$6:$A$305,MATCH(6,$S$6:$S$305,0)),"")</f>
        <v/>
      </c>
      <c r="S13" s="31">
        <f>IF(AND($A13&lt;&gt;"",$B13="Program"),COUNTIFS($B$6:$B13,"Program",$A$6:$A13,"&lt;&gt;"),"")</f>
        <v/>
      </c>
      <c r="T13" s="33">
        <f>IF(AND($A13&lt;&gt;"",$B13="Program"),SUMPRODUCT(MAX(($C$6:$C$305=$A13)*($B$6:$B$305="Project")*($D$6:$D$305&lt;&gt;"Proposed")*$I$6:$I$305)),0)</f>
        <v/>
      </c>
      <c r="U13" s="33">
        <f>IF($I13&lt;&gt;"",$I13,IF($T13&gt;0,$T13,""))</f>
        <v/>
      </c>
      <c r="V13" s="31">
        <f>IF(AND($A13&lt;&gt;"",$B13="Program"),SUMIFS($J$6:$J$305,$C$6:$C$305,$A13,$B$6:$B$305,"Project",$D$6:$D$305,"&lt;&gt;Proposed"),0)</f>
        <v/>
      </c>
      <c r="W13" s="31">
        <f>IF(AND($A13&lt;&gt;"",$B13="Program"),COUNTIFS($C$6:$C$305,$A13,$B$6:$B$305,"Project",$D$6:$D$305,"&lt;&gt;Proposed")-COUNTIFS($C$6:$C$305,$A13,$B$6:$B$305,"Project",$D$6:$D$305,"&lt;&gt;Proposed",$J$6:$J$305,"&gt;=0"),0)</f>
        <v/>
      </c>
      <c r="X13" s="31">
        <f>IF(OR($Q13=0,$H13=""),0,IF(AND($B13="Project",$H13&lt;TODAY()),3,IF($U13="",0,IF($U13&lt;=$H13,1,IF(NETWORKDAYS($H13,$U13)-1&gt;IF($B13="Program",Portfolio!$B$16,Portfolio!$B$15),3,2)))))</f>
        <v/>
      </c>
      <c r="Y13" s="31">
        <f>IF(OR($Q13=0,$K13="",$K13=0),0,IF(AND($B13="Project",$J13=""),0,IF(IF($B13="Program",$V13,$J13)&gt;$K13*(1+Portfolio!$B$17),3,IF(IF($B13="Program",$V13,$J13)&gt;$K13,2,IF(AND($B13="Program",OR($W13&gt;0,$V13=0)),0,1)))))</f>
        <v/>
      </c>
      <c r="Z13" s="31">
        <f>IF($A13="",0,IF($C13="Portfolio",1,IF(AND($B13="Project",$C13&lt;&gt;"",$C13&lt;&gt;"Outside the portfolio"),IFERROR(IF(AND(INDEX($B$6:$B$305,MATCH($C13,$A$6:$A$305,0))="Program",INDEX($C$6:$C$305,MATCH($C13,$A$6:$A$305,0))="Portfolio"),1,0),0),0)))</f>
        <v/>
      </c>
      <c r="AA13" s="31">
        <f>IF(AND($A13&lt;&gt;"",$E13="",OR($Q13=1,$D13="Proposed")),1,0)</f>
        <v/>
      </c>
      <c r="AB13" s="31">
        <f>IF(AND($A13&lt;&gt;"",$B13="Program",$F13="",$Q13=1),1,0)</f>
        <v/>
      </c>
      <c r="AC13" s="31">
        <f>IF(OR($A13="",$D13="Completed",$D13="Terminated"),0,IF($C13="",1,IF($C13="Portfolio",0,IF($C13="Outside the portfolio",IF($Q13=1,2,0),IF($B13="Project",IF(IFERROR(INDEX($B$6:$B$305,MATCH($C13,$A$6:$A$305,0)),"")="Program",0,1),1)))))</f>
        <v/>
      </c>
      <c r="AD13" s="31">
        <f>IF(AND($A13&lt;&gt;"",OR($M13="■ Red",$M13="◧ Amber"),$L13=""),1,0)</f>
        <v/>
      </c>
      <c r="AE13" s="31">
        <f>$AA13+$AB13+IF($AC13&gt;0,1,0)+$AD13</f>
        <v/>
      </c>
      <c r="AJ13" s="14" t="n"/>
      <c r="AK13" s="29" t="n"/>
      <c r="AL13" s="31">
        <f>IF(AND($Q13=1,$Z13=1),1,0)</f>
        <v/>
      </c>
      <c r="AM13" s="31">
        <f>IF(AND($AL13=1,$AJ13&lt;&gt;""),MAX(0,TODAY()-$AJ13),"")</f>
        <v/>
      </c>
      <c r="AN13" s="31">
        <f>IF(OR($AL13=0,COUNT($AJ$6:$AJ$305)=0),0,IF($AJ13="",1,IF(TODAY()-$AJ13&gt;Board!$B$40,1,0)))</f>
        <v/>
      </c>
      <c r="AO13" s="31">
        <f>IF($AL13=0,0,IF($M13="■ Red",3,IF($M13="◧ Amber",2,IF($M13="□ On track",1,0))))</f>
        <v/>
      </c>
      <c r="AP13" s="31">
        <f>IF($AL13=0,0,IF($AK13="Will not hold",3,IF($AK13="At risk",2,IF($AK13="Will hold",1,0))))</f>
        <v/>
      </c>
      <c r="AQ13" s="31">
        <f>IF($AL13=0,"",IF($AO13=3,0,IF($AO13=2,1,IF(AND($AP13&gt;=2,$AP13&gt;$AO13),2,""))))</f>
        <v/>
      </c>
      <c r="AR13" s="31">
        <f>IF($AQ13="","",$AQ13*1000+13)</f>
        <v/>
      </c>
      <c r="AS13" s="31">
        <f>IF(AND($AL13=1,$AO13&gt;=2,$AP13&gt;=1,$AP13&lt;$AO13),1,0)</f>
        <v/>
      </c>
      <c r="AT13" s="31">
        <f>IF(AND($AL13=1,$AO13&gt;=2,$AP13=0),1,0)</f>
        <v/>
      </c>
      <c r="AU13" s="31">
        <f>IF(AND($AL13=1,$U13&lt;&gt;"",$U13&lt;TODAY()),1,0)</f>
        <v/>
      </c>
      <c r="AV13" s="31">
        <f>IF(OR($A13="",$AJ13="",Portfolio!$B$10=""),0,IF($AJ13&lt;=Portfolio!$B$10,0,IF(AND($D13="Completed",$Z13=1),1,IF(AND($D13="Terminated",$Z13=1),2,IF(AND($Q13=1,$Z13=0),3,0)))))</f>
        <v/>
      </c>
      <c r="AW13" s="31">
        <f>IF($AV13&gt;0,COUNTIF($AV$6:$AV13,"&gt;0"),"")</f>
        <v/>
      </c>
      <c r="AX13" s="31">
        <f>IF($AL13=0,"",IF(AND($B13="Project",$H13&lt;&gt;"",$H13&lt;TODAY()),"Planned finish "&amp;TEXT($H13,"d mmm")&amp;" has passed",IF($X13&gt;=2,(NETWORKDAYS($H13,$U13)-1)&amp;" working days past plan","")))</f>
        <v/>
      </c>
      <c r="AY13" s="31">
        <f>IF($AL13=0,"",IF($Y13&gt;=2,"Over budget by "&amp;TEXT(IF($B13="Program",$V13,$J13)-$K13,"#,##0"),""))</f>
        <v/>
      </c>
      <c r="AZ13" s="31">
        <f>IF(AND($AL13=1,$U13&lt;&gt;""),IF(AND(N($U13)&gt;=TODAY(),N($U13)&lt;=TODAY()+Board!$B$41),1,0),0)</f>
        <v/>
      </c>
    </row>
    <row r="14">
      <c r="A14" s="29" t="n"/>
      <c r="B14" s="29" t="n"/>
      <c r="C14" s="29" t="n"/>
      <c r="D14" s="29" t="n"/>
      <c r="E14" s="29" t="n"/>
      <c r="F14" s="29" t="n"/>
      <c r="G14" s="29" t="n"/>
      <c r="H14" s="30" t="n"/>
      <c r="I14" s="30" t="n"/>
      <c r="J14" s="19" t="n"/>
      <c r="K14" s="19" t="n"/>
      <c r="L14" s="26" t="n"/>
      <c r="M14" s="31">
        <f>IF($A14="","",IF($D14="","Not read",IF($Q14=0,"Not counted",IF(MAX($X14,$Y14)=3,"■ Red",IF(MAX($X14,$Y14)=2,"◧ Amber",IF(MAX($X14,$Y14)=1,"□ On track","Not read"))))))</f>
        <v/>
      </c>
      <c r="N14" s="31">
        <f>IF(OR($A14="",$B14&lt;&gt;"Program"),"","■ "&amp;COUNTIFS($C$6:$C$305,$A14,$M$6:$M$305,"■ Red")&amp;" Red, ◧ "&amp;COUNTIFS($C$6:$C$305,$A14,$M$6:$M$305,"◧ Amber")&amp;" Amber")</f>
        <v/>
      </c>
      <c r="O14" s="32">
        <f>IF(OR($A14="",$E14=""),"",COUNTIFS($E$6:$E$305,$E14,$D$6:$D$305,"Active")+COUNTIFS($E$6:$E$305,$E14,$D$6:$D$305,"Paused"))</f>
        <v/>
      </c>
      <c r="P14" s="31">
        <f>IF($A14="","",IF($AE14=0,"○ Clear",IF($AA14=1,"△ No owner",IF($AC14=1,"△ Check Sits under",IF($AC14=2,"△ Outside the portfolio",IF($AB14=1,"△ No sponsor","△ No variance note"))))&amp;IF($AE14&gt;1," (+"&amp;($AE14-1)&amp;" more)","")))</f>
        <v/>
      </c>
      <c r="Q14" s="31">
        <f>IF(AND($A14&lt;&gt;"",OR($D14="Active",$D14="Paused")),1,0)</f>
        <v/>
      </c>
      <c r="R14" s="31">
        <f>IFERROR(INDEX($A$6:$A$305,MATCH(7,$S$6:$S$305,0)),"")</f>
        <v/>
      </c>
      <c r="S14" s="31">
        <f>IF(AND($A14&lt;&gt;"",$B14="Program"),COUNTIFS($B$6:$B14,"Program",$A$6:$A14,"&lt;&gt;"),"")</f>
        <v/>
      </c>
      <c r="T14" s="33">
        <f>IF(AND($A14&lt;&gt;"",$B14="Program"),SUMPRODUCT(MAX(($C$6:$C$305=$A14)*($B$6:$B$305="Project")*($D$6:$D$305&lt;&gt;"Proposed")*$I$6:$I$305)),0)</f>
        <v/>
      </c>
      <c r="U14" s="33">
        <f>IF($I14&lt;&gt;"",$I14,IF($T14&gt;0,$T14,""))</f>
        <v/>
      </c>
      <c r="V14" s="31">
        <f>IF(AND($A14&lt;&gt;"",$B14="Program"),SUMIFS($J$6:$J$305,$C$6:$C$305,$A14,$B$6:$B$305,"Project",$D$6:$D$305,"&lt;&gt;Proposed"),0)</f>
        <v/>
      </c>
      <c r="W14" s="31">
        <f>IF(AND($A14&lt;&gt;"",$B14="Program"),COUNTIFS($C$6:$C$305,$A14,$B$6:$B$305,"Project",$D$6:$D$305,"&lt;&gt;Proposed")-COUNTIFS($C$6:$C$305,$A14,$B$6:$B$305,"Project",$D$6:$D$305,"&lt;&gt;Proposed",$J$6:$J$305,"&gt;=0"),0)</f>
        <v/>
      </c>
      <c r="X14" s="31">
        <f>IF(OR($Q14=0,$H14=""),0,IF(AND($B14="Project",$H14&lt;TODAY()),3,IF($U14="",0,IF($U14&lt;=$H14,1,IF(NETWORKDAYS($H14,$U14)-1&gt;IF($B14="Program",Portfolio!$B$16,Portfolio!$B$15),3,2)))))</f>
        <v/>
      </c>
      <c r="Y14" s="31">
        <f>IF(OR($Q14=0,$K14="",$K14=0),0,IF(AND($B14="Project",$J14=""),0,IF(IF($B14="Program",$V14,$J14)&gt;$K14*(1+Portfolio!$B$17),3,IF(IF($B14="Program",$V14,$J14)&gt;$K14,2,IF(AND($B14="Program",OR($W14&gt;0,$V14=0)),0,1)))))</f>
        <v/>
      </c>
      <c r="Z14" s="31">
        <f>IF($A14="",0,IF($C14="Portfolio",1,IF(AND($B14="Project",$C14&lt;&gt;"",$C14&lt;&gt;"Outside the portfolio"),IFERROR(IF(AND(INDEX($B$6:$B$305,MATCH($C14,$A$6:$A$305,0))="Program",INDEX($C$6:$C$305,MATCH($C14,$A$6:$A$305,0))="Portfolio"),1,0),0),0)))</f>
        <v/>
      </c>
      <c r="AA14" s="31">
        <f>IF(AND($A14&lt;&gt;"",$E14="",OR($Q14=1,$D14="Proposed")),1,0)</f>
        <v/>
      </c>
      <c r="AB14" s="31">
        <f>IF(AND($A14&lt;&gt;"",$B14="Program",$F14="",$Q14=1),1,0)</f>
        <v/>
      </c>
      <c r="AC14" s="31">
        <f>IF(OR($A14="",$D14="Completed",$D14="Terminated"),0,IF($C14="",1,IF($C14="Portfolio",0,IF($C14="Outside the portfolio",IF($Q14=1,2,0),IF($B14="Project",IF(IFERROR(INDEX($B$6:$B$305,MATCH($C14,$A$6:$A$305,0)),"")="Program",0,1),1)))))</f>
        <v/>
      </c>
      <c r="AD14" s="31">
        <f>IF(AND($A14&lt;&gt;"",OR($M14="■ Red",$M14="◧ Amber"),$L14=""),1,0)</f>
        <v/>
      </c>
      <c r="AE14" s="31">
        <f>$AA14+$AB14+IF($AC14&gt;0,1,0)+$AD14</f>
        <v/>
      </c>
      <c r="AJ14" s="14" t="n"/>
      <c r="AK14" s="29" t="n"/>
      <c r="AL14" s="31">
        <f>IF(AND($Q14=1,$Z14=1),1,0)</f>
        <v/>
      </c>
      <c r="AM14" s="31">
        <f>IF(AND($AL14=1,$AJ14&lt;&gt;""),MAX(0,TODAY()-$AJ14),"")</f>
        <v/>
      </c>
      <c r="AN14" s="31">
        <f>IF(OR($AL14=0,COUNT($AJ$6:$AJ$305)=0),0,IF($AJ14="",1,IF(TODAY()-$AJ14&gt;Board!$B$40,1,0)))</f>
        <v/>
      </c>
      <c r="AO14" s="31">
        <f>IF($AL14=0,0,IF($M14="■ Red",3,IF($M14="◧ Amber",2,IF($M14="□ On track",1,0))))</f>
        <v/>
      </c>
      <c r="AP14" s="31">
        <f>IF($AL14=0,0,IF($AK14="Will not hold",3,IF($AK14="At risk",2,IF($AK14="Will hold",1,0))))</f>
        <v/>
      </c>
      <c r="AQ14" s="31">
        <f>IF($AL14=0,"",IF($AO14=3,0,IF($AO14=2,1,IF(AND($AP14&gt;=2,$AP14&gt;$AO14),2,""))))</f>
        <v/>
      </c>
      <c r="AR14" s="31">
        <f>IF($AQ14="","",$AQ14*1000+14)</f>
        <v/>
      </c>
      <c r="AS14" s="31">
        <f>IF(AND($AL14=1,$AO14&gt;=2,$AP14&gt;=1,$AP14&lt;$AO14),1,0)</f>
        <v/>
      </c>
      <c r="AT14" s="31">
        <f>IF(AND($AL14=1,$AO14&gt;=2,$AP14=0),1,0)</f>
        <v/>
      </c>
      <c r="AU14" s="31">
        <f>IF(AND($AL14=1,$U14&lt;&gt;"",$U14&lt;TODAY()),1,0)</f>
        <v/>
      </c>
      <c r="AV14" s="31">
        <f>IF(OR($A14="",$AJ14="",Portfolio!$B$10=""),0,IF($AJ14&lt;=Portfolio!$B$10,0,IF(AND($D14="Completed",$Z14=1),1,IF(AND($D14="Terminated",$Z14=1),2,IF(AND($Q14=1,$Z14=0),3,0)))))</f>
        <v/>
      </c>
      <c r="AW14" s="31">
        <f>IF($AV14&gt;0,COUNTIF($AV$6:$AV14,"&gt;0"),"")</f>
        <v/>
      </c>
      <c r="AX14" s="31">
        <f>IF($AL14=0,"",IF(AND($B14="Project",$H14&lt;&gt;"",$H14&lt;TODAY()),"Planned finish "&amp;TEXT($H14,"d mmm")&amp;" has passed",IF($X14&gt;=2,(NETWORKDAYS($H14,$U14)-1)&amp;" working days past plan","")))</f>
        <v/>
      </c>
      <c r="AY14" s="31">
        <f>IF($AL14=0,"",IF($Y14&gt;=2,"Over budget by "&amp;TEXT(IF($B14="Program",$V14,$J14)-$K14,"#,##0"),""))</f>
        <v/>
      </c>
      <c r="AZ14" s="31">
        <f>IF(AND($AL14=1,$U14&lt;&gt;""),IF(AND(N($U14)&gt;=TODAY(),N($U14)&lt;=TODAY()+Board!$B$41),1,0),0)</f>
        <v/>
      </c>
    </row>
    <row r="15">
      <c r="A15" s="29" t="n"/>
      <c r="B15" s="29" t="n"/>
      <c r="C15" s="29" t="n"/>
      <c r="D15" s="29" t="n"/>
      <c r="E15" s="29" t="n"/>
      <c r="F15" s="29" t="n"/>
      <c r="G15" s="29" t="n"/>
      <c r="H15" s="30" t="n"/>
      <c r="I15" s="30" t="n"/>
      <c r="J15" s="19" t="n"/>
      <c r="K15" s="19" t="n"/>
      <c r="L15" s="26" t="n"/>
      <c r="M15" s="31">
        <f>IF($A15="","",IF($D15="","Not read",IF($Q15=0,"Not counted",IF(MAX($X15,$Y15)=3,"■ Red",IF(MAX($X15,$Y15)=2,"◧ Amber",IF(MAX($X15,$Y15)=1,"□ On track","Not read"))))))</f>
        <v/>
      </c>
      <c r="N15" s="31">
        <f>IF(OR($A15="",$B15&lt;&gt;"Program"),"","■ "&amp;COUNTIFS($C$6:$C$305,$A15,$M$6:$M$305,"■ Red")&amp;" Red, ◧ "&amp;COUNTIFS($C$6:$C$305,$A15,$M$6:$M$305,"◧ Amber")&amp;" Amber")</f>
        <v/>
      </c>
      <c r="O15" s="32">
        <f>IF(OR($A15="",$E15=""),"",COUNTIFS($E$6:$E$305,$E15,$D$6:$D$305,"Active")+COUNTIFS($E$6:$E$305,$E15,$D$6:$D$305,"Paused"))</f>
        <v/>
      </c>
      <c r="P15" s="31">
        <f>IF($A15="","",IF($AE15=0,"○ Clear",IF($AA15=1,"△ No owner",IF($AC15=1,"△ Check Sits under",IF($AC15=2,"△ Outside the portfolio",IF($AB15=1,"△ No sponsor","△ No variance note"))))&amp;IF($AE15&gt;1," (+"&amp;($AE15-1)&amp;" more)","")))</f>
        <v/>
      </c>
      <c r="Q15" s="31">
        <f>IF(AND($A15&lt;&gt;"",OR($D15="Active",$D15="Paused")),1,0)</f>
        <v/>
      </c>
      <c r="R15" s="31">
        <f>IFERROR(INDEX($A$6:$A$305,MATCH(8,$S$6:$S$305,0)),"")</f>
        <v/>
      </c>
      <c r="S15" s="31">
        <f>IF(AND($A15&lt;&gt;"",$B15="Program"),COUNTIFS($B$6:$B15,"Program",$A$6:$A15,"&lt;&gt;"),"")</f>
        <v/>
      </c>
      <c r="T15" s="33">
        <f>IF(AND($A15&lt;&gt;"",$B15="Program"),SUMPRODUCT(MAX(($C$6:$C$305=$A15)*($B$6:$B$305="Project")*($D$6:$D$305&lt;&gt;"Proposed")*$I$6:$I$305)),0)</f>
        <v/>
      </c>
      <c r="U15" s="33">
        <f>IF($I15&lt;&gt;"",$I15,IF($T15&gt;0,$T15,""))</f>
        <v/>
      </c>
      <c r="V15" s="31">
        <f>IF(AND($A15&lt;&gt;"",$B15="Program"),SUMIFS($J$6:$J$305,$C$6:$C$305,$A15,$B$6:$B$305,"Project",$D$6:$D$305,"&lt;&gt;Proposed"),0)</f>
        <v/>
      </c>
      <c r="W15" s="31">
        <f>IF(AND($A15&lt;&gt;"",$B15="Program"),COUNTIFS($C$6:$C$305,$A15,$B$6:$B$305,"Project",$D$6:$D$305,"&lt;&gt;Proposed")-COUNTIFS($C$6:$C$305,$A15,$B$6:$B$305,"Project",$D$6:$D$305,"&lt;&gt;Proposed",$J$6:$J$305,"&gt;=0"),0)</f>
        <v/>
      </c>
      <c r="X15" s="31">
        <f>IF(OR($Q15=0,$H15=""),0,IF(AND($B15="Project",$H15&lt;TODAY()),3,IF($U15="",0,IF($U15&lt;=$H15,1,IF(NETWORKDAYS($H15,$U15)-1&gt;IF($B15="Program",Portfolio!$B$16,Portfolio!$B$15),3,2)))))</f>
        <v/>
      </c>
      <c r="Y15" s="31">
        <f>IF(OR($Q15=0,$K15="",$K15=0),0,IF(AND($B15="Project",$J15=""),0,IF(IF($B15="Program",$V15,$J15)&gt;$K15*(1+Portfolio!$B$17),3,IF(IF($B15="Program",$V15,$J15)&gt;$K15,2,IF(AND($B15="Program",OR($W15&gt;0,$V15=0)),0,1)))))</f>
        <v/>
      </c>
      <c r="Z15" s="31">
        <f>IF($A15="",0,IF($C15="Portfolio",1,IF(AND($B15="Project",$C15&lt;&gt;"",$C15&lt;&gt;"Outside the portfolio"),IFERROR(IF(AND(INDEX($B$6:$B$305,MATCH($C15,$A$6:$A$305,0))="Program",INDEX($C$6:$C$305,MATCH($C15,$A$6:$A$305,0))="Portfolio"),1,0),0),0)))</f>
        <v/>
      </c>
      <c r="AA15" s="31">
        <f>IF(AND($A15&lt;&gt;"",$E15="",OR($Q15=1,$D15="Proposed")),1,0)</f>
        <v/>
      </c>
      <c r="AB15" s="31">
        <f>IF(AND($A15&lt;&gt;"",$B15="Program",$F15="",$Q15=1),1,0)</f>
        <v/>
      </c>
      <c r="AC15" s="31">
        <f>IF(OR($A15="",$D15="Completed",$D15="Terminated"),0,IF($C15="",1,IF($C15="Portfolio",0,IF($C15="Outside the portfolio",IF($Q15=1,2,0),IF($B15="Project",IF(IFERROR(INDEX($B$6:$B$305,MATCH($C15,$A$6:$A$305,0)),"")="Program",0,1),1)))))</f>
        <v/>
      </c>
      <c r="AD15" s="31">
        <f>IF(AND($A15&lt;&gt;"",OR($M15="■ Red",$M15="◧ Amber"),$L15=""),1,0)</f>
        <v/>
      </c>
      <c r="AE15" s="31">
        <f>$AA15+$AB15+IF($AC15&gt;0,1,0)+$AD15</f>
        <v/>
      </c>
      <c r="AJ15" s="14" t="n"/>
      <c r="AK15" s="29" t="n"/>
      <c r="AL15" s="31">
        <f>IF(AND($Q15=1,$Z15=1),1,0)</f>
        <v/>
      </c>
      <c r="AM15" s="31">
        <f>IF(AND($AL15=1,$AJ15&lt;&gt;""),MAX(0,TODAY()-$AJ15),"")</f>
        <v/>
      </c>
      <c r="AN15" s="31">
        <f>IF(OR($AL15=0,COUNT($AJ$6:$AJ$305)=0),0,IF($AJ15="",1,IF(TODAY()-$AJ15&gt;Board!$B$40,1,0)))</f>
        <v/>
      </c>
      <c r="AO15" s="31">
        <f>IF($AL15=0,0,IF($M15="■ Red",3,IF($M15="◧ Amber",2,IF($M15="□ On track",1,0))))</f>
        <v/>
      </c>
      <c r="AP15" s="31">
        <f>IF($AL15=0,0,IF($AK15="Will not hold",3,IF($AK15="At risk",2,IF($AK15="Will hold",1,0))))</f>
        <v/>
      </c>
      <c r="AQ15" s="31">
        <f>IF($AL15=0,"",IF($AO15=3,0,IF($AO15=2,1,IF(AND($AP15&gt;=2,$AP15&gt;$AO15),2,""))))</f>
        <v/>
      </c>
      <c r="AR15" s="31">
        <f>IF($AQ15="","",$AQ15*1000+15)</f>
        <v/>
      </c>
      <c r="AS15" s="31">
        <f>IF(AND($AL15=1,$AO15&gt;=2,$AP15&gt;=1,$AP15&lt;$AO15),1,0)</f>
        <v/>
      </c>
      <c r="AT15" s="31">
        <f>IF(AND($AL15=1,$AO15&gt;=2,$AP15=0),1,0)</f>
        <v/>
      </c>
      <c r="AU15" s="31">
        <f>IF(AND($AL15=1,$U15&lt;&gt;"",$U15&lt;TODAY()),1,0)</f>
        <v/>
      </c>
      <c r="AV15" s="31">
        <f>IF(OR($A15="",$AJ15="",Portfolio!$B$10=""),0,IF($AJ15&lt;=Portfolio!$B$10,0,IF(AND($D15="Completed",$Z15=1),1,IF(AND($D15="Terminated",$Z15=1),2,IF(AND($Q15=1,$Z15=0),3,0)))))</f>
        <v/>
      </c>
      <c r="AW15" s="31">
        <f>IF($AV15&gt;0,COUNTIF($AV$6:$AV15,"&gt;0"),"")</f>
        <v/>
      </c>
      <c r="AX15" s="31">
        <f>IF($AL15=0,"",IF(AND($B15="Project",$H15&lt;&gt;"",$H15&lt;TODAY()),"Planned finish "&amp;TEXT($H15,"d mmm")&amp;" has passed",IF($X15&gt;=2,(NETWORKDAYS($H15,$U15)-1)&amp;" working days past plan","")))</f>
        <v/>
      </c>
      <c r="AY15" s="31">
        <f>IF($AL15=0,"",IF($Y15&gt;=2,"Over budget by "&amp;TEXT(IF($B15="Program",$V15,$J15)-$K15,"#,##0"),""))</f>
        <v/>
      </c>
      <c r="AZ15" s="31">
        <f>IF(AND($AL15=1,$U15&lt;&gt;""),IF(AND(N($U15)&gt;=TODAY(),N($U15)&lt;=TODAY()+Board!$B$41),1,0),0)</f>
        <v/>
      </c>
    </row>
    <row r="16">
      <c r="A16" s="29" t="n"/>
      <c r="B16" s="29" t="n"/>
      <c r="C16" s="29" t="n"/>
      <c r="D16" s="29" t="n"/>
      <c r="E16" s="29" t="n"/>
      <c r="F16" s="29" t="n"/>
      <c r="G16" s="29" t="n"/>
      <c r="H16" s="30" t="n"/>
      <c r="I16" s="30" t="n"/>
      <c r="J16" s="19" t="n"/>
      <c r="K16" s="19" t="n"/>
      <c r="L16" s="26" t="n"/>
      <c r="M16" s="31">
        <f>IF($A16="","",IF($D16="","Not read",IF($Q16=0,"Not counted",IF(MAX($X16,$Y16)=3,"■ Red",IF(MAX($X16,$Y16)=2,"◧ Amber",IF(MAX($X16,$Y16)=1,"□ On track","Not read"))))))</f>
        <v/>
      </c>
      <c r="N16" s="31">
        <f>IF(OR($A16="",$B16&lt;&gt;"Program"),"","■ "&amp;COUNTIFS($C$6:$C$305,$A16,$M$6:$M$305,"■ Red")&amp;" Red, ◧ "&amp;COUNTIFS($C$6:$C$305,$A16,$M$6:$M$305,"◧ Amber")&amp;" Amber")</f>
        <v/>
      </c>
      <c r="O16" s="32">
        <f>IF(OR($A16="",$E16=""),"",COUNTIFS($E$6:$E$305,$E16,$D$6:$D$305,"Active")+COUNTIFS($E$6:$E$305,$E16,$D$6:$D$305,"Paused"))</f>
        <v/>
      </c>
      <c r="P16" s="31">
        <f>IF($A16="","",IF($AE16=0,"○ Clear",IF($AA16=1,"△ No owner",IF($AC16=1,"△ Check Sits under",IF($AC16=2,"△ Outside the portfolio",IF($AB16=1,"△ No sponsor","△ No variance note"))))&amp;IF($AE16&gt;1," (+"&amp;($AE16-1)&amp;" more)","")))</f>
        <v/>
      </c>
      <c r="Q16" s="31">
        <f>IF(AND($A16&lt;&gt;"",OR($D16="Active",$D16="Paused")),1,0)</f>
        <v/>
      </c>
      <c r="R16" s="31">
        <f>IFERROR(INDEX($A$6:$A$305,MATCH(9,$S$6:$S$305,0)),"")</f>
        <v/>
      </c>
      <c r="S16" s="31">
        <f>IF(AND($A16&lt;&gt;"",$B16="Program"),COUNTIFS($B$6:$B16,"Program",$A$6:$A16,"&lt;&gt;"),"")</f>
        <v/>
      </c>
      <c r="T16" s="33">
        <f>IF(AND($A16&lt;&gt;"",$B16="Program"),SUMPRODUCT(MAX(($C$6:$C$305=$A16)*($B$6:$B$305="Project")*($D$6:$D$305&lt;&gt;"Proposed")*$I$6:$I$305)),0)</f>
        <v/>
      </c>
      <c r="U16" s="33">
        <f>IF($I16&lt;&gt;"",$I16,IF($T16&gt;0,$T16,""))</f>
        <v/>
      </c>
      <c r="V16" s="31">
        <f>IF(AND($A16&lt;&gt;"",$B16="Program"),SUMIFS($J$6:$J$305,$C$6:$C$305,$A16,$B$6:$B$305,"Project",$D$6:$D$305,"&lt;&gt;Proposed"),0)</f>
        <v/>
      </c>
      <c r="W16" s="31">
        <f>IF(AND($A16&lt;&gt;"",$B16="Program"),COUNTIFS($C$6:$C$305,$A16,$B$6:$B$305,"Project",$D$6:$D$305,"&lt;&gt;Proposed")-COUNTIFS($C$6:$C$305,$A16,$B$6:$B$305,"Project",$D$6:$D$305,"&lt;&gt;Proposed",$J$6:$J$305,"&gt;=0"),0)</f>
        <v/>
      </c>
      <c r="X16" s="31">
        <f>IF(OR($Q16=0,$H16=""),0,IF(AND($B16="Project",$H16&lt;TODAY()),3,IF($U16="",0,IF($U16&lt;=$H16,1,IF(NETWORKDAYS($H16,$U16)-1&gt;IF($B16="Program",Portfolio!$B$16,Portfolio!$B$15),3,2)))))</f>
        <v/>
      </c>
      <c r="Y16" s="31">
        <f>IF(OR($Q16=0,$K16="",$K16=0),0,IF(AND($B16="Project",$J16=""),0,IF(IF($B16="Program",$V16,$J16)&gt;$K16*(1+Portfolio!$B$17),3,IF(IF($B16="Program",$V16,$J16)&gt;$K16,2,IF(AND($B16="Program",OR($W16&gt;0,$V16=0)),0,1)))))</f>
        <v/>
      </c>
      <c r="Z16" s="31">
        <f>IF($A16="",0,IF($C16="Portfolio",1,IF(AND($B16="Project",$C16&lt;&gt;"",$C16&lt;&gt;"Outside the portfolio"),IFERROR(IF(AND(INDEX($B$6:$B$305,MATCH($C16,$A$6:$A$305,0))="Program",INDEX($C$6:$C$305,MATCH($C16,$A$6:$A$305,0))="Portfolio"),1,0),0),0)))</f>
        <v/>
      </c>
      <c r="AA16" s="31">
        <f>IF(AND($A16&lt;&gt;"",$E16="",OR($Q16=1,$D16="Proposed")),1,0)</f>
        <v/>
      </c>
      <c r="AB16" s="31">
        <f>IF(AND($A16&lt;&gt;"",$B16="Program",$F16="",$Q16=1),1,0)</f>
        <v/>
      </c>
      <c r="AC16" s="31">
        <f>IF(OR($A16="",$D16="Completed",$D16="Terminated"),0,IF($C16="",1,IF($C16="Portfolio",0,IF($C16="Outside the portfolio",IF($Q16=1,2,0),IF($B16="Project",IF(IFERROR(INDEX($B$6:$B$305,MATCH($C16,$A$6:$A$305,0)),"")="Program",0,1),1)))))</f>
        <v/>
      </c>
      <c r="AD16" s="31">
        <f>IF(AND($A16&lt;&gt;"",OR($M16="■ Red",$M16="◧ Amber"),$L16=""),1,0)</f>
        <v/>
      </c>
      <c r="AE16" s="31">
        <f>$AA16+$AB16+IF($AC16&gt;0,1,0)+$AD16</f>
        <v/>
      </c>
      <c r="AJ16" s="14" t="n"/>
      <c r="AK16" s="29" t="n"/>
      <c r="AL16" s="31">
        <f>IF(AND($Q16=1,$Z16=1),1,0)</f>
        <v/>
      </c>
      <c r="AM16" s="31">
        <f>IF(AND($AL16=1,$AJ16&lt;&gt;""),MAX(0,TODAY()-$AJ16),"")</f>
        <v/>
      </c>
      <c r="AN16" s="31">
        <f>IF(OR($AL16=0,COUNT($AJ$6:$AJ$305)=0),0,IF($AJ16="",1,IF(TODAY()-$AJ16&gt;Board!$B$40,1,0)))</f>
        <v/>
      </c>
      <c r="AO16" s="31">
        <f>IF($AL16=0,0,IF($M16="■ Red",3,IF($M16="◧ Amber",2,IF($M16="□ On track",1,0))))</f>
        <v/>
      </c>
      <c r="AP16" s="31">
        <f>IF($AL16=0,0,IF($AK16="Will not hold",3,IF($AK16="At risk",2,IF($AK16="Will hold",1,0))))</f>
        <v/>
      </c>
      <c r="AQ16" s="31">
        <f>IF($AL16=0,"",IF($AO16=3,0,IF($AO16=2,1,IF(AND($AP16&gt;=2,$AP16&gt;$AO16),2,""))))</f>
        <v/>
      </c>
      <c r="AR16" s="31">
        <f>IF($AQ16="","",$AQ16*1000+16)</f>
        <v/>
      </c>
      <c r="AS16" s="31">
        <f>IF(AND($AL16=1,$AO16&gt;=2,$AP16&gt;=1,$AP16&lt;$AO16),1,0)</f>
        <v/>
      </c>
      <c r="AT16" s="31">
        <f>IF(AND($AL16=1,$AO16&gt;=2,$AP16=0),1,0)</f>
        <v/>
      </c>
      <c r="AU16" s="31">
        <f>IF(AND($AL16=1,$U16&lt;&gt;"",$U16&lt;TODAY()),1,0)</f>
        <v/>
      </c>
      <c r="AV16" s="31">
        <f>IF(OR($A16="",$AJ16="",Portfolio!$B$10=""),0,IF($AJ16&lt;=Portfolio!$B$10,0,IF(AND($D16="Completed",$Z16=1),1,IF(AND($D16="Terminated",$Z16=1),2,IF(AND($Q16=1,$Z16=0),3,0)))))</f>
        <v/>
      </c>
      <c r="AW16" s="31">
        <f>IF($AV16&gt;0,COUNTIF($AV$6:$AV16,"&gt;0"),"")</f>
        <v/>
      </c>
      <c r="AX16" s="31">
        <f>IF($AL16=0,"",IF(AND($B16="Project",$H16&lt;&gt;"",$H16&lt;TODAY()),"Planned finish "&amp;TEXT($H16,"d mmm")&amp;" has passed",IF($X16&gt;=2,(NETWORKDAYS($H16,$U16)-1)&amp;" working days past plan","")))</f>
        <v/>
      </c>
      <c r="AY16" s="31">
        <f>IF($AL16=0,"",IF($Y16&gt;=2,"Over budget by "&amp;TEXT(IF($B16="Program",$V16,$J16)-$K16,"#,##0"),""))</f>
        <v/>
      </c>
      <c r="AZ16" s="31">
        <f>IF(AND($AL16=1,$U16&lt;&gt;""),IF(AND(N($U16)&gt;=TODAY(),N($U16)&lt;=TODAY()+Board!$B$41),1,0),0)</f>
        <v/>
      </c>
    </row>
    <row r="17">
      <c r="A17" s="29" t="n"/>
      <c r="B17" s="29" t="n"/>
      <c r="C17" s="29" t="n"/>
      <c r="D17" s="29" t="n"/>
      <c r="E17" s="29" t="n"/>
      <c r="F17" s="29" t="n"/>
      <c r="G17" s="29" t="n"/>
      <c r="H17" s="30" t="n"/>
      <c r="I17" s="30" t="n"/>
      <c r="J17" s="19" t="n"/>
      <c r="K17" s="19" t="n"/>
      <c r="L17" s="26" t="n"/>
      <c r="M17" s="31">
        <f>IF($A17="","",IF($D17="","Not read",IF($Q17=0,"Not counted",IF(MAX($X17,$Y17)=3,"■ Red",IF(MAX($X17,$Y17)=2,"◧ Amber",IF(MAX($X17,$Y17)=1,"□ On track","Not read"))))))</f>
        <v/>
      </c>
      <c r="N17" s="31">
        <f>IF(OR($A17="",$B17&lt;&gt;"Program"),"","■ "&amp;COUNTIFS($C$6:$C$305,$A17,$M$6:$M$305,"■ Red")&amp;" Red, ◧ "&amp;COUNTIFS($C$6:$C$305,$A17,$M$6:$M$305,"◧ Amber")&amp;" Amber")</f>
        <v/>
      </c>
      <c r="O17" s="32">
        <f>IF(OR($A17="",$E17=""),"",COUNTIFS($E$6:$E$305,$E17,$D$6:$D$305,"Active")+COUNTIFS($E$6:$E$305,$E17,$D$6:$D$305,"Paused"))</f>
        <v/>
      </c>
      <c r="P17" s="31">
        <f>IF($A17="","",IF($AE17=0,"○ Clear",IF($AA17=1,"△ No owner",IF($AC17=1,"△ Check Sits under",IF($AC17=2,"△ Outside the portfolio",IF($AB17=1,"△ No sponsor","△ No variance note"))))&amp;IF($AE17&gt;1," (+"&amp;($AE17-1)&amp;" more)","")))</f>
        <v/>
      </c>
      <c r="Q17" s="31">
        <f>IF(AND($A17&lt;&gt;"",OR($D17="Active",$D17="Paused")),1,0)</f>
        <v/>
      </c>
      <c r="R17" s="31">
        <f>IFERROR(INDEX($A$6:$A$305,MATCH(10,$S$6:$S$305,0)),"")</f>
        <v/>
      </c>
      <c r="S17" s="31">
        <f>IF(AND($A17&lt;&gt;"",$B17="Program"),COUNTIFS($B$6:$B17,"Program",$A$6:$A17,"&lt;&gt;"),"")</f>
        <v/>
      </c>
      <c r="T17" s="33">
        <f>IF(AND($A17&lt;&gt;"",$B17="Program"),SUMPRODUCT(MAX(($C$6:$C$305=$A17)*($B$6:$B$305="Project")*($D$6:$D$305&lt;&gt;"Proposed")*$I$6:$I$305)),0)</f>
        <v/>
      </c>
      <c r="U17" s="33">
        <f>IF($I17&lt;&gt;"",$I17,IF($T17&gt;0,$T17,""))</f>
        <v/>
      </c>
      <c r="V17" s="31">
        <f>IF(AND($A17&lt;&gt;"",$B17="Program"),SUMIFS($J$6:$J$305,$C$6:$C$305,$A17,$B$6:$B$305,"Project",$D$6:$D$305,"&lt;&gt;Proposed"),0)</f>
        <v/>
      </c>
      <c r="W17" s="31">
        <f>IF(AND($A17&lt;&gt;"",$B17="Program"),COUNTIFS($C$6:$C$305,$A17,$B$6:$B$305,"Project",$D$6:$D$305,"&lt;&gt;Proposed")-COUNTIFS($C$6:$C$305,$A17,$B$6:$B$305,"Project",$D$6:$D$305,"&lt;&gt;Proposed",$J$6:$J$305,"&gt;=0"),0)</f>
        <v/>
      </c>
      <c r="X17" s="31">
        <f>IF(OR($Q17=0,$H17=""),0,IF(AND($B17="Project",$H17&lt;TODAY()),3,IF($U17="",0,IF($U17&lt;=$H17,1,IF(NETWORKDAYS($H17,$U17)-1&gt;IF($B17="Program",Portfolio!$B$16,Portfolio!$B$15),3,2)))))</f>
        <v/>
      </c>
      <c r="Y17" s="31">
        <f>IF(OR($Q17=0,$K17="",$K17=0),0,IF(AND($B17="Project",$J17=""),0,IF(IF($B17="Program",$V17,$J17)&gt;$K17*(1+Portfolio!$B$17),3,IF(IF($B17="Program",$V17,$J17)&gt;$K17,2,IF(AND($B17="Program",OR($W17&gt;0,$V17=0)),0,1)))))</f>
        <v/>
      </c>
      <c r="Z17" s="31">
        <f>IF($A17="",0,IF($C17="Portfolio",1,IF(AND($B17="Project",$C17&lt;&gt;"",$C17&lt;&gt;"Outside the portfolio"),IFERROR(IF(AND(INDEX($B$6:$B$305,MATCH($C17,$A$6:$A$305,0))="Program",INDEX($C$6:$C$305,MATCH($C17,$A$6:$A$305,0))="Portfolio"),1,0),0),0)))</f>
        <v/>
      </c>
      <c r="AA17" s="31">
        <f>IF(AND($A17&lt;&gt;"",$E17="",OR($Q17=1,$D17="Proposed")),1,0)</f>
        <v/>
      </c>
      <c r="AB17" s="31">
        <f>IF(AND($A17&lt;&gt;"",$B17="Program",$F17="",$Q17=1),1,0)</f>
        <v/>
      </c>
      <c r="AC17" s="31">
        <f>IF(OR($A17="",$D17="Completed",$D17="Terminated"),0,IF($C17="",1,IF($C17="Portfolio",0,IF($C17="Outside the portfolio",IF($Q17=1,2,0),IF($B17="Project",IF(IFERROR(INDEX($B$6:$B$305,MATCH($C17,$A$6:$A$305,0)),"")="Program",0,1),1)))))</f>
        <v/>
      </c>
      <c r="AD17" s="31">
        <f>IF(AND($A17&lt;&gt;"",OR($M17="■ Red",$M17="◧ Amber"),$L17=""),1,0)</f>
        <v/>
      </c>
      <c r="AE17" s="31">
        <f>$AA17+$AB17+IF($AC17&gt;0,1,0)+$AD17</f>
        <v/>
      </c>
      <c r="AJ17" s="14" t="n"/>
      <c r="AK17" s="29" t="n"/>
      <c r="AL17" s="31">
        <f>IF(AND($Q17=1,$Z17=1),1,0)</f>
        <v/>
      </c>
      <c r="AM17" s="31">
        <f>IF(AND($AL17=1,$AJ17&lt;&gt;""),MAX(0,TODAY()-$AJ17),"")</f>
        <v/>
      </c>
      <c r="AN17" s="31">
        <f>IF(OR($AL17=0,COUNT($AJ$6:$AJ$305)=0),0,IF($AJ17="",1,IF(TODAY()-$AJ17&gt;Board!$B$40,1,0)))</f>
        <v/>
      </c>
      <c r="AO17" s="31">
        <f>IF($AL17=0,0,IF($M17="■ Red",3,IF($M17="◧ Amber",2,IF($M17="□ On track",1,0))))</f>
        <v/>
      </c>
      <c r="AP17" s="31">
        <f>IF($AL17=0,0,IF($AK17="Will not hold",3,IF($AK17="At risk",2,IF($AK17="Will hold",1,0))))</f>
        <v/>
      </c>
      <c r="AQ17" s="31">
        <f>IF($AL17=0,"",IF($AO17=3,0,IF($AO17=2,1,IF(AND($AP17&gt;=2,$AP17&gt;$AO17),2,""))))</f>
        <v/>
      </c>
      <c r="AR17" s="31">
        <f>IF($AQ17="","",$AQ17*1000+17)</f>
        <v/>
      </c>
      <c r="AS17" s="31">
        <f>IF(AND($AL17=1,$AO17&gt;=2,$AP17&gt;=1,$AP17&lt;$AO17),1,0)</f>
        <v/>
      </c>
      <c r="AT17" s="31">
        <f>IF(AND($AL17=1,$AO17&gt;=2,$AP17=0),1,0)</f>
        <v/>
      </c>
      <c r="AU17" s="31">
        <f>IF(AND($AL17=1,$U17&lt;&gt;"",$U17&lt;TODAY()),1,0)</f>
        <v/>
      </c>
      <c r="AV17" s="31">
        <f>IF(OR($A17="",$AJ17="",Portfolio!$B$10=""),0,IF($AJ17&lt;=Portfolio!$B$10,0,IF(AND($D17="Completed",$Z17=1),1,IF(AND($D17="Terminated",$Z17=1),2,IF(AND($Q17=1,$Z17=0),3,0)))))</f>
        <v/>
      </c>
      <c r="AW17" s="31">
        <f>IF($AV17&gt;0,COUNTIF($AV$6:$AV17,"&gt;0"),"")</f>
        <v/>
      </c>
      <c r="AX17" s="31">
        <f>IF($AL17=0,"",IF(AND($B17="Project",$H17&lt;&gt;"",$H17&lt;TODAY()),"Planned finish "&amp;TEXT($H17,"d mmm")&amp;" has passed",IF($X17&gt;=2,(NETWORKDAYS($H17,$U17)-1)&amp;" working days past plan","")))</f>
        <v/>
      </c>
      <c r="AY17" s="31">
        <f>IF($AL17=0,"",IF($Y17&gt;=2,"Over budget by "&amp;TEXT(IF($B17="Program",$V17,$J17)-$K17,"#,##0"),""))</f>
        <v/>
      </c>
      <c r="AZ17" s="31">
        <f>IF(AND($AL17=1,$U17&lt;&gt;""),IF(AND(N($U17)&gt;=TODAY(),N($U17)&lt;=TODAY()+Board!$B$41),1,0),0)</f>
        <v/>
      </c>
    </row>
    <row r="18">
      <c r="A18" s="29" t="n"/>
      <c r="B18" s="29" t="n"/>
      <c r="C18" s="29" t="n"/>
      <c r="D18" s="29" t="n"/>
      <c r="E18" s="29" t="n"/>
      <c r="F18" s="29" t="n"/>
      <c r="G18" s="29" t="n"/>
      <c r="H18" s="30" t="n"/>
      <c r="I18" s="30" t="n"/>
      <c r="J18" s="19" t="n"/>
      <c r="K18" s="19" t="n"/>
      <c r="L18" s="26" t="n"/>
      <c r="M18" s="31">
        <f>IF($A18="","",IF($D18="","Not read",IF($Q18=0,"Not counted",IF(MAX($X18,$Y18)=3,"■ Red",IF(MAX($X18,$Y18)=2,"◧ Amber",IF(MAX($X18,$Y18)=1,"□ On track","Not read"))))))</f>
        <v/>
      </c>
      <c r="N18" s="31">
        <f>IF(OR($A18="",$B18&lt;&gt;"Program"),"","■ "&amp;COUNTIFS($C$6:$C$305,$A18,$M$6:$M$305,"■ Red")&amp;" Red, ◧ "&amp;COUNTIFS($C$6:$C$305,$A18,$M$6:$M$305,"◧ Amber")&amp;" Amber")</f>
        <v/>
      </c>
      <c r="O18" s="32">
        <f>IF(OR($A18="",$E18=""),"",COUNTIFS($E$6:$E$305,$E18,$D$6:$D$305,"Active")+COUNTIFS($E$6:$E$305,$E18,$D$6:$D$305,"Paused"))</f>
        <v/>
      </c>
      <c r="P18" s="31">
        <f>IF($A18="","",IF($AE18=0,"○ Clear",IF($AA18=1,"△ No owner",IF($AC18=1,"△ Check Sits under",IF($AC18=2,"△ Outside the portfolio",IF($AB18=1,"△ No sponsor","△ No variance note"))))&amp;IF($AE18&gt;1," (+"&amp;($AE18-1)&amp;" more)","")))</f>
        <v/>
      </c>
      <c r="Q18" s="31">
        <f>IF(AND($A18&lt;&gt;"",OR($D18="Active",$D18="Paused")),1,0)</f>
        <v/>
      </c>
      <c r="R18" s="31">
        <f>IFERROR(INDEX($A$6:$A$305,MATCH(11,$S$6:$S$305,0)),"")</f>
        <v/>
      </c>
      <c r="S18" s="31">
        <f>IF(AND($A18&lt;&gt;"",$B18="Program"),COUNTIFS($B$6:$B18,"Program",$A$6:$A18,"&lt;&gt;"),"")</f>
        <v/>
      </c>
      <c r="T18" s="33">
        <f>IF(AND($A18&lt;&gt;"",$B18="Program"),SUMPRODUCT(MAX(($C$6:$C$305=$A18)*($B$6:$B$305="Project")*($D$6:$D$305&lt;&gt;"Proposed")*$I$6:$I$305)),0)</f>
        <v/>
      </c>
      <c r="U18" s="33">
        <f>IF($I18&lt;&gt;"",$I18,IF($T18&gt;0,$T18,""))</f>
        <v/>
      </c>
      <c r="V18" s="31">
        <f>IF(AND($A18&lt;&gt;"",$B18="Program"),SUMIFS($J$6:$J$305,$C$6:$C$305,$A18,$B$6:$B$305,"Project",$D$6:$D$305,"&lt;&gt;Proposed"),0)</f>
        <v/>
      </c>
      <c r="W18" s="31">
        <f>IF(AND($A18&lt;&gt;"",$B18="Program"),COUNTIFS($C$6:$C$305,$A18,$B$6:$B$305,"Project",$D$6:$D$305,"&lt;&gt;Proposed")-COUNTIFS($C$6:$C$305,$A18,$B$6:$B$305,"Project",$D$6:$D$305,"&lt;&gt;Proposed",$J$6:$J$305,"&gt;=0"),0)</f>
        <v/>
      </c>
      <c r="X18" s="31">
        <f>IF(OR($Q18=0,$H18=""),0,IF(AND($B18="Project",$H18&lt;TODAY()),3,IF($U18="",0,IF($U18&lt;=$H18,1,IF(NETWORKDAYS($H18,$U18)-1&gt;IF($B18="Program",Portfolio!$B$16,Portfolio!$B$15),3,2)))))</f>
        <v/>
      </c>
      <c r="Y18" s="31">
        <f>IF(OR($Q18=0,$K18="",$K18=0),0,IF(AND($B18="Project",$J18=""),0,IF(IF($B18="Program",$V18,$J18)&gt;$K18*(1+Portfolio!$B$17),3,IF(IF($B18="Program",$V18,$J18)&gt;$K18,2,IF(AND($B18="Program",OR($W18&gt;0,$V18=0)),0,1)))))</f>
        <v/>
      </c>
      <c r="Z18" s="31">
        <f>IF($A18="",0,IF($C18="Portfolio",1,IF(AND($B18="Project",$C18&lt;&gt;"",$C18&lt;&gt;"Outside the portfolio"),IFERROR(IF(AND(INDEX($B$6:$B$305,MATCH($C18,$A$6:$A$305,0))="Program",INDEX($C$6:$C$305,MATCH($C18,$A$6:$A$305,0))="Portfolio"),1,0),0),0)))</f>
        <v/>
      </c>
      <c r="AA18" s="31">
        <f>IF(AND($A18&lt;&gt;"",$E18="",OR($Q18=1,$D18="Proposed")),1,0)</f>
        <v/>
      </c>
      <c r="AB18" s="31">
        <f>IF(AND($A18&lt;&gt;"",$B18="Program",$F18="",$Q18=1),1,0)</f>
        <v/>
      </c>
      <c r="AC18" s="31">
        <f>IF(OR($A18="",$D18="Completed",$D18="Terminated"),0,IF($C18="",1,IF($C18="Portfolio",0,IF($C18="Outside the portfolio",IF($Q18=1,2,0),IF($B18="Project",IF(IFERROR(INDEX($B$6:$B$305,MATCH($C18,$A$6:$A$305,0)),"")="Program",0,1),1)))))</f>
        <v/>
      </c>
      <c r="AD18" s="31">
        <f>IF(AND($A18&lt;&gt;"",OR($M18="■ Red",$M18="◧ Amber"),$L18=""),1,0)</f>
        <v/>
      </c>
      <c r="AE18" s="31">
        <f>$AA18+$AB18+IF($AC18&gt;0,1,0)+$AD18</f>
        <v/>
      </c>
      <c r="AJ18" s="14" t="n"/>
      <c r="AK18" s="29" t="n"/>
      <c r="AL18" s="31">
        <f>IF(AND($Q18=1,$Z18=1),1,0)</f>
        <v/>
      </c>
      <c r="AM18" s="31">
        <f>IF(AND($AL18=1,$AJ18&lt;&gt;""),MAX(0,TODAY()-$AJ18),"")</f>
        <v/>
      </c>
      <c r="AN18" s="31">
        <f>IF(OR($AL18=0,COUNT($AJ$6:$AJ$305)=0),0,IF($AJ18="",1,IF(TODAY()-$AJ18&gt;Board!$B$40,1,0)))</f>
        <v/>
      </c>
      <c r="AO18" s="31">
        <f>IF($AL18=0,0,IF($M18="■ Red",3,IF($M18="◧ Amber",2,IF($M18="□ On track",1,0))))</f>
        <v/>
      </c>
      <c r="AP18" s="31">
        <f>IF($AL18=0,0,IF($AK18="Will not hold",3,IF($AK18="At risk",2,IF($AK18="Will hold",1,0))))</f>
        <v/>
      </c>
      <c r="AQ18" s="31">
        <f>IF($AL18=0,"",IF($AO18=3,0,IF($AO18=2,1,IF(AND($AP18&gt;=2,$AP18&gt;$AO18),2,""))))</f>
        <v/>
      </c>
      <c r="AR18" s="31">
        <f>IF($AQ18="","",$AQ18*1000+18)</f>
        <v/>
      </c>
      <c r="AS18" s="31">
        <f>IF(AND($AL18=1,$AO18&gt;=2,$AP18&gt;=1,$AP18&lt;$AO18),1,0)</f>
        <v/>
      </c>
      <c r="AT18" s="31">
        <f>IF(AND($AL18=1,$AO18&gt;=2,$AP18=0),1,0)</f>
        <v/>
      </c>
      <c r="AU18" s="31">
        <f>IF(AND($AL18=1,$U18&lt;&gt;"",$U18&lt;TODAY()),1,0)</f>
        <v/>
      </c>
      <c r="AV18" s="31">
        <f>IF(OR($A18="",$AJ18="",Portfolio!$B$10=""),0,IF($AJ18&lt;=Portfolio!$B$10,0,IF(AND($D18="Completed",$Z18=1),1,IF(AND($D18="Terminated",$Z18=1),2,IF(AND($Q18=1,$Z18=0),3,0)))))</f>
        <v/>
      </c>
      <c r="AW18" s="31">
        <f>IF($AV18&gt;0,COUNTIF($AV$6:$AV18,"&gt;0"),"")</f>
        <v/>
      </c>
      <c r="AX18" s="31">
        <f>IF($AL18=0,"",IF(AND($B18="Project",$H18&lt;&gt;"",$H18&lt;TODAY()),"Planned finish "&amp;TEXT($H18,"d mmm")&amp;" has passed",IF($X18&gt;=2,(NETWORKDAYS($H18,$U18)-1)&amp;" working days past plan","")))</f>
        <v/>
      </c>
      <c r="AY18" s="31">
        <f>IF($AL18=0,"",IF($Y18&gt;=2,"Over budget by "&amp;TEXT(IF($B18="Program",$V18,$J18)-$K18,"#,##0"),""))</f>
        <v/>
      </c>
      <c r="AZ18" s="31">
        <f>IF(AND($AL18=1,$U18&lt;&gt;""),IF(AND(N($U18)&gt;=TODAY(),N($U18)&lt;=TODAY()+Board!$B$41),1,0),0)</f>
        <v/>
      </c>
    </row>
    <row r="19">
      <c r="A19" s="29" t="n"/>
      <c r="B19" s="29" t="n"/>
      <c r="C19" s="29" t="n"/>
      <c r="D19" s="29" t="n"/>
      <c r="E19" s="29" t="n"/>
      <c r="F19" s="29" t="n"/>
      <c r="G19" s="29" t="n"/>
      <c r="H19" s="30" t="n"/>
      <c r="I19" s="30" t="n"/>
      <c r="J19" s="19" t="n"/>
      <c r="K19" s="19" t="n"/>
      <c r="L19" s="26" t="n"/>
      <c r="M19" s="31">
        <f>IF($A19="","",IF($D19="","Not read",IF($Q19=0,"Not counted",IF(MAX($X19,$Y19)=3,"■ Red",IF(MAX($X19,$Y19)=2,"◧ Amber",IF(MAX($X19,$Y19)=1,"□ On track","Not read"))))))</f>
        <v/>
      </c>
      <c r="N19" s="31">
        <f>IF(OR($A19="",$B19&lt;&gt;"Program"),"","■ "&amp;COUNTIFS($C$6:$C$305,$A19,$M$6:$M$305,"■ Red")&amp;" Red, ◧ "&amp;COUNTIFS($C$6:$C$305,$A19,$M$6:$M$305,"◧ Amber")&amp;" Amber")</f>
        <v/>
      </c>
      <c r="O19" s="32">
        <f>IF(OR($A19="",$E19=""),"",COUNTIFS($E$6:$E$305,$E19,$D$6:$D$305,"Active")+COUNTIFS($E$6:$E$305,$E19,$D$6:$D$305,"Paused"))</f>
        <v/>
      </c>
      <c r="P19" s="31">
        <f>IF($A19="","",IF($AE19=0,"○ Clear",IF($AA19=1,"△ No owner",IF($AC19=1,"△ Check Sits under",IF($AC19=2,"△ Outside the portfolio",IF($AB19=1,"△ No sponsor","△ No variance note"))))&amp;IF($AE19&gt;1," (+"&amp;($AE19-1)&amp;" more)","")))</f>
        <v/>
      </c>
      <c r="Q19" s="31">
        <f>IF(AND($A19&lt;&gt;"",OR($D19="Active",$D19="Paused")),1,0)</f>
        <v/>
      </c>
      <c r="R19" s="31">
        <f>IFERROR(INDEX($A$6:$A$305,MATCH(12,$S$6:$S$305,0)),"")</f>
        <v/>
      </c>
      <c r="S19" s="31">
        <f>IF(AND($A19&lt;&gt;"",$B19="Program"),COUNTIFS($B$6:$B19,"Program",$A$6:$A19,"&lt;&gt;"),"")</f>
        <v/>
      </c>
      <c r="T19" s="33">
        <f>IF(AND($A19&lt;&gt;"",$B19="Program"),SUMPRODUCT(MAX(($C$6:$C$305=$A19)*($B$6:$B$305="Project")*($D$6:$D$305&lt;&gt;"Proposed")*$I$6:$I$305)),0)</f>
        <v/>
      </c>
      <c r="U19" s="33">
        <f>IF($I19&lt;&gt;"",$I19,IF($T19&gt;0,$T19,""))</f>
        <v/>
      </c>
      <c r="V19" s="31">
        <f>IF(AND($A19&lt;&gt;"",$B19="Program"),SUMIFS($J$6:$J$305,$C$6:$C$305,$A19,$B$6:$B$305,"Project",$D$6:$D$305,"&lt;&gt;Proposed"),0)</f>
        <v/>
      </c>
      <c r="W19" s="31">
        <f>IF(AND($A19&lt;&gt;"",$B19="Program"),COUNTIFS($C$6:$C$305,$A19,$B$6:$B$305,"Project",$D$6:$D$305,"&lt;&gt;Proposed")-COUNTIFS($C$6:$C$305,$A19,$B$6:$B$305,"Project",$D$6:$D$305,"&lt;&gt;Proposed",$J$6:$J$305,"&gt;=0"),0)</f>
        <v/>
      </c>
      <c r="X19" s="31">
        <f>IF(OR($Q19=0,$H19=""),0,IF(AND($B19="Project",$H19&lt;TODAY()),3,IF($U19="",0,IF($U19&lt;=$H19,1,IF(NETWORKDAYS($H19,$U19)-1&gt;IF($B19="Program",Portfolio!$B$16,Portfolio!$B$15),3,2)))))</f>
        <v/>
      </c>
      <c r="Y19" s="31">
        <f>IF(OR($Q19=0,$K19="",$K19=0),0,IF(AND($B19="Project",$J19=""),0,IF(IF($B19="Program",$V19,$J19)&gt;$K19*(1+Portfolio!$B$17),3,IF(IF($B19="Program",$V19,$J19)&gt;$K19,2,IF(AND($B19="Program",OR($W19&gt;0,$V19=0)),0,1)))))</f>
        <v/>
      </c>
      <c r="Z19" s="31">
        <f>IF($A19="",0,IF($C19="Portfolio",1,IF(AND($B19="Project",$C19&lt;&gt;"",$C19&lt;&gt;"Outside the portfolio"),IFERROR(IF(AND(INDEX($B$6:$B$305,MATCH($C19,$A$6:$A$305,0))="Program",INDEX($C$6:$C$305,MATCH($C19,$A$6:$A$305,0))="Portfolio"),1,0),0),0)))</f>
        <v/>
      </c>
      <c r="AA19" s="31">
        <f>IF(AND($A19&lt;&gt;"",$E19="",OR($Q19=1,$D19="Proposed")),1,0)</f>
        <v/>
      </c>
      <c r="AB19" s="31">
        <f>IF(AND($A19&lt;&gt;"",$B19="Program",$F19="",$Q19=1),1,0)</f>
        <v/>
      </c>
      <c r="AC19" s="31">
        <f>IF(OR($A19="",$D19="Completed",$D19="Terminated"),0,IF($C19="",1,IF($C19="Portfolio",0,IF($C19="Outside the portfolio",IF($Q19=1,2,0),IF($B19="Project",IF(IFERROR(INDEX($B$6:$B$305,MATCH($C19,$A$6:$A$305,0)),"")="Program",0,1),1)))))</f>
        <v/>
      </c>
      <c r="AD19" s="31">
        <f>IF(AND($A19&lt;&gt;"",OR($M19="■ Red",$M19="◧ Amber"),$L19=""),1,0)</f>
        <v/>
      </c>
      <c r="AE19" s="31">
        <f>$AA19+$AB19+IF($AC19&gt;0,1,0)+$AD19</f>
        <v/>
      </c>
      <c r="AJ19" s="14" t="n"/>
      <c r="AK19" s="29" t="n"/>
      <c r="AL19" s="31">
        <f>IF(AND($Q19=1,$Z19=1),1,0)</f>
        <v/>
      </c>
      <c r="AM19" s="31">
        <f>IF(AND($AL19=1,$AJ19&lt;&gt;""),MAX(0,TODAY()-$AJ19),"")</f>
        <v/>
      </c>
      <c r="AN19" s="31">
        <f>IF(OR($AL19=0,COUNT($AJ$6:$AJ$305)=0),0,IF($AJ19="",1,IF(TODAY()-$AJ19&gt;Board!$B$40,1,0)))</f>
        <v/>
      </c>
      <c r="AO19" s="31">
        <f>IF($AL19=0,0,IF($M19="■ Red",3,IF($M19="◧ Amber",2,IF($M19="□ On track",1,0))))</f>
        <v/>
      </c>
      <c r="AP19" s="31">
        <f>IF($AL19=0,0,IF($AK19="Will not hold",3,IF($AK19="At risk",2,IF($AK19="Will hold",1,0))))</f>
        <v/>
      </c>
      <c r="AQ19" s="31">
        <f>IF($AL19=0,"",IF($AO19=3,0,IF($AO19=2,1,IF(AND($AP19&gt;=2,$AP19&gt;$AO19),2,""))))</f>
        <v/>
      </c>
      <c r="AR19" s="31">
        <f>IF($AQ19="","",$AQ19*1000+19)</f>
        <v/>
      </c>
      <c r="AS19" s="31">
        <f>IF(AND($AL19=1,$AO19&gt;=2,$AP19&gt;=1,$AP19&lt;$AO19),1,0)</f>
        <v/>
      </c>
      <c r="AT19" s="31">
        <f>IF(AND($AL19=1,$AO19&gt;=2,$AP19=0),1,0)</f>
        <v/>
      </c>
      <c r="AU19" s="31">
        <f>IF(AND($AL19=1,$U19&lt;&gt;"",$U19&lt;TODAY()),1,0)</f>
        <v/>
      </c>
      <c r="AV19" s="31">
        <f>IF(OR($A19="",$AJ19="",Portfolio!$B$10=""),0,IF($AJ19&lt;=Portfolio!$B$10,0,IF(AND($D19="Completed",$Z19=1),1,IF(AND($D19="Terminated",$Z19=1),2,IF(AND($Q19=1,$Z19=0),3,0)))))</f>
        <v/>
      </c>
      <c r="AW19" s="31">
        <f>IF($AV19&gt;0,COUNTIF($AV$6:$AV19,"&gt;0"),"")</f>
        <v/>
      </c>
      <c r="AX19" s="31">
        <f>IF($AL19=0,"",IF(AND($B19="Project",$H19&lt;&gt;"",$H19&lt;TODAY()),"Planned finish "&amp;TEXT($H19,"d mmm")&amp;" has passed",IF($X19&gt;=2,(NETWORKDAYS($H19,$U19)-1)&amp;" working days past plan","")))</f>
        <v/>
      </c>
      <c r="AY19" s="31">
        <f>IF($AL19=0,"",IF($Y19&gt;=2,"Over budget by "&amp;TEXT(IF($B19="Program",$V19,$J19)-$K19,"#,##0"),""))</f>
        <v/>
      </c>
      <c r="AZ19" s="31">
        <f>IF(AND($AL19=1,$U19&lt;&gt;""),IF(AND(N($U19)&gt;=TODAY(),N($U19)&lt;=TODAY()+Board!$B$41),1,0),0)</f>
        <v/>
      </c>
    </row>
    <row r="20">
      <c r="A20" s="29" t="n"/>
      <c r="B20" s="29" t="n"/>
      <c r="C20" s="29" t="n"/>
      <c r="D20" s="29" t="n"/>
      <c r="E20" s="29" t="n"/>
      <c r="F20" s="29" t="n"/>
      <c r="G20" s="29" t="n"/>
      <c r="H20" s="30" t="n"/>
      <c r="I20" s="30" t="n"/>
      <c r="J20" s="19" t="n"/>
      <c r="K20" s="19" t="n"/>
      <c r="L20" s="26" t="n"/>
      <c r="M20" s="31">
        <f>IF($A20="","",IF($D20="","Not read",IF($Q20=0,"Not counted",IF(MAX($X20,$Y20)=3,"■ Red",IF(MAX($X20,$Y20)=2,"◧ Amber",IF(MAX($X20,$Y20)=1,"□ On track","Not read"))))))</f>
        <v/>
      </c>
      <c r="N20" s="31">
        <f>IF(OR($A20="",$B20&lt;&gt;"Program"),"","■ "&amp;COUNTIFS($C$6:$C$305,$A20,$M$6:$M$305,"■ Red")&amp;" Red, ◧ "&amp;COUNTIFS($C$6:$C$305,$A20,$M$6:$M$305,"◧ Amber")&amp;" Amber")</f>
        <v/>
      </c>
      <c r="O20" s="32">
        <f>IF(OR($A20="",$E20=""),"",COUNTIFS($E$6:$E$305,$E20,$D$6:$D$305,"Active")+COUNTIFS($E$6:$E$305,$E20,$D$6:$D$305,"Paused"))</f>
        <v/>
      </c>
      <c r="P20" s="31">
        <f>IF($A20="","",IF($AE20=0,"○ Clear",IF($AA20=1,"△ No owner",IF($AC20=1,"△ Check Sits under",IF($AC20=2,"△ Outside the portfolio",IF($AB20=1,"△ No sponsor","△ No variance note"))))&amp;IF($AE20&gt;1," (+"&amp;($AE20-1)&amp;" more)","")))</f>
        <v/>
      </c>
      <c r="Q20" s="31">
        <f>IF(AND($A20&lt;&gt;"",OR($D20="Active",$D20="Paused")),1,0)</f>
        <v/>
      </c>
      <c r="R20" s="31">
        <f>IFERROR(INDEX($A$6:$A$305,MATCH(13,$S$6:$S$305,0)),"")</f>
        <v/>
      </c>
      <c r="S20" s="31">
        <f>IF(AND($A20&lt;&gt;"",$B20="Program"),COUNTIFS($B$6:$B20,"Program",$A$6:$A20,"&lt;&gt;"),"")</f>
        <v/>
      </c>
      <c r="T20" s="33">
        <f>IF(AND($A20&lt;&gt;"",$B20="Program"),SUMPRODUCT(MAX(($C$6:$C$305=$A20)*($B$6:$B$305="Project")*($D$6:$D$305&lt;&gt;"Proposed")*$I$6:$I$305)),0)</f>
        <v/>
      </c>
      <c r="U20" s="33">
        <f>IF($I20&lt;&gt;"",$I20,IF($T20&gt;0,$T20,""))</f>
        <v/>
      </c>
      <c r="V20" s="31">
        <f>IF(AND($A20&lt;&gt;"",$B20="Program"),SUMIFS($J$6:$J$305,$C$6:$C$305,$A20,$B$6:$B$305,"Project",$D$6:$D$305,"&lt;&gt;Proposed"),0)</f>
        <v/>
      </c>
      <c r="W20" s="31">
        <f>IF(AND($A20&lt;&gt;"",$B20="Program"),COUNTIFS($C$6:$C$305,$A20,$B$6:$B$305,"Project",$D$6:$D$305,"&lt;&gt;Proposed")-COUNTIFS($C$6:$C$305,$A20,$B$6:$B$305,"Project",$D$6:$D$305,"&lt;&gt;Proposed",$J$6:$J$305,"&gt;=0"),0)</f>
        <v/>
      </c>
      <c r="X20" s="31">
        <f>IF(OR($Q20=0,$H20=""),0,IF(AND($B20="Project",$H20&lt;TODAY()),3,IF($U20="",0,IF($U20&lt;=$H20,1,IF(NETWORKDAYS($H20,$U20)-1&gt;IF($B20="Program",Portfolio!$B$16,Portfolio!$B$15),3,2)))))</f>
        <v/>
      </c>
      <c r="Y20" s="31">
        <f>IF(OR($Q20=0,$K20="",$K20=0),0,IF(AND($B20="Project",$J20=""),0,IF(IF($B20="Program",$V20,$J20)&gt;$K20*(1+Portfolio!$B$17),3,IF(IF($B20="Program",$V20,$J20)&gt;$K20,2,IF(AND($B20="Program",OR($W20&gt;0,$V20=0)),0,1)))))</f>
        <v/>
      </c>
      <c r="Z20" s="31">
        <f>IF($A20="",0,IF($C20="Portfolio",1,IF(AND($B20="Project",$C20&lt;&gt;"",$C20&lt;&gt;"Outside the portfolio"),IFERROR(IF(AND(INDEX($B$6:$B$305,MATCH($C20,$A$6:$A$305,0))="Program",INDEX($C$6:$C$305,MATCH($C20,$A$6:$A$305,0))="Portfolio"),1,0),0),0)))</f>
        <v/>
      </c>
      <c r="AA20" s="31">
        <f>IF(AND($A20&lt;&gt;"",$E20="",OR($Q20=1,$D20="Proposed")),1,0)</f>
        <v/>
      </c>
      <c r="AB20" s="31">
        <f>IF(AND($A20&lt;&gt;"",$B20="Program",$F20="",$Q20=1),1,0)</f>
        <v/>
      </c>
      <c r="AC20" s="31">
        <f>IF(OR($A20="",$D20="Completed",$D20="Terminated"),0,IF($C20="",1,IF($C20="Portfolio",0,IF($C20="Outside the portfolio",IF($Q20=1,2,0),IF($B20="Project",IF(IFERROR(INDEX($B$6:$B$305,MATCH($C20,$A$6:$A$305,0)),"")="Program",0,1),1)))))</f>
        <v/>
      </c>
      <c r="AD20" s="31">
        <f>IF(AND($A20&lt;&gt;"",OR($M20="■ Red",$M20="◧ Amber"),$L20=""),1,0)</f>
        <v/>
      </c>
      <c r="AE20" s="31">
        <f>$AA20+$AB20+IF($AC20&gt;0,1,0)+$AD20</f>
        <v/>
      </c>
      <c r="AJ20" s="14" t="n"/>
      <c r="AK20" s="29" t="n"/>
      <c r="AL20" s="31">
        <f>IF(AND($Q20=1,$Z20=1),1,0)</f>
        <v/>
      </c>
      <c r="AM20" s="31">
        <f>IF(AND($AL20=1,$AJ20&lt;&gt;""),MAX(0,TODAY()-$AJ20),"")</f>
        <v/>
      </c>
      <c r="AN20" s="31">
        <f>IF(OR($AL20=0,COUNT($AJ$6:$AJ$305)=0),0,IF($AJ20="",1,IF(TODAY()-$AJ20&gt;Board!$B$40,1,0)))</f>
        <v/>
      </c>
      <c r="AO20" s="31">
        <f>IF($AL20=0,0,IF($M20="■ Red",3,IF($M20="◧ Amber",2,IF($M20="□ On track",1,0))))</f>
        <v/>
      </c>
      <c r="AP20" s="31">
        <f>IF($AL20=0,0,IF($AK20="Will not hold",3,IF($AK20="At risk",2,IF($AK20="Will hold",1,0))))</f>
        <v/>
      </c>
      <c r="AQ20" s="31">
        <f>IF($AL20=0,"",IF($AO20=3,0,IF($AO20=2,1,IF(AND($AP20&gt;=2,$AP20&gt;$AO20),2,""))))</f>
        <v/>
      </c>
      <c r="AR20" s="31">
        <f>IF($AQ20="","",$AQ20*1000+20)</f>
        <v/>
      </c>
      <c r="AS20" s="31">
        <f>IF(AND($AL20=1,$AO20&gt;=2,$AP20&gt;=1,$AP20&lt;$AO20),1,0)</f>
        <v/>
      </c>
      <c r="AT20" s="31">
        <f>IF(AND($AL20=1,$AO20&gt;=2,$AP20=0),1,0)</f>
        <v/>
      </c>
      <c r="AU20" s="31">
        <f>IF(AND($AL20=1,$U20&lt;&gt;"",$U20&lt;TODAY()),1,0)</f>
        <v/>
      </c>
      <c r="AV20" s="31">
        <f>IF(OR($A20="",$AJ20="",Portfolio!$B$10=""),0,IF($AJ20&lt;=Portfolio!$B$10,0,IF(AND($D20="Completed",$Z20=1),1,IF(AND($D20="Terminated",$Z20=1),2,IF(AND($Q20=1,$Z20=0),3,0)))))</f>
        <v/>
      </c>
      <c r="AW20" s="31">
        <f>IF($AV20&gt;0,COUNTIF($AV$6:$AV20,"&gt;0"),"")</f>
        <v/>
      </c>
      <c r="AX20" s="31">
        <f>IF($AL20=0,"",IF(AND($B20="Project",$H20&lt;&gt;"",$H20&lt;TODAY()),"Planned finish "&amp;TEXT($H20,"d mmm")&amp;" has passed",IF($X20&gt;=2,(NETWORKDAYS($H20,$U20)-1)&amp;" working days past plan","")))</f>
        <v/>
      </c>
      <c r="AY20" s="31">
        <f>IF($AL20=0,"",IF($Y20&gt;=2,"Over budget by "&amp;TEXT(IF($B20="Program",$V20,$J20)-$K20,"#,##0"),""))</f>
        <v/>
      </c>
      <c r="AZ20" s="31">
        <f>IF(AND($AL20=1,$U20&lt;&gt;""),IF(AND(N($U20)&gt;=TODAY(),N($U20)&lt;=TODAY()+Board!$B$41),1,0),0)</f>
        <v/>
      </c>
    </row>
    <row r="21">
      <c r="A21" s="29" t="n"/>
      <c r="B21" s="29" t="n"/>
      <c r="C21" s="29" t="n"/>
      <c r="D21" s="29" t="n"/>
      <c r="E21" s="29" t="n"/>
      <c r="F21" s="29" t="n"/>
      <c r="G21" s="29" t="n"/>
      <c r="H21" s="30" t="n"/>
      <c r="I21" s="30" t="n"/>
      <c r="J21" s="19" t="n"/>
      <c r="K21" s="19" t="n"/>
      <c r="L21" s="26" t="n"/>
      <c r="M21" s="31">
        <f>IF($A21="","",IF($D21="","Not read",IF($Q21=0,"Not counted",IF(MAX($X21,$Y21)=3,"■ Red",IF(MAX($X21,$Y21)=2,"◧ Amber",IF(MAX($X21,$Y21)=1,"□ On track","Not read"))))))</f>
        <v/>
      </c>
      <c r="N21" s="31">
        <f>IF(OR($A21="",$B21&lt;&gt;"Program"),"","■ "&amp;COUNTIFS($C$6:$C$305,$A21,$M$6:$M$305,"■ Red")&amp;" Red, ◧ "&amp;COUNTIFS($C$6:$C$305,$A21,$M$6:$M$305,"◧ Amber")&amp;" Amber")</f>
        <v/>
      </c>
      <c r="O21" s="32">
        <f>IF(OR($A21="",$E21=""),"",COUNTIFS($E$6:$E$305,$E21,$D$6:$D$305,"Active")+COUNTIFS($E$6:$E$305,$E21,$D$6:$D$305,"Paused"))</f>
        <v/>
      </c>
      <c r="P21" s="31">
        <f>IF($A21="","",IF($AE21=0,"○ Clear",IF($AA21=1,"△ No owner",IF($AC21=1,"△ Check Sits under",IF($AC21=2,"△ Outside the portfolio",IF($AB21=1,"△ No sponsor","△ No variance note"))))&amp;IF($AE21&gt;1," (+"&amp;($AE21-1)&amp;" more)","")))</f>
        <v/>
      </c>
      <c r="Q21" s="31">
        <f>IF(AND($A21&lt;&gt;"",OR($D21="Active",$D21="Paused")),1,0)</f>
        <v/>
      </c>
      <c r="R21" s="31">
        <f>IFERROR(INDEX($A$6:$A$305,MATCH(14,$S$6:$S$305,0)),"")</f>
        <v/>
      </c>
      <c r="S21" s="31">
        <f>IF(AND($A21&lt;&gt;"",$B21="Program"),COUNTIFS($B$6:$B21,"Program",$A$6:$A21,"&lt;&gt;"),"")</f>
        <v/>
      </c>
      <c r="T21" s="33">
        <f>IF(AND($A21&lt;&gt;"",$B21="Program"),SUMPRODUCT(MAX(($C$6:$C$305=$A21)*($B$6:$B$305="Project")*($D$6:$D$305&lt;&gt;"Proposed")*$I$6:$I$305)),0)</f>
        <v/>
      </c>
      <c r="U21" s="33">
        <f>IF($I21&lt;&gt;"",$I21,IF($T21&gt;0,$T21,""))</f>
        <v/>
      </c>
      <c r="V21" s="31">
        <f>IF(AND($A21&lt;&gt;"",$B21="Program"),SUMIFS($J$6:$J$305,$C$6:$C$305,$A21,$B$6:$B$305,"Project",$D$6:$D$305,"&lt;&gt;Proposed"),0)</f>
        <v/>
      </c>
      <c r="W21" s="31">
        <f>IF(AND($A21&lt;&gt;"",$B21="Program"),COUNTIFS($C$6:$C$305,$A21,$B$6:$B$305,"Project",$D$6:$D$305,"&lt;&gt;Proposed")-COUNTIFS($C$6:$C$305,$A21,$B$6:$B$305,"Project",$D$6:$D$305,"&lt;&gt;Proposed",$J$6:$J$305,"&gt;=0"),0)</f>
        <v/>
      </c>
      <c r="X21" s="31">
        <f>IF(OR($Q21=0,$H21=""),0,IF(AND($B21="Project",$H21&lt;TODAY()),3,IF($U21="",0,IF($U21&lt;=$H21,1,IF(NETWORKDAYS($H21,$U21)-1&gt;IF($B21="Program",Portfolio!$B$16,Portfolio!$B$15),3,2)))))</f>
        <v/>
      </c>
      <c r="Y21" s="31">
        <f>IF(OR($Q21=0,$K21="",$K21=0),0,IF(AND($B21="Project",$J21=""),0,IF(IF($B21="Program",$V21,$J21)&gt;$K21*(1+Portfolio!$B$17),3,IF(IF($B21="Program",$V21,$J21)&gt;$K21,2,IF(AND($B21="Program",OR($W21&gt;0,$V21=0)),0,1)))))</f>
        <v/>
      </c>
      <c r="Z21" s="31">
        <f>IF($A21="",0,IF($C21="Portfolio",1,IF(AND($B21="Project",$C21&lt;&gt;"",$C21&lt;&gt;"Outside the portfolio"),IFERROR(IF(AND(INDEX($B$6:$B$305,MATCH($C21,$A$6:$A$305,0))="Program",INDEX($C$6:$C$305,MATCH($C21,$A$6:$A$305,0))="Portfolio"),1,0),0),0)))</f>
        <v/>
      </c>
      <c r="AA21" s="31">
        <f>IF(AND($A21&lt;&gt;"",$E21="",OR($Q21=1,$D21="Proposed")),1,0)</f>
        <v/>
      </c>
      <c r="AB21" s="31">
        <f>IF(AND($A21&lt;&gt;"",$B21="Program",$F21="",$Q21=1),1,0)</f>
        <v/>
      </c>
      <c r="AC21" s="31">
        <f>IF(OR($A21="",$D21="Completed",$D21="Terminated"),0,IF($C21="",1,IF($C21="Portfolio",0,IF($C21="Outside the portfolio",IF($Q21=1,2,0),IF($B21="Project",IF(IFERROR(INDEX($B$6:$B$305,MATCH($C21,$A$6:$A$305,0)),"")="Program",0,1),1)))))</f>
        <v/>
      </c>
      <c r="AD21" s="31">
        <f>IF(AND($A21&lt;&gt;"",OR($M21="■ Red",$M21="◧ Amber"),$L21=""),1,0)</f>
        <v/>
      </c>
      <c r="AE21" s="31">
        <f>$AA21+$AB21+IF($AC21&gt;0,1,0)+$AD21</f>
        <v/>
      </c>
      <c r="AJ21" s="14" t="n"/>
      <c r="AK21" s="29" t="n"/>
      <c r="AL21" s="31">
        <f>IF(AND($Q21=1,$Z21=1),1,0)</f>
        <v/>
      </c>
      <c r="AM21" s="31">
        <f>IF(AND($AL21=1,$AJ21&lt;&gt;""),MAX(0,TODAY()-$AJ21),"")</f>
        <v/>
      </c>
      <c r="AN21" s="31">
        <f>IF(OR($AL21=0,COUNT($AJ$6:$AJ$305)=0),0,IF($AJ21="",1,IF(TODAY()-$AJ21&gt;Board!$B$40,1,0)))</f>
        <v/>
      </c>
      <c r="AO21" s="31">
        <f>IF($AL21=0,0,IF($M21="■ Red",3,IF($M21="◧ Amber",2,IF($M21="□ On track",1,0))))</f>
        <v/>
      </c>
      <c r="AP21" s="31">
        <f>IF($AL21=0,0,IF($AK21="Will not hold",3,IF($AK21="At risk",2,IF($AK21="Will hold",1,0))))</f>
        <v/>
      </c>
      <c r="AQ21" s="31">
        <f>IF($AL21=0,"",IF($AO21=3,0,IF($AO21=2,1,IF(AND($AP21&gt;=2,$AP21&gt;$AO21),2,""))))</f>
        <v/>
      </c>
      <c r="AR21" s="31">
        <f>IF($AQ21="","",$AQ21*1000+21)</f>
        <v/>
      </c>
      <c r="AS21" s="31">
        <f>IF(AND($AL21=1,$AO21&gt;=2,$AP21&gt;=1,$AP21&lt;$AO21),1,0)</f>
        <v/>
      </c>
      <c r="AT21" s="31">
        <f>IF(AND($AL21=1,$AO21&gt;=2,$AP21=0),1,0)</f>
        <v/>
      </c>
      <c r="AU21" s="31">
        <f>IF(AND($AL21=1,$U21&lt;&gt;"",$U21&lt;TODAY()),1,0)</f>
        <v/>
      </c>
      <c r="AV21" s="31">
        <f>IF(OR($A21="",$AJ21="",Portfolio!$B$10=""),0,IF($AJ21&lt;=Portfolio!$B$10,0,IF(AND($D21="Completed",$Z21=1),1,IF(AND($D21="Terminated",$Z21=1),2,IF(AND($Q21=1,$Z21=0),3,0)))))</f>
        <v/>
      </c>
      <c r="AW21" s="31">
        <f>IF($AV21&gt;0,COUNTIF($AV$6:$AV21,"&gt;0"),"")</f>
        <v/>
      </c>
      <c r="AX21" s="31">
        <f>IF($AL21=0,"",IF(AND($B21="Project",$H21&lt;&gt;"",$H21&lt;TODAY()),"Planned finish "&amp;TEXT($H21,"d mmm")&amp;" has passed",IF($X21&gt;=2,(NETWORKDAYS($H21,$U21)-1)&amp;" working days past plan","")))</f>
        <v/>
      </c>
      <c r="AY21" s="31">
        <f>IF($AL21=0,"",IF($Y21&gt;=2,"Over budget by "&amp;TEXT(IF($B21="Program",$V21,$J21)-$K21,"#,##0"),""))</f>
        <v/>
      </c>
      <c r="AZ21" s="31">
        <f>IF(AND($AL21=1,$U21&lt;&gt;""),IF(AND(N($U21)&gt;=TODAY(),N($U21)&lt;=TODAY()+Board!$B$41),1,0),0)</f>
        <v/>
      </c>
    </row>
    <row r="22">
      <c r="A22" s="29" t="n"/>
      <c r="B22" s="29" t="n"/>
      <c r="C22" s="29" t="n"/>
      <c r="D22" s="29" t="n"/>
      <c r="E22" s="29" t="n"/>
      <c r="F22" s="29" t="n"/>
      <c r="G22" s="29" t="n"/>
      <c r="H22" s="30" t="n"/>
      <c r="I22" s="30" t="n"/>
      <c r="J22" s="19" t="n"/>
      <c r="K22" s="19" t="n"/>
      <c r="L22" s="26" t="n"/>
      <c r="M22" s="31">
        <f>IF($A22="","",IF($D22="","Not read",IF($Q22=0,"Not counted",IF(MAX($X22,$Y22)=3,"■ Red",IF(MAX($X22,$Y22)=2,"◧ Amber",IF(MAX($X22,$Y22)=1,"□ On track","Not read"))))))</f>
        <v/>
      </c>
      <c r="N22" s="31">
        <f>IF(OR($A22="",$B22&lt;&gt;"Program"),"","■ "&amp;COUNTIFS($C$6:$C$305,$A22,$M$6:$M$305,"■ Red")&amp;" Red, ◧ "&amp;COUNTIFS($C$6:$C$305,$A22,$M$6:$M$305,"◧ Amber")&amp;" Amber")</f>
        <v/>
      </c>
      <c r="O22" s="32">
        <f>IF(OR($A22="",$E22=""),"",COUNTIFS($E$6:$E$305,$E22,$D$6:$D$305,"Active")+COUNTIFS($E$6:$E$305,$E22,$D$6:$D$305,"Paused"))</f>
        <v/>
      </c>
      <c r="P22" s="31">
        <f>IF($A22="","",IF($AE22=0,"○ Clear",IF($AA22=1,"△ No owner",IF($AC22=1,"△ Check Sits under",IF($AC22=2,"△ Outside the portfolio",IF($AB22=1,"△ No sponsor","△ No variance note"))))&amp;IF($AE22&gt;1," (+"&amp;($AE22-1)&amp;" more)","")))</f>
        <v/>
      </c>
      <c r="Q22" s="31">
        <f>IF(AND($A22&lt;&gt;"",OR($D22="Active",$D22="Paused")),1,0)</f>
        <v/>
      </c>
      <c r="R22" s="31">
        <f>IFERROR(INDEX($A$6:$A$305,MATCH(15,$S$6:$S$305,0)),"")</f>
        <v/>
      </c>
      <c r="S22" s="31">
        <f>IF(AND($A22&lt;&gt;"",$B22="Program"),COUNTIFS($B$6:$B22,"Program",$A$6:$A22,"&lt;&gt;"),"")</f>
        <v/>
      </c>
      <c r="T22" s="33">
        <f>IF(AND($A22&lt;&gt;"",$B22="Program"),SUMPRODUCT(MAX(($C$6:$C$305=$A22)*($B$6:$B$305="Project")*($D$6:$D$305&lt;&gt;"Proposed")*$I$6:$I$305)),0)</f>
        <v/>
      </c>
      <c r="U22" s="33">
        <f>IF($I22&lt;&gt;"",$I22,IF($T22&gt;0,$T22,""))</f>
        <v/>
      </c>
      <c r="V22" s="31">
        <f>IF(AND($A22&lt;&gt;"",$B22="Program"),SUMIFS($J$6:$J$305,$C$6:$C$305,$A22,$B$6:$B$305,"Project",$D$6:$D$305,"&lt;&gt;Proposed"),0)</f>
        <v/>
      </c>
      <c r="W22" s="31">
        <f>IF(AND($A22&lt;&gt;"",$B22="Program"),COUNTIFS($C$6:$C$305,$A22,$B$6:$B$305,"Project",$D$6:$D$305,"&lt;&gt;Proposed")-COUNTIFS($C$6:$C$305,$A22,$B$6:$B$305,"Project",$D$6:$D$305,"&lt;&gt;Proposed",$J$6:$J$305,"&gt;=0"),0)</f>
        <v/>
      </c>
      <c r="X22" s="31">
        <f>IF(OR($Q22=0,$H22=""),0,IF(AND($B22="Project",$H22&lt;TODAY()),3,IF($U22="",0,IF($U22&lt;=$H22,1,IF(NETWORKDAYS($H22,$U22)-1&gt;IF($B22="Program",Portfolio!$B$16,Portfolio!$B$15),3,2)))))</f>
        <v/>
      </c>
      <c r="Y22" s="31">
        <f>IF(OR($Q22=0,$K22="",$K22=0),0,IF(AND($B22="Project",$J22=""),0,IF(IF($B22="Program",$V22,$J22)&gt;$K22*(1+Portfolio!$B$17),3,IF(IF($B22="Program",$V22,$J22)&gt;$K22,2,IF(AND($B22="Program",OR($W22&gt;0,$V22=0)),0,1)))))</f>
        <v/>
      </c>
      <c r="Z22" s="31">
        <f>IF($A22="",0,IF($C22="Portfolio",1,IF(AND($B22="Project",$C22&lt;&gt;"",$C22&lt;&gt;"Outside the portfolio"),IFERROR(IF(AND(INDEX($B$6:$B$305,MATCH($C22,$A$6:$A$305,0))="Program",INDEX($C$6:$C$305,MATCH($C22,$A$6:$A$305,0))="Portfolio"),1,0),0),0)))</f>
        <v/>
      </c>
      <c r="AA22" s="31">
        <f>IF(AND($A22&lt;&gt;"",$E22="",OR($Q22=1,$D22="Proposed")),1,0)</f>
        <v/>
      </c>
      <c r="AB22" s="31">
        <f>IF(AND($A22&lt;&gt;"",$B22="Program",$F22="",$Q22=1),1,0)</f>
        <v/>
      </c>
      <c r="AC22" s="31">
        <f>IF(OR($A22="",$D22="Completed",$D22="Terminated"),0,IF($C22="",1,IF($C22="Portfolio",0,IF($C22="Outside the portfolio",IF($Q22=1,2,0),IF($B22="Project",IF(IFERROR(INDEX($B$6:$B$305,MATCH($C22,$A$6:$A$305,0)),"")="Program",0,1),1)))))</f>
        <v/>
      </c>
      <c r="AD22" s="31">
        <f>IF(AND($A22&lt;&gt;"",OR($M22="■ Red",$M22="◧ Amber"),$L22=""),1,0)</f>
        <v/>
      </c>
      <c r="AE22" s="31">
        <f>$AA22+$AB22+IF($AC22&gt;0,1,0)+$AD22</f>
        <v/>
      </c>
      <c r="AJ22" s="14" t="n"/>
      <c r="AK22" s="29" t="n"/>
      <c r="AL22" s="31">
        <f>IF(AND($Q22=1,$Z22=1),1,0)</f>
        <v/>
      </c>
      <c r="AM22" s="31">
        <f>IF(AND($AL22=1,$AJ22&lt;&gt;""),MAX(0,TODAY()-$AJ22),"")</f>
        <v/>
      </c>
      <c r="AN22" s="31">
        <f>IF(OR($AL22=0,COUNT($AJ$6:$AJ$305)=0),0,IF($AJ22="",1,IF(TODAY()-$AJ22&gt;Board!$B$40,1,0)))</f>
        <v/>
      </c>
      <c r="AO22" s="31">
        <f>IF($AL22=0,0,IF($M22="■ Red",3,IF($M22="◧ Amber",2,IF($M22="□ On track",1,0))))</f>
        <v/>
      </c>
      <c r="AP22" s="31">
        <f>IF($AL22=0,0,IF($AK22="Will not hold",3,IF($AK22="At risk",2,IF($AK22="Will hold",1,0))))</f>
        <v/>
      </c>
      <c r="AQ22" s="31">
        <f>IF($AL22=0,"",IF($AO22=3,0,IF($AO22=2,1,IF(AND($AP22&gt;=2,$AP22&gt;$AO22),2,""))))</f>
        <v/>
      </c>
      <c r="AR22" s="31">
        <f>IF($AQ22="","",$AQ22*1000+22)</f>
        <v/>
      </c>
      <c r="AS22" s="31">
        <f>IF(AND($AL22=1,$AO22&gt;=2,$AP22&gt;=1,$AP22&lt;$AO22),1,0)</f>
        <v/>
      </c>
      <c r="AT22" s="31">
        <f>IF(AND($AL22=1,$AO22&gt;=2,$AP22=0),1,0)</f>
        <v/>
      </c>
      <c r="AU22" s="31">
        <f>IF(AND($AL22=1,$U22&lt;&gt;"",$U22&lt;TODAY()),1,0)</f>
        <v/>
      </c>
      <c r="AV22" s="31">
        <f>IF(OR($A22="",$AJ22="",Portfolio!$B$10=""),0,IF($AJ22&lt;=Portfolio!$B$10,0,IF(AND($D22="Completed",$Z22=1),1,IF(AND($D22="Terminated",$Z22=1),2,IF(AND($Q22=1,$Z22=0),3,0)))))</f>
        <v/>
      </c>
      <c r="AW22" s="31">
        <f>IF($AV22&gt;0,COUNTIF($AV$6:$AV22,"&gt;0"),"")</f>
        <v/>
      </c>
      <c r="AX22" s="31">
        <f>IF($AL22=0,"",IF(AND($B22="Project",$H22&lt;&gt;"",$H22&lt;TODAY()),"Planned finish "&amp;TEXT($H22,"d mmm")&amp;" has passed",IF($X22&gt;=2,(NETWORKDAYS($H22,$U22)-1)&amp;" working days past plan","")))</f>
        <v/>
      </c>
      <c r="AY22" s="31">
        <f>IF($AL22=0,"",IF($Y22&gt;=2,"Over budget by "&amp;TEXT(IF($B22="Program",$V22,$J22)-$K22,"#,##0"),""))</f>
        <v/>
      </c>
      <c r="AZ22" s="31">
        <f>IF(AND($AL22=1,$U22&lt;&gt;""),IF(AND(N($U22)&gt;=TODAY(),N($U22)&lt;=TODAY()+Board!$B$41),1,0),0)</f>
        <v/>
      </c>
    </row>
    <row r="23">
      <c r="A23" s="29" t="n"/>
      <c r="B23" s="29" t="n"/>
      <c r="C23" s="29" t="n"/>
      <c r="D23" s="29" t="n"/>
      <c r="E23" s="29" t="n"/>
      <c r="F23" s="29" t="n"/>
      <c r="G23" s="29" t="n"/>
      <c r="H23" s="30" t="n"/>
      <c r="I23" s="30" t="n"/>
      <c r="J23" s="19" t="n"/>
      <c r="K23" s="19" t="n"/>
      <c r="L23" s="26" t="n"/>
      <c r="M23" s="31">
        <f>IF($A23="","",IF($D23="","Not read",IF($Q23=0,"Not counted",IF(MAX($X23,$Y23)=3,"■ Red",IF(MAX($X23,$Y23)=2,"◧ Amber",IF(MAX($X23,$Y23)=1,"□ On track","Not read"))))))</f>
        <v/>
      </c>
      <c r="N23" s="31">
        <f>IF(OR($A23="",$B23&lt;&gt;"Program"),"","■ "&amp;COUNTIFS($C$6:$C$305,$A23,$M$6:$M$305,"■ Red")&amp;" Red, ◧ "&amp;COUNTIFS($C$6:$C$305,$A23,$M$6:$M$305,"◧ Amber")&amp;" Amber")</f>
        <v/>
      </c>
      <c r="O23" s="32">
        <f>IF(OR($A23="",$E23=""),"",COUNTIFS($E$6:$E$305,$E23,$D$6:$D$305,"Active")+COUNTIFS($E$6:$E$305,$E23,$D$6:$D$305,"Paused"))</f>
        <v/>
      </c>
      <c r="P23" s="31">
        <f>IF($A23="","",IF($AE23=0,"○ Clear",IF($AA23=1,"△ No owner",IF($AC23=1,"△ Check Sits under",IF($AC23=2,"△ Outside the portfolio",IF($AB23=1,"△ No sponsor","△ No variance note"))))&amp;IF($AE23&gt;1," (+"&amp;($AE23-1)&amp;" more)","")))</f>
        <v/>
      </c>
      <c r="Q23" s="31">
        <f>IF(AND($A23&lt;&gt;"",OR($D23="Active",$D23="Paused")),1,0)</f>
        <v/>
      </c>
      <c r="R23" s="31">
        <f>IFERROR(INDEX($A$6:$A$305,MATCH(16,$S$6:$S$305,0)),"")</f>
        <v/>
      </c>
      <c r="S23" s="31">
        <f>IF(AND($A23&lt;&gt;"",$B23="Program"),COUNTIFS($B$6:$B23,"Program",$A$6:$A23,"&lt;&gt;"),"")</f>
        <v/>
      </c>
      <c r="T23" s="33">
        <f>IF(AND($A23&lt;&gt;"",$B23="Program"),SUMPRODUCT(MAX(($C$6:$C$305=$A23)*($B$6:$B$305="Project")*($D$6:$D$305&lt;&gt;"Proposed")*$I$6:$I$305)),0)</f>
        <v/>
      </c>
      <c r="U23" s="33">
        <f>IF($I23&lt;&gt;"",$I23,IF($T23&gt;0,$T23,""))</f>
        <v/>
      </c>
      <c r="V23" s="31">
        <f>IF(AND($A23&lt;&gt;"",$B23="Program"),SUMIFS($J$6:$J$305,$C$6:$C$305,$A23,$B$6:$B$305,"Project",$D$6:$D$305,"&lt;&gt;Proposed"),0)</f>
        <v/>
      </c>
      <c r="W23" s="31">
        <f>IF(AND($A23&lt;&gt;"",$B23="Program"),COUNTIFS($C$6:$C$305,$A23,$B$6:$B$305,"Project",$D$6:$D$305,"&lt;&gt;Proposed")-COUNTIFS($C$6:$C$305,$A23,$B$6:$B$305,"Project",$D$6:$D$305,"&lt;&gt;Proposed",$J$6:$J$305,"&gt;=0"),0)</f>
        <v/>
      </c>
      <c r="X23" s="31">
        <f>IF(OR($Q23=0,$H23=""),0,IF(AND($B23="Project",$H23&lt;TODAY()),3,IF($U23="",0,IF($U23&lt;=$H23,1,IF(NETWORKDAYS($H23,$U23)-1&gt;IF($B23="Program",Portfolio!$B$16,Portfolio!$B$15),3,2)))))</f>
        <v/>
      </c>
      <c r="Y23" s="31">
        <f>IF(OR($Q23=0,$K23="",$K23=0),0,IF(AND($B23="Project",$J23=""),0,IF(IF($B23="Program",$V23,$J23)&gt;$K23*(1+Portfolio!$B$17),3,IF(IF($B23="Program",$V23,$J23)&gt;$K23,2,IF(AND($B23="Program",OR($W23&gt;0,$V23=0)),0,1)))))</f>
        <v/>
      </c>
      <c r="Z23" s="31">
        <f>IF($A23="",0,IF($C23="Portfolio",1,IF(AND($B23="Project",$C23&lt;&gt;"",$C23&lt;&gt;"Outside the portfolio"),IFERROR(IF(AND(INDEX($B$6:$B$305,MATCH($C23,$A$6:$A$305,0))="Program",INDEX($C$6:$C$305,MATCH($C23,$A$6:$A$305,0))="Portfolio"),1,0),0),0)))</f>
        <v/>
      </c>
      <c r="AA23" s="31">
        <f>IF(AND($A23&lt;&gt;"",$E23="",OR($Q23=1,$D23="Proposed")),1,0)</f>
        <v/>
      </c>
      <c r="AB23" s="31">
        <f>IF(AND($A23&lt;&gt;"",$B23="Program",$F23="",$Q23=1),1,0)</f>
        <v/>
      </c>
      <c r="AC23" s="31">
        <f>IF(OR($A23="",$D23="Completed",$D23="Terminated"),0,IF($C23="",1,IF($C23="Portfolio",0,IF($C23="Outside the portfolio",IF($Q23=1,2,0),IF($B23="Project",IF(IFERROR(INDEX($B$6:$B$305,MATCH($C23,$A$6:$A$305,0)),"")="Program",0,1),1)))))</f>
        <v/>
      </c>
      <c r="AD23" s="31">
        <f>IF(AND($A23&lt;&gt;"",OR($M23="■ Red",$M23="◧ Amber"),$L23=""),1,0)</f>
        <v/>
      </c>
      <c r="AE23" s="31">
        <f>$AA23+$AB23+IF($AC23&gt;0,1,0)+$AD23</f>
        <v/>
      </c>
      <c r="AJ23" s="14" t="n"/>
      <c r="AK23" s="29" t="n"/>
      <c r="AL23" s="31">
        <f>IF(AND($Q23=1,$Z23=1),1,0)</f>
        <v/>
      </c>
      <c r="AM23" s="31">
        <f>IF(AND($AL23=1,$AJ23&lt;&gt;""),MAX(0,TODAY()-$AJ23),"")</f>
        <v/>
      </c>
      <c r="AN23" s="31">
        <f>IF(OR($AL23=0,COUNT($AJ$6:$AJ$305)=0),0,IF($AJ23="",1,IF(TODAY()-$AJ23&gt;Board!$B$40,1,0)))</f>
        <v/>
      </c>
      <c r="AO23" s="31">
        <f>IF($AL23=0,0,IF($M23="■ Red",3,IF($M23="◧ Amber",2,IF($M23="□ On track",1,0))))</f>
        <v/>
      </c>
      <c r="AP23" s="31">
        <f>IF($AL23=0,0,IF($AK23="Will not hold",3,IF($AK23="At risk",2,IF($AK23="Will hold",1,0))))</f>
        <v/>
      </c>
      <c r="AQ23" s="31">
        <f>IF($AL23=0,"",IF($AO23=3,0,IF($AO23=2,1,IF(AND($AP23&gt;=2,$AP23&gt;$AO23),2,""))))</f>
        <v/>
      </c>
      <c r="AR23" s="31">
        <f>IF($AQ23="","",$AQ23*1000+23)</f>
        <v/>
      </c>
      <c r="AS23" s="31">
        <f>IF(AND($AL23=1,$AO23&gt;=2,$AP23&gt;=1,$AP23&lt;$AO23),1,0)</f>
        <v/>
      </c>
      <c r="AT23" s="31">
        <f>IF(AND($AL23=1,$AO23&gt;=2,$AP23=0),1,0)</f>
        <v/>
      </c>
      <c r="AU23" s="31">
        <f>IF(AND($AL23=1,$U23&lt;&gt;"",$U23&lt;TODAY()),1,0)</f>
        <v/>
      </c>
      <c r="AV23" s="31">
        <f>IF(OR($A23="",$AJ23="",Portfolio!$B$10=""),0,IF($AJ23&lt;=Portfolio!$B$10,0,IF(AND($D23="Completed",$Z23=1),1,IF(AND($D23="Terminated",$Z23=1),2,IF(AND($Q23=1,$Z23=0),3,0)))))</f>
        <v/>
      </c>
      <c r="AW23" s="31">
        <f>IF($AV23&gt;0,COUNTIF($AV$6:$AV23,"&gt;0"),"")</f>
        <v/>
      </c>
      <c r="AX23" s="31">
        <f>IF($AL23=0,"",IF(AND($B23="Project",$H23&lt;&gt;"",$H23&lt;TODAY()),"Planned finish "&amp;TEXT($H23,"d mmm")&amp;" has passed",IF($X23&gt;=2,(NETWORKDAYS($H23,$U23)-1)&amp;" working days past plan","")))</f>
        <v/>
      </c>
      <c r="AY23" s="31">
        <f>IF($AL23=0,"",IF($Y23&gt;=2,"Over budget by "&amp;TEXT(IF($B23="Program",$V23,$J23)-$K23,"#,##0"),""))</f>
        <v/>
      </c>
      <c r="AZ23" s="31">
        <f>IF(AND($AL23=1,$U23&lt;&gt;""),IF(AND(N($U23)&gt;=TODAY(),N($U23)&lt;=TODAY()+Board!$B$41),1,0),0)</f>
        <v/>
      </c>
    </row>
    <row r="24">
      <c r="A24" s="29" t="n"/>
      <c r="B24" s="29" t="n"/>
      <c r="C24" s="29" t="n"/>
      <c r="D24" s="29" t="n"/>
      <c r="E24" s="29" t="n"/>
      <c r="F24" s="29" t="n"/>
      <c r="G24" s="29" t="n"/>
      <c r="H24" s="30" t="n"/>
      <c r="I24" s="30" t="n"/>
      <c r="J24" s="19" t="n"/>
      <c r="K24" s="19" t="n"/>
      <c r="L24" s="26" t="n"/>
      <c r="M24" s="31">
        <f>IF($A24="","",IF($D24="","Not read",IF($Q24=0,"Not counted",IF(MAX($X24,$Y24)=3,"■ Red",IF(MAX($X24,$Y24)=2,"◧ Amber",IF(MAX($X24,$Y24)=1,"□ On track","Not read"))))))</f>
        <v/>
      </c>
      <c r="N24" s="31">
        <f>IF(OR($A24="",$B24&lt;&gt;"Program"),"","■ "&amp;COUNTIFS($C$6:$C$305,$A24,$M$6:$M$305,"■ Red")&amp;" Red, ◧ "&amp;COUNTIFS($C$6:$C$305,$A24,$M$6:$M$305,"◧ Amber")&amp;" Amber")</f>
        <v/>
      </c>
      <c r="O24" s="32">
        <f>IF(OR($A24="",$E24=""),"",COUNTIFS($E$6:$E$305,$E24,$D$6:$D$305,"Active")+COUNTIFS($E$6:$E$305,$E24,$D$6:$D$305,"Paused"))</f>
        <v/>
      </c>
      <c r="P24" s="31">
        <f>IF($A24="","",IF($AE24=0,"○ Clear",IF($AA24=1,"△ No owner",IF($AC24=1,"△ Check Sits under",IF($AC24=2,"△ Outside the portfolio",IF($AB24=1,"△ No sponsor","△ No variance note"))))&amp;IF($AE24&gt;1," (+"&amp;($AE24-1)&amp;" more)","")))</f>
        <v/>
      </c>
      <c r="Q24" s="31">
        <f>IF(AND($A24&lt;&gt;"",OR($D24="Active",$D24="Paused")),1,0)</f>
        <v/>
      </c>
      <c r="R24" s="31">
        <f>IFERROR(INDEX($A$6:$A$305,MATCH(17,$S$6:$S$305,0)),"")</f>
        <v/>
      </c>
      <c r="S24" s="31">
        <f>IF(AND($A24&lt;&gt;"",$B24="Program"),COUNTIFS($B$6:$B24,"Program",$A$6:$A24,"&lt;&gt;"),"")</f>
        <v/>
      </c>
      <c r="T24" s="33">
        <f>IF(AND($A24&lt;&gt;"",$B24="Program"),SUMPRODUCT(MAX(($C$6:$C$305=$A24)*($B$6:$B$305="Project")*($D$6:$D$305&lt;&gt;"Proposed")*$I$6:$I$305)),0)</f>
        <v/>
      </c>
      <c r="U24" s="33">
        <f>IF($I24&lt;&gt;"",$I24,IF($T24&gt;0,$T24,""))</f>
        <v/>
      </c>
      <c r="V24" s="31">
        <f>IF(AND($A24&lt;&gt;"",$B24="Program"),SUMIFS($J$6:$J$305,$C$6:$C$305,$A24,$B$6:$B$305,"Project",$D$6:$D$305,"&lt;&gt;Proposed"),0)</f>
        <v/>
      </c>
      <c r="W24" s="31">
        <f>IF(AND($A24&lt;&gt;"",$B24="Program"),COUNTIFS($C$6:$C$305,$A24,$B$6:$B$305,"Project",$D$6:$D$305,"&lt;&gt;Proposed")-COUNTIFS($C$6:$C$305,$A24,$B$6:$B$305,"Project",$D$6:$D$305,"&lt;&gt;Proposed",$J$6:$J$305,"&gt;=0"),0)</f>
        <v/>
      </c>
      <c r="X24" s="31">
        <f>IF(OR($Q24=0,$H24=""),0,IF(AND($B24="Project",$H24&lt;TODAY()),3,IF($U24="",0,IF($U24&lt;=$H24,1,IF(NETWORKDAYS($H24,$U24)-1&gt;IF($B24="Program",Portfolio!$B$16,Portfolio!$B$15),3,2)))))</f>
        <v/>
      </c>
      <c r="Y24" s="31">
        <f>IF(OR($Q24=0,$K24="",$K24=0),0,IF(AND($B24="Project",$J24=""),0,IF(IF($B24="Program",$V24,$J24)&gt;$K24*(1+Portfolio!$B$17),3,IF(IF($B24="Program",$V24,$J24)&gt;$K24,2,IF(AND($B24="Program",OR($W24&gt;0,$V24=0)),0,1)))))</f>
        <v/>
      </c>
      <c r="Z24" s="31">
        <f>IF($A24="",0,IF($C24="Portfolio",1,IF(AND($B24="Project",$C24&lt;&gt;"",$C24&lt;&gt;"Outside the portfolio"),IFERROR(IF(AND(INDEX($B$6:$B$305,MATCH($C24,$A$6:$A$305,0))="Program",INDEX($C$6:$C$305,MATCH($C24,$A$6:$A$305,0))="Portfolio"),1,0),0),0)))</f>
        <v/>
      </c>
      <c r="AA24" s="31">
        <f>IF(AND($A24&lt;&gt;"",$E24="",OR($Q24=1,$D24="Proposed")),1,0)</f>
        <v/>
      </c>
      <c r="AB24" s="31">
        <f>IF(AND($A24&lt;&gt;"",$B24="Program",$F24="",$Q24=1),1,0)</f>
        <v/>
      </c>
      <c r="AC24" s="31">
        <f>IF(OR($A24="",$D24="Completed",$D24="Terminated"),0,IF($C24="",1,IF($C24="Portfolio",0,IF($C24="Outside the portfolio",IF($Q24=1,2,0),IF($B24="Project",IF(IFERROR(INDEX($B$6:$B$305,MATCH($C24,$A$6:$A$305,0)),"")="Program",0,1),1)))))</f>
        <v/>
      </c>
      <c r="AD24" s="31">
        <f>IF(AND($A24&lt;&gt;"",OR($M24="■ Red",$M24="◧ Amber"),$L24=""),1,0)</f>
        <v/>
      </c>
      <c r="AE24" s="31">
        <f>$AA24+$AB24+IF($AC24&gt;0,1,0)+$AD24</f>
        <v/>
      </c>
      <c r="AJ24" s="14" t="n"/>
      <c r="AK24" s="29" t="n"/>
      <c r="AL24" s="31">
        <f>IF(AND($Q24=1,$Z24=1),1,0)</f>
        <v/>
      </c>
      <c r="AM24" s="31">
        <f>IF(AND($AL24=1,$AJ24&lt;&gt;""),MAX(0,TODAY()-$AJ24),"")</f>
        <v/>
      </c>
      <c r="AN24" s="31">
        <f>IF(OR($AL24=0,COUNT($AJ$6:$AJ$305)=0),0,IF($AJ24="",1,IF(TODAY()-$AJ24&gt;Board!$B$40,1,0)))</f>
        <v/>
      </c>
      <c r="AO24" s="31">
        <f>IF($AL24=0,0,IF($M24="■ Red",3,IF($M24="◧ Amber",2,IF($M24="□ On track",1,0))))</f>
        <v/>
      </c>
      <c r="AP24" s="31">
        <f>IF($AL24=0,0,IF($AK24="Will not hold",3,IF($AK24="At risk",2,IF($AK24="Will hold",1,0))))</f>
        <v/>
      </c>
      <c r="AQ24" s="31">
        <f>IF($AL24=0,"",IF($AO24=3,0,IF($AO24=2,1,IF(AND($AP24&gt;=2,$AP24&gt;$AO24),2,""))))</f>
        <v/>
      </c>
      <c r="AR24" s="31">
        <f>IF($AQ24="","",$AQ24*1000+24)</f>
        <v/>
      </c>
      <c r="AS24" s="31">
        <f>IF(AND($AL24=1,$AO24&gt;=2,$AP24&gt;=1,$AP24&lt;$AO24),1,0)</f>
        <v/>
      </c>
      <c r="AT24" s="31">
        <f>IF(AND($AL24=1,$AO24&gt;=2,$AP24=0),1,0)</f>
        <v/>
      </c>
      <c r="AU24" s="31">
        <f>IF(AND($AL24=1,$U24&lt;&gt;"",$U24&lt;TODAY()),1,0)</f>
        <v/>
      </c>
      <c r="AV24" s="31">
        <f>IF(OR($A24="",$AJ24="",Portfolio!$B$10=""),0,IF($AJ24&lt;=Portfolio!$B$10,0,IF(AND($D24="Completed",$Z24=1),1,IF(AND($D24="Terminated",$Z24=1),2,IF(AND($Q24=1,$Z24=0),3,0)))))</f>
        <v/>
      </c>
      <c r="AW24" s="31">
        <f>IF($AV24&gt;0,COUNTIF($AV$6:$AV24,"&gt;0"),"")</f>
        <v/>
      </c>
      <c r="AX24" s="31">
        <f>IF($AL24=0,"",IF(AND($B24="Project",$H24&lt;&gt;"",$H24&lt;TODAY()),"Planned finish "&amp;TEXT($H24,"d mmm")&amp;" has passed",IF($X24&gt;=2,(NETWORKDAYS($H24,$U24)-1)&amp;" working days past plan","")))</f>
        <v/>
      </c>
      <c r="AY24" s="31">
        <f>IF($AL24=0,"",IF($Y24&gt;=2,"Over budget by "&amp;TEXT(IF($B24="Program",$V24,$J24)-$K24,"#,##0"),""))</f>
        <v/>
      </c>
      <c r="AZ24" s="31">
        <f>IF(AND($AL24=1,$U24&lt;&gt;""),IF(AND(N($U24)&gt;=TODAY(),N($U24)&lt;=TODAY()+Board!$B$41),1,0),0)</f>
        <v/>
      </c>
    </row>
    <row r="25">
      <c r="A25" s="29" t="n"/>
      <c r="B25" s="29" t="n"/>
      <c r="C25" s="29" t="n"/>
      <c r="D25" s="29" t="n"/>
      <c r="E25" s="29" t="n"/>
      <c r="F25" s="29" t="n"/>
      <c r="G25" s="29" t="n"/>
      <c r="H25" s="30" t="n"/>
      <c r="I25" s="30" t="n"/>
      <c r="J25" s="19" t="n"/>
      <c r="K25" s="19" t="n"/>
      <c r="L25" s="26" t="n"/>
      <c r="M25" s="31">
        <f>IF($A25="","",IF($D25="","Not read",IF($Q25=0,"Not counted",IF(MAX($X25,$Y25)=3,"■ Red",IF(MAX($X25,$Y25)=2,"◧ Amber",IF(MAX($X25,$Y25)=1,"□ On track","Not read"))))))</f>
        <v/>
      </c>
      <c r="N25" s="31">
        <f>IF(OR($A25="",$B25&lt;&gt;"Program"),"","■ "&amp;COUNTIFS($C$6:$C$305,$A25,$M$6:$M$305,"■ Red")&amp;" Red, ◧ "&amp;COUNTIFS($C$6:$C$305,$A25,$M$6:$M$305,"◧ Amber")&amp;" Amber")</f>
        <v/>
      </c>
      <c r="O25" s="32">
        <f>IF(OR($A25="",$E25=""),"",COUNTIFS($E$6:$E$305,$E25,$D$6:$D$305,"Active")+COUNTIFS($E$6:$E$305,$E25,$D$6:$D$305,"Paused"))</f>
        <v/>
      </c>
      <c r="P25" s="31">
        <f>IF($A25="","",IF($AE25=0,"○ Clear",IF($AA25=1,"△ No owner",IF($AC25=1,"△ Check Sits under",IF($AC25=2,"△ Outside the portfolio",IF($AB25=1,"△ No sponsor","△ No variance note"))))&amp;IF($AE25&gt;1," (+"&amp;($AE25-1)&amp;" more)","")))</f>
        <v/>
      </c>
      <c r="Q25" s="31">
        <f>IF(AND($A25&lt;&gt;"",OR($D25="Active",$D25="Paused")),1,0)</f>
        <v/>
      </c>
      <c r="R25" s="31">
        <f>IFERROR(INDEX($A$6:$A$305,MATCH(18,$S$6:$S$305,0)),"")</f>
        <v/>
      </c>
      <c r="S25" s="31">
        <f>IF(AND($A25&lt;&gt;"",$B25="Program"),COUNTIFS($B$6:$B25,"Program",$A$6:$A25,"&lt;&gt;"),"")</f>
        <v/>
      </c>
      <c r="T25" s="33">
        <f>IF(AND($A25&lt;&gt;"",$B25="Program"),SUMPRODUCT(MAX(($C$6:$C$305=$A25)*($B$6:$B$305="Project")*($D$6:$D$305&lt;&gt;"Proposed")*$I$6:$I$305)),0)</f>
        <v/>
      </c>
      <c r="U25" s="33">
        <f>IF($I25&lt;&gt;"",$I25,IF($T25&gt;0,$T25,""))</f>
        <v/>
      </c>
      <c r="V25" s="31">
        <f>IF(AND($A25&lt;&gt;"",$B25="Program"),SUMIFS($J$6:$J$305,$C$6:$C$305,$A25,$B$6:$B$305,"Project",$D$6:$D$305,"&lt;&gt;Proposed"),0)</f>
        <v/>
      </c>
      <c r="W25" s="31">
        <f>IF(AND($A25&lt;&gt;"",$B25="Program"),COUNTIFS($C$6:$C$305,$A25,$B$6:$B$305,"Project",$D$6:$D$305,"&lt;&gt;Proposed")-COUNTIFS($C$6:$C$305,$A25,$B$6:$B$305,"Project",$D$6:$D$305,"&lt;&gt;Proposed",$J$6:$J$305,"&gt;=0"),0)</f>
        <v/>
      </c>
      <c r="X25" s="31">
        <f>IF(OR($Q25=0,$H25=""),0,IF(AND($B25="Project",$H25&lt;TODAY()),3,IF($U25="",0,IF($U25&lt;=$H25,1,IF(NETWORKDAYS($H25,$U25)-1&gt;IF($B25="Program",Portfolio!$B$16,Portfolio!$B$15),3,2)))))</f>
        <v/>
      </c>
      <c r="Y25" s="31">
        <f>IF(OR($Q25=0,$K25="",$K25=0),0,IF(AND($B25="Project",$J25=""),0,IF(IF($B25="Program",$V25,$J25)&gt;$K25*(1+Portfolio!$B$17),3,IF(IF($B25="Program",$V25,$J25)&gt;$K25,2,IF(AND($B25="Program",OR($W25&gt;0,$V25=0)),0,1)))))</f>
        <v/>
      </c>
      <c r="Z25" s="31">
        <f>IF($A25="",0,IF($C25="Portfolio",1,IF(AND($B25="Project",$C25&lt;&gt;"",$C25&lt;&gt;"Outside the portfolio"),IFERROR(IF(AND(INDEX($B$6:$B$305,MATCH($C25,$A$6:$A$305,0))="Program",INDEX($C$6:$C$305,MATCH($C25,$A$6:$A$305,0))="Portfolio"),1,0),0),0)))</f>
        <v/>
      </c>
      <c r="AA25" s="31">
        <f>IF(AND($A25&lt;&gt;"",$E25="",OR($Q25=1,$D25="Proposed")),1,0)</f>
        <v/>
      </c>
      <c r="AB25" s="31">
        <f>IF(AND($A25&lt;&gt;"",$B25="Program",$F25="",$Q25=1),1,0)</f>
        <v/>
      </c>
      <c r="AC25" s="31">
        <f>IF(OR($A25="",$D25="Completed",$D25="Terminated"),0,IF($C25="",1,IF($C25="Portfolio",0,IF($C25="Outside the portfolio",IF($Q25=1,2,0),IF($B25="Project",IF(IFERROR(INDEX($B$6:$B$305,MATCH($C25,$A$6:$A$305,0)),"")="Program",0,1),1)))))</f>
        <v/>
      </c>
      <c r="AD25" s="31">
        <f>IF(AND($A25&lt;&gt;"",OR($M25="■ Red",$M25="◧ Amber"),$L25=""),1,0)</f>
        <v/>
      </c>
      <c r="AE25" s="31">
        <f>$AA25+$AB25+IF($AC25&gt;0,1,0)+$AD25</f>
        <v/>
      </c>
      <c r="AJ25" s="14" t="n"/>
      <c r="AK25" s="29" t="n"/>
      <c r="AL25" s="31">
        <f>IF(AND($Q25=1,$Z25=1),1,0)</f>
        <v/>
      </c>
      <c r="AM25" s="31">
        <f>IF(AND($AL25=1,$AJ25&lt;&gt;""),MAX(0,TODAY()-$AJ25),"")</f>
        <v/>
      </c>
      <c r="AN25" s="31">
        <f>IF(OR($AL25=0,COUNT($AJ$6:$AJ$305)=0),0,IF($AJ25="",1,IF(TODAY()-$AJ25&gt;Board!$B$40,1,0)))</f>
        <v/>
      </c>
      <c r="AO25" s="31">
        <f>IF($AL25=0,0,IF($M25="■ Red",3,IF($M25="◧ Amber",2,IF($M25="□ On track",1,0))))</f>
        <v/>
      </c>
      <c r="AP25" s="31">
        <f>IF($AL25=0,0,IF($AK25="Will not hold",3,IF($AK25="At risk",2,IF($AK25="Will hold",1,0))))</f>
        <v/>
      </c>
      <c r="AQ25" s="31">
        <f>IF($AL25=0,"",IF($AO25=3,0,IF($AO25=2,1,IF(AND($AP25&gt;=2,$AP25&gt;$AO25),2,""))))</f>
        <v/>
      </c>
      <c r="AR25" s="31">
        <f>IF($AQ25="","",$AQ25*1000+25)</f>
        <v/>
      </c>
      <c r="AS25" s="31">
        <f>IF(AND($AL25=1,$AO25&gt;=2,$AP25&gt;=1,$AP25&lt;$AO25),1,0)</f>
        <v/>
      </c>
      <c r="AT25" s="31">
        <f>IF(AND($AL25=1,$AO25&gt;=2,$AP25=0),1,0)</f>
        <v/>
      </c>
      <c r="AU25" s="31">
        <f>IF(AND($AL25=1,$U25&lt;&gt;"",$U25&lt;TODAY()),1,0)</f>
        <v/>
      </c>
      <c r="AV25" s="31">
        <f>IF(OR($A25="",$AJ25="",Portfolio!$B$10=""),0,IF($AJ25&lt;=Portfolio!$B$10,0,IF(AND($D25="Completed",$Z25=1),1,IF(AND($D25="Terminated",$Z25=1),2,IF(AND($Q25=1,$Z25=0),3,0)))))</f>
        <v/>
      </c>
      <c r="AW25" s="31">
        <f>IF($AV25&gt;0,COUNTIF($AV$6:$AV25,"&gt;0"),"")</f>
        <v/>
      </c>
      <c r="AX25" s="31">
        <f>IF($AL25=0,"",IF(AND($B25="Project",$H25&lt;&gt;"",$H25&lt;TODAY()),"Planned finish "&amp;TEXT($H25,"d mmm")&amp;" has passed",IF($X25&gt;=2,(NETWORKDAYS($H25,$U25)-1)&amp;" working days past plan","")))</f>
        <v/>
      </c>
      <c r="AY25" s="31">
        <f>IF($AL25=0,"",IF($Y25&gt;=2,"Over budget by "&amp;TEXT(IF($B25="Program",$V25,$J25)-$K25,"#,##0"),""))</f>
        <v/>
      </c>
      <c r="AZ25" s="31">
        <f>IF(AND($AL25=1,$U25&lt;&gt;""),IF(AND(N($U25)&gt;=TODAY(),N($U25)&lt;=TODAY()+Board!$B$41),1,0),0)</f>
        <v/>
      </c>
    </row>
    <row r="26">
      <c r="A26" s="29" t="n"/>
      <c r="B26" s="29" t="n"/>
      <c r="C26" s="29" t="n"/>
      <c r="D26" s="29" t="n"/>
      <c r="E26" s="29" t="n"/>
      <c r="F26" s="29" t="n"/>
      <c r="G26" s="29" t="n"/>
      <c r="H26" s="30" t="n"/>
      <c r="I26" s="30" t="n"/>
      <c r="J26" s="19" t="n"/>
      <c r="K26" s="19" t="n"/>
      <c r="L26" s="26" t="n"/>
      <c r="M26" s="31">
        <f>IF($A26="","",IF($D26="","Not read",IF($Q26=0,"Not counted",IF(MAX($X26,$Y26)=3,"■ Red",IF(MAX($X26,$Y26)=2,"◧ Amber",IF(MAX($X26,$Y26)=1,"□ On track","Not read"))))))</f>
        <v/>
      </c>
      <c r="N26" s="31">
        <f>IF(OR($A26="",$B26&lt;&gt;"Program"),"","■ "&amp;COUNTIFS($C$6:$C$305,$A26,$M$6:$M$305,"■ Red")&amp;" Red, ◧ "&amp;COUNTIFS($C$6:$C$305,$A26,$M$6:$M$305,"◧ Amber")&amp;" Amber")</f>
        <v/>
      </c>
      <c r="O26" s="32">
        <f>IF(OR($A26="",$E26=""),"",COUNTIFS($E$6:$E$305,$E26,$D$6:$D$305,"Active")+COUNTIFS($E$6:$E$305,$E26,$D$6:$D$305,"Paused"))</f>
        <v/>
      </c>
      <c r="P26" s="31">
        <f>IF($A26="","",IF($AE26=0,"○ Clear",IF($AA26=1,"△ No owner",IF($AC26=1,"△ Check Sits under",IF($AC26=2,"△ Outside the portfolio",IF($AB26=1,"△ No sponsor","△ No variance note"))))&amp;IF($AE26&gt;1," (+"&amp;($AE26-1)&amp;" more)","")))</f>
        <v/>
      </c>
      <c r="Q26" s="31">
        <f>IF(AND($A26&lt;&gt;"",OR($D26="Active",$D26="Paused")),1,0)</f>
        <v/>
      </c>
      <c r="R26" s="31">
        <f>IFERROR(INDEX($A$6:$A$305,MATCH(19,$S$6:$S$305,0)),"")</f>
        <v/>
      </c>
      <c r="S26" s="31">
        <f>IF(AND($A26&lt;&gt;"",$B26="Program"),COUNTIFS($B$6:$B26,"Program",$A$6:$A26,"&lt;&gt;"),"")</f>
        <v/>
      </c>
      <c r="T26" s="33">
        <f>IF(AND($A26&lt;&gt;"",$B26="Program"),SUMPRODUCT(MAX(($C$6:$C$305=$A26)*($B$6:$B$305="Project")*($D$6:$D$305&lt;&gt;"Proposed")*$I$6:$I$305)),0)</f>
        <v/>
      </c>
      <c r="U26" s="33">
        <f>IF($I26&lt;&gt;"",$I26,IF($T26&gt;0,$T26,""))</f>
        <v/>
      </c>
      <c r="V26" s="31">
        <f>IF(AND($A26&lt;&gt;"",$B26="Program"),SUMIFS($J$6:$J$305,$C$6:$C$305,$A26,$B$6:$B$305,"Project",$D$6:$D$305,"&lt;&gt;Proposed"),0)</f>
        <v/>
      </c>
      <c r="W26" s="31">
        <f>IF(AND($A26&lt;&gt;"",$B26="Program"),COUNTIFS($C$6:$C$305,$A26,$B$6:$B$305,"Project",$D$6:$D$305,"&lt;&gt;Proposed")-COUNTIFS($C$6:$C$305,$A26,$B$6:$B$305,"Project",$D$6:$D$305,"&lt;&gt;Proposed",$J$6:$J$305,"&gt;=0"),0)</f>
        <v/>
      </c>
      <c r="X26" s="31">
        <f>IF(OR($Q26=0,$H26=""),0,IF(AND($B26="Project",$H26&lt;TODAY()),3,IF($U26="",0,IF($U26&lt;=$H26,1,IF(NETWORKDAYS($H26,$U26)-1&gt;IF($B26="Program",Portfolio!$B$16,Portfolio!$B$15),3,2)))))</f>
        <v/>
      </c>
      <c r="Y26" s="31">
        <f>IF(OR($Q26=0,$K26="",$K26=0),0,IF(AND($B26="Project",$J26=""),0,IF(IF($B26="Program",$V26,$J26)&gt;$K26*(1+Portfolio!$B$17),3,IF(IF($B26="Program",$V26,$J26)&gt;$K26,2,IF(AND($B26="Program",OR($W26&gt;0,$V26=0)),0,1)))))</f>
        <v/>
      </c>
      <c r="Z26" s="31">
        <f>IF($A26="",0,IF($C26="Portfolio",1,IF(AND($B26="Project",$C26&lt;&gt;"",$C26&lt;&gt;"Outside the portfolio"),IFERROR(IF(AND(INDEX($B$6:$B$305,MATCH($C26,$A$6:$A$305,0))="Program",INDEX($C$6:$C$305,MATCH($C26,$A$6:$A$305,0))="Portfolio"),1,0),0),0)))</f>
        <v/>
      </c>
      <c r="AA26" s="31">
        <f>IF(AND($A26&lt;&gt;"",$E26="",OR($Q26=1,$D26="Proposed")),1,0)</f>
        <v/>
      </c>
      <c r="AB26" s="31">
        <f>IF(AND($A26&lt;&gt;"",$B26="Program",$F26="",$Q26=1),1,0)</f>
        <v/>
      </c>
      <c r="AC26" s="31">
        <f>IF(OR($A26="",$D26="Completed",$D26="Terminated"),0,IF($C26="",1,IF($C26="Portfolio",0,IF($C26="Outside the portfolio",IF($Q26=1,2,0),IF($B26="Project",IF(IFERROR(INDEX($B$6:$B$305,MATCH($C26,$A$6:$A$305,0)),"")="Program",0,1),1)))))</f>
        <v/>
      </c>
      <c r="AD26" s="31">
        <f>IF(AND($A26&lt;&gt;"",OR($M26="■ Red",$M26="◧ Amber"),$L26=""),1,0)</f>
        <v/>
      </c>
      <c r="AE26" s="31">
        <f>$AA26+$AB26+IF($AC26&gt;0,1,0)+$AD26</f>
        <v/>
      </c>
      <c r="AJ26" s="14" t="n"/>
      <c r="AK26" s="29" t="n"/>
      <c r="AL26" s="31">
        <f>IF(AND($Q26=1,$Z26=1),1,0)</f>
        <v/>
      </c>
      <c r="AM26" s="31">
        <f>IF(AND($AL26=1,$AJ26&lt;&gt;""),MAX(0,TODAY()-$AJ26),"")</f>
        <v/>
      </c>
      <c r="AN26" s="31">
        <f>IF(OR($AL26=0,COUNT($AJ$6:$AJ$305)=0),0,IF($AJ26="",1,IF(TODAY()-$AJ26&gt;Board!$B$40,1,0)))</f>
        <v/>
      </c>
      <c r="AO26" s="31">
        <f>IF($AL26=0,0,IF($M26="■ Red",3,IF($M26="◧ Amber",2,IF($M26="□ On track",1,0))))</f>
        <v/>
      </c>
      <c r="AP26" s="31">
        <f>IF($AL26=0,0,IF($AK26="Will not hold",3,IF($AK26="At risk",2,IF($AK26="Will hold",1,0))))</f>
        <v/>
      </c>
      <c r="AQ26" s="31">
        <f>IF($AL26=0,"",IF($AO26=3,0,IF($AO26=2,1,IF(AND($AP26&gt;=2,$AP26&gt;$AO26),2,""))))</f>
        <v/>
      </c>
      <c r="AR26" s="31">
        <f>IF($AQ26="","",$AQ26*1000+26)</f>
        <v/>
      </c>
      <c r="AS26" s="31">
        <f>IF(AND($AL26=1,$AO26&gt;=2,$AP26&gt;=1,$AP26&lt;$AO26),1,0)</f>
        <v/>
      </c>
      <c r="AT26" s="31">
        <f>IF(AND($AL26=1,$AO26&gt;=2,$AP26=0),1,0)</f>
        <v/>
      </c>
      <c r="AU26" s="31">
        <f>IF(AND($AL26=1,$U26&lt;&gt;"",$U26&lt;TODAY()),1,0)</f>
        <v/>
      </c>
      <c r="AV26" s="31">
        <f>IF(OR($A26="",$AJ26="",Portfolio!$B$10=""),0,IF($AJ26&lt;=Portfolio!$B$10,0,IF(AND($D26="Completed",$Z26=1),1,IF(AND($D26="Terminated",$Z26=1),2,IF(AND($Q26=1,$Z26=0),3,0)))))</f>
        <v/>
      </c>
      <c r="AW26" s="31">
        <f>IF($AV26&gt;0,COUNTIF($AV$6:$AV26,"&gt;0"),"")</f>
        <v/>
      </c>
      <c r="AX26" s="31">
        <f>IF($AL26=0,"",IF(AND($B26="Project",$H26&lt;&gt;"",$H26&lt;TODAY()),"Planned finish "&amp;TEXT($H26,"d mmm")&amp;" has passed",IF($X26&gt;=2,(NETWORKDAYS($H26,$U26)-1)&amp;" working days past plan","")))</f>
        <v/>
      </c>
      <c r="AY26" s="31">
        <f>IF($AL26=0,"",IF($Y26&gt;=2,"Over budget by "&amp;TEXT(IF($B26="Program",$V26,$J26)-$K26,"#,##0"),""))</f>
        <v/>
      </c>
      <c r="AZ26" s="31">
        <f>IF(AND($AL26=1,$U26&lt;&gt;""),IF(AND(N($U26)&gt;=TODAY(),N($U26)&lt;=TODAY()+Board!$B$41),1,0),0)</f>
        <v/>
      </c>
    </row>
    <row r="27">
      <c r="A27" s="29" t="n"/>
      <c r="B27" s="29" t="n"/>
      <c r="C27" s="29" t="n"/>
      <c r="D27" s="29" t="n"/>
      <c r="E27" s="29" t="n"/>
      <c r="F27" s="29" t="n"/>
      <c r="G27" s="29" t="n"/>
      <c r="H27" s="30" t="n"/>
      <c r="I27" s="30" t="n"/>
      <c r="J27" s="19" t="n"/>
      <c r="K27" s="19" t="n"/>
      <c r="L27" s="26" t="n"/>
      <c r="M27" s="31">
        <f>IF($A27="","",IF($D27="","Not read",IF($Q27=0,"Not counted",IF(MAX($X27,$Y27)=3,"■ Red",IF(MAX($X27,$Y27)=2,"◧ Amber",IF(MAX($X27,$Y27)=1,"□ On track","Not read"))))))</f>
        <v/>
      </c>
      <c r="N27" s="31">
        <f>IF(OR($A27="",$B27&lt;&gt;"Program"),"","■ "&amp;COUNTIFS($C$6:$C$305,$A27,$M$6:$M$305,"■ Red")&amp;" Red, ◧ "&amp;COUNTIFS($C$6:$C$305,$A27,$M$6:$M$305,"◧ Amber")&amp;" Amber")</f>
        <v/>
      </c>
      <c r="O27" s="32">
        <f>IF(OR($A27="",$E27=""),"",COUNTIFS($E$6:$E$305,$E27,$D$6:$D$305,"Active")+COUNTIFS($E$6:$E$305,$E27,$D$6:$D$305,"Paused"))</f>
        <v/>
      </c>
      <c r="P27" s="31">
        <f>IF($A27="","",IF($AE27=0,"○ Clear",IF($AA27=1,"△ No owner",IF($AC27=1,"△ Check Sits under",IF($AC27=2,"△ Outside the portfolio",IF($AB27=1,"△ No sponsor","△ No variance note"))))&amp;IF($AE27&gt;1," (+"&amp;($AE27-1)&amp;" more)","")))</f>
        <v/>
      </c>
      <c r="Q27" s="31">
        <f>IF(AND($A27&lt;&gt;"",OR($D27="Active",$D27="Paused")),1,0)</f>
        <v/>
      </c>
      <c r="R27" s="31">
        <f>IFERROR(INDEX($A$6:$A$305,MATCH(20,$S$6:$S$305,0)),"")</f>
        <v/>
      </c>
      <c r="S27" s="31">
        <f>IF(AND($A27&lt;&gt;"",$B27="Program"),COUNTIFS($B$6:$B27,"Program",$A$6:$A27,"&lt;&gt;"),"")</f>
        <v/>
      </c>
      <c r="T27" s="33">
        <f>IF(AND($A27&lt;&gt;"",$B27="Program"),SUMPRODUCT(MAX(($C$6:$C$305=$A27)*($B$6:$B$305="Project")*($D$6:$D$305&lt;&gt;"Proposed")*$I$6:$I$305)),0)</f>
        <v/>
      </c>
      <c r="U27" s="33">
        <f>IF($I27&lt;&gt;"",$I27,IF($T27&gt;0,$T27,""))</f>
        <v/>
      </c>
      <c r="V27" s="31">
        <f>IF(AND($A27&lt;&gt;"",$B27="Program"),SUMIFS($J$6:$J$305,$C$6:$C$305,$A27,$B$6:$B$305,"Project",$D$6:$D$305,"&lt;&gt;Proposed"),0)</f>
        <v/>
      </c>
      <c r="W27" s="31">
        <f>IF(AND($A27&lt;&gt;"",$B27="Program"),COUNTIFS($C$6:$C$305,$A27,$B$6:$B$305,"Project",$D$6:$D$305,"&lt;&gt;Proposed")-COUNTIFS($C$6:$C$305,$A27,$B$6:$B$305,"Project",$D$6:$D$305,"&lt;&gt;Proposed",$J$6:$J$305,"&gt;=0"),0)</f>
        <v/>
      </c>
      <c r="X27" s="31">
        <f>IF(OR($Q27=0,$H27=""),0,IF(AND($B27="Project",$H27&lt;TODAY()),3,IF($U27="",0,IF($U27&lt;=$H27,1,IF(NETWORKDAYS($H27,$U27)-1&gt;IF($B27="Program",Portfolio!$B$16,Portfolio!$B$15),3,2)))))</f>
        <v/>
      </c>
      <c r="Y27" s="31">
        <f>IF(OR($Q27=0,$K27="",$K27=0),0,IF(AND($B27="Project",$J27=""),0,IF(IF($B27="Program",$V27,$J27)&gt;$K27*(1+Portfolio!$B$17),3,IF(IF($B27="Program",$V27,$J27)&gt;$K27,2,IF(AND($B27="Program",OR($W27&gt;0,$V27=0)),0,1)))))</f>
        <v/>
      </c>
      <c r="Z27" s="31">
        <f>IF($A27="",0,IF($C27="Portfolio",1,IF(AND($B27="Project",$C27&lt;&gt;"",$C27&lt;&gt;"Outside the portfolio"),IFERROR(IF(AND(INDEX($B$6:$B$305,MATCH($C27,$A$6:$A$305,0))="Program",INDEX($C$6:$C$305,MATCH($C27,$A$6:$A$305,0))="Portfolio"),1,0),0),0)))</f>
        <v/>
      </c>
      <c r="AA27" s="31">
        <f>IF(AND($A27&lt;&gt;"",$E27="",OR($Q27=1,$D27="Proposed")),1,0)</f>
        <v/>
      </c>
      <c r="AB27" s="31">
        <f>IF(AND($A27&lt;&gt;"",$B27="Program",$F27="",$Q27=1),1,0)</f>
        <v/>
      </c>
      <c r="AC27" s="31">
        <f>IF(OR($A27="",$D27="Completed",$D27="Terminated"),0,IF($C27="",1,IF($C27="Portfolio",0,IF($C27="Outside the portfolio",IF($Q27=1,2,0),IF($B27="Project",IF(IFERROR(INDEX($B$6:$B$305,MATCH($C27,$A$6:$A$305,0)),"")="Program",0,1),1)))))</f>
        <v/>
      </c>
      <c r="AD27" s="31">
        <f>IF(AND($A27&lt;&gt;"",OR($M27="■ Red",$M27="◧ Amber"),$L27=""),1,0)</f>
        <v/>
      </c>
      <c r="AE27" s="31">
        <f>$AA27+$AB27+IF($AC27&gt;0,1,0)+$AD27</f>
        <v/>
      </c>
      <c r="AJ27" s="14" t="n"/>
      <c r="AK27" s="29" t="n"/>
      <c r="AL27" s="31">
        <f>IF(AND($Q27=1,$Z27=1),1,0)</f>
        <v/>
      </c>
      <c r="AM27" s="31">
        <f>IF(AND($AL27=1,$AJ27&lt;&gt;""),MAX(0,TODAY()-$AJ27),"")</f>
        <v/>
      </c>
      <c r="AN27" s="31">
        <f>IF(OR($AL27=0,COUNT($AJ$6:$AJ$305)=0),0,IF($AJ27="",1,IF(TODAY()-$AJ27&gt;Board!$B$40,1,0)))</f>
        <v/>
      </c>
      <c r="AO27" s="31">
        <f>IF($AL27=0,0,IF($M27="■ Red",3,IF($M27="◧ Amber",2,IF($M27="□ On track",1,0))))</f>
        <v/>
      </c>
      <c r="AP27" s="31">
        <f>IF($AL27=0,0,IF($AK27="Will not hold",3,IF($AK27="At risk",2,IF($AK27="Will hold",1,0))))</f>
        <v/>
      </c>
      <c r="AQ27" s="31">
        <f>IF($AL27=0,"",IF($AO27=3,0,IF($AO27=2,1,IF(AND($AP27&gt;=2,$AP27&gt;$AO27),2,""))))</f>
        <v/>
      </c>
      <c r="AR27" s="31">
        <f>IF($AQ27="","",$AQ27*1000+27)</f>
        <v/>
      </c>
      <c r="AS27" s="31">
        <f>IF(AND($AL27=1,$AO27&gt;=2,$AP27&gt;=1,$AP27&lt;$AO27),1,0)</f>
        <v/>
      </c>
      <c r="AT27" s="31">
        <f>IF(AND($AL27=1,$AO27&gt;=2,$AP27=0),1,0)</f>
        <v/>
      </c>
      <c r="AU27" s="31">
        <f>IF(AND($AL27=1,$U27&lt;&gt;"",$U27&lt;TODAY()),1,0)</f>
        <v/>
      </c>
      <c r="AV27" s="31">
        <f>IF(OR($A27="",$AJ27="",Portfolio!$B$10=""),0,IF($AJ27&lt;=Portfolio!$B$10,0,IF(AND($D27="Completed",$Z27=1),1,IF(AND($D27="Terminated",$Z27=1),2,IF(AND($Q27=1,$Z27=0),3,0)))))</f>
        <v/>
      </c>
      <c r="AW27" s="31">
        <f>IF($AV27&gt;0,COUNTIF($AV$6:$AV27,"&gt;0"),"")</f>
        <v/>
      </c>
      <c r="AX27" s="31">
        <f>IF($AL27=0,"",IF(AND($B27="Project",$H27&lt;&gt;"",$H27&lt;TODAY()),"Planned finish "&amp;TEXT($H27,"d mmm")&amp;" has passed",IF($X27&gt;=2,(NETWORKDAYS($H27,$U27)-1)&amp;" working days past plan","")))</f>
        <v/>
      </c>
      <c r="AY27" s="31">
        <f>IF($AL27=0,"",IF($Y27&gt;=2,"Over budget by "&amp;TEXT(IF($B27="Program",$V27,$J27)-$K27,"#,##0"),""))</f>
        <v/>
      </c>
      <c r="AZ27" s="31">
        <f>IF(AND($AL27=1,$U27&lt;&gt;""),IF(AND(N($U27)&gt;=TODAY(),N($U27)&lt;=TODAY()+Board!$B$41),1,0),0)</f>
        <v/>
      </c>
    </row>
    <row r="28">
      <c r="A28" s="29" t="n"/>
      <c r="B28" s="29" t="n"/>
      <c r="C28" s="29" t="n"/>
      <c r="D28" s="29" t="n"/>
      <c r="E28" s="29" t="n"/>
      <c r="F28" s="29" t="n"/>
      <c r="G28" s="29" t="n"/>
      <c r="H28" s="30" t="n"/>
      <c r="I28" s="30" t="n"/>
      <c r="J28" s="19" t="n"/>
      <c r="K28" s="19" t="n"/>
      <c r="L28" s="26" t="n"/>
      <c r="M28" s="31">
        <f>IF($A28="","",IF($D28="","Not read",IF($Q28=0,"Not counted",IF(MAX($X28,$Y28)=3,"■ Red",IF(MAX($X28,$Y28)=2,"◧ Amber",IF(MAX($X28,$Y28)=1,"□ On track","Not read"))))))</f>
        <v/>
      </c>
      <c r="N28" s="31">
        <f>IF(OR($A28="",$B28&lt;&gt;"Program"),"","■ "&amp;COUNTIFS($C$6:$C$305,$A28,$M$6:$M$305,"■ Red")&amp;" Red, ◧ "&amp;COUNTIFS($C$6:$C$305,$A28,$M$6:$M$305,"◧ Amber")&amp;" Amber")</f>
        <v/>
      </c>
      <c r="O28" s="32">
        <f>IF(OR($A28="",$E28=""),"",COUNTIFS($E$6:$E$305,$E28,$D$6:$D$305,"Active")+COUNTIFS($E$6:$E$305,$E28,$D$6:$D$305,"Paused"))</f>
        <v/>
      </c>
      <c r="P28" s="31">
        <f>IF($A28="","",IF($AE28=0,"○ Clear",IF($AA28=1,"△ No owner",IF($AC28=1,"△ Check Sits under",IF($AC28=2,"△ Outside the portfolio",IF($AB28=1,"△ No sponsor","△ No variance note"))))&amp;IF($AE28&gt;1," (+"&amp;($AE28-1)&amp;" more)","")))</f>
        <v/>
      </c>
      <c r="Q28" s="31">
        <f>IF(AND($A28&lt;&gt;"",OR($D28="Active",$D28="Paused")),1,0)</f>
        <v/>
      </c>
      <c r="R28" s="31">
        <f>IFERROR(INDEX($A$6:$A$305,MATCH(21,$S$6:$S$305,0)),"")</f>
        <v/>
      </c>
      <c r="S28" s="31">
        <f>IF(AND($A28&lt;&gt;"",$B28="Program"),COUNTIFS($B$6:$B28,"Program",$A$6:$A28,"&lt;&gt;"),"")</f>
        <v/>
      </c>
      <c r="T28" s="33">
        <f>IF(AND($A28&lt;&gt;"",$B28="Program"),SUMPRODUCT(MAX(($C$6:$C$305=$A28)*($B$6:$B$305="Project")*($D$6:$D$305&lt;&gt;"Proposed")*$I$6:$I$305)),0)</f>
        <v/>
      </c>
      <c r="U28" s="33">
        <f>IF($I28&lt;&gt;"",$I28,IF($T28&gt;0,$T28,""))</f>
        <v/>
      </c>
      <c r="V28" s="31">
        <f>IF(AND($A28&lt;&gt;"",$B28="Program"),SUMIFS($J$6:$J$305,$C$6:$C$305,$A28,$B$6:$B$305,"Project",$D$6:$D$305,"&lt;&gt;Proposed"),0)</f>
        <v/>
      </c>
      <c r="W28" s="31">
        <f>IF(AND($A28&lt;&gt;"",$B28="Program"),COUNTIFS($C$6:$C$305,$A28,$B$6:$B$305,"Project",$D$6:$D$305,"&lt;&gt;Proposed")-COUNTIFS($C$6:$C$305,$A28,$B$6:$B$305,"Project",$D$6:$D$305,"&lt;&gt;Proposed",$J$6:$J$305,"&gt;=0"),0)</f>
        <v/>
      </c>
      <c r="X28" s="31">
        <f>IF(OR($Q28=0,$H28=""),0,IF(AND($B28="Project",$H28&lt;TODAY()),3,IF($U28="",0,IF($U28&lt;=$H28,1,IF(NETWORKDAYS($H28,$U28)-1&gt;IF($B28="Program",Portfolio!$B$16,Portfolio!$B$15),3,2)))))</f>
        <v/>
      </c>
      <c r="Y28" s="31">
        <f>IF(OR($Q28=0,$K28="",$K28=0),0,IF(AND($B28="Project",$J28=""),0,IF(IF($B28="Program",$V28,$J28)&gt;$K28*(1+Portfolio!$B$17),3,IF(IF($B28="Program",$V28,$J28)&gt;$K28,2,IF(AND($B28="Program",OR($W28&gt;0,$V28=0)),0,1)))))</f>
        <v/>
      </c>
      <c r="Z28" s="31">
        <f>IF($A28="",0,IF($C28="Portfolio",1,IF(AND($B28="Project",$C28&lt;&gt;"",$C28&lt;&gt;"Outside the portfolio"),IFERROR(IF(AND(INDEX($B$6:$B$305,MATCH($C28,$A$6:$A$305,0))="Program",INDEX($C$6:$C$305,MATCH($C28,$A$6:$A$305,0))="Portfolio"),1,0),0),0)))</f>
        <v/>
      </c>
      <c r="AA28" s="31">
        <f>IF(AND($A28&lt;&gt;"",$E28="",OR($Q28=1,$D28="Proposed")),1,0)</f>
        <v/>
      </c>
      <c r="AB28" s="31">
        <f>IF(AND($A28&lt;&gt;"",$B28="Program",$F28="",$Q28=1),1,0)</f>
        <v/>
      </c>
      <c r="AC28" s="31">
        <f>IF(OR($A28="",$D28="Completed",$D28="Terminated"),0,IF($C28="",1,IF($C28="Portfolio",0,IF($C28="Outside the portfolio",IF($Q28=1,2,0),IF($B28="Project",IF(IFERROR(INDEX($B$6:$B$305,MATCH($C28,$A$6:$A$305,0)),"")="Program",0,1),1)))))</f>
        <v/>
      </c>
      <c r="AD28" s="31">
        <f>IF(AND($A28&lt;&gt;"",OR($M28="■ Red",$M28="◧ Amber"),$L28=""),1,0)</f>
        <v/>
      </c>
      <c r="AE28" s="31">
        <f>$AA28+$AB28+IF($AC28&gt;0,1,0)+$AD28</f>
        <v/>
      </c>
      <c r="AJ28" s="14" t="n"/>
      <c r="AK28" s="29" t="n"/>
      <c r="AL28" s="31">
        <f>IF(AND($Q28=1,$Z28=1),1,0)</f>
        <v/>
      </c>
      <c r="AM28" s="31">
        <f>IF(AND($AL28=1,$AJ28&lt;&gt;""),MAX(0,TODAY()-$AJ28),"")</f>
        <v/>
      </c>
      <c r="AN28" s="31">
        <f>IF(OR($AL28=0,COUNT($AJ$6:$AJ$305)=0),0,IF($AJ28="",1,IF(TODAY()-$AJ28&gt;Board!$B$40,1,0)))</f>
        <v/>
      </c>
      <c r="AO28" s="31">
        <f>IF($AL28=0,0,IF($M28="■ Red",3,IF($M28="◧ Amber",2,IF($M28="□ On track",1,0))))</f>
        <v/>
      </c>
      <c r="AP28" s="31">
        <f>IF($AL28=0,0,IF($AK28="Will not hold",3,IF($AK28="At risk",2,IF($AK28="Will hold",1,0))))</f>
        <v/>
      </c>
      <c r="AQ28" s="31">
        <f>IF($AL28=0,"",IF($AO28=3,0,IF($AO28=2,1,IF(AND($AP28&gt;=2,$AP28&gt;$AO28),2,""))))</f>
        <v/>
      </c>
      <c r="AR28" s="31">
        <f>IF($AQ28="","",$AQ28*1000+28)</f>
        <v/>
      </c>
      <c r="AS28" s="31">
        <f>IF(AND($AL28=1,$AO28&gt;=2,$AP28&gt;=1,$AP28&lt;$AO28),1,0)</f>
        <v/>
      </c>
      <c r="AT28" s="31">
        <f>IF(AND($AL28=1,$AO28&gt;=2,$AP28=0),1,0)</f>
        <v/>
      </c>
      <c r="AU28" s="31">
        <f>IF(AND($AL28=1,$U28&lt;&gt;"",$U28&lt;TODAY()),1,0)</f>
        <v/>
      </c>
      <c r="AV28" s="31">
        <f>IF(OR($A28="",$AJ28="",Portfolio!$B$10=""),0,IF($AJ28&lt;=Portfolio!$B$10,0,IF(AND($D28="Completed",$Z28=1),1,IF(AND($D28="Terminated",$Z28=1),2,IF(AND($Q28=1,$Z28=0),3,0)))))</f>
        <v/>
      </c>
      <c r="AW28" s="31">
        <f>IF($AV28&gt;0,COUNTIF($AV$6:$AV28,"&gt;0"),"")</f>
        <v/>
      </c>
      <c r="AX28" s="31">
        <f>IF($AL28=0,"",IF(AND($B28="Project",$H28&lt;&gt;"",$H28&lt;TODAY()),"Planned finish "&amp;TEXT($H28,"d mmm")&amp;" has passed",IF($X28&gt;=2,(NETWORKDAYS($H28,$U28)-1)&amp;" working days past plan","")))</f>
        <v/>
      </c>
      <c r="AY28" s="31">
        <f>IF($AL28=0,"",IF($Y28&gt;=2,"Over budget by "&amp;TEXT(IF($B28="Program",$V28,$J28)-$K28,"#,##0"),""))</f>
        <v/>
      </c>
      <c r="AZ28" s="31">
        <f>IF(AND($AL28=1,$U28&lt;&gt;""),IF(AND(N($U28)&gt;=TODAY(),N($U28)&lt;=TODAY()+Board!$B$41),1,0),0)</f>
        <v/>
      </c>
    </row>
    <row r="29">
      <c r="A29" s="29" t="n"/>
      <c r="B29" s="29" t="n"/>
      <c r="C29" s="29" t="n"/>
      <c r="D29" s="29" t="n"/>
      <c r="E29" s="29" t="n"/>
      <c r="F29" s="29" t="n"/>
      <c r="G29" s="29" t="n"/>
      <c r="H29" s="30" t="n"/>
      <c r="I29" s="30" t="n"/>
      <c r="J29" s="19" t="n"/>
      <c r="K29" s="19" t="n"/>
      <c r="L29" s="26" t="n"/>
      <c r="M29" s="31">
        <f>IF($A29="","",IF($D29="","Not read",IF($Q29=0,"Not counted",IF(MAX($X29,$Y29)=3,"■ Red",IF(MAX($X29,$Y29)=2,"◧ Amber",IF(MAX($X29,$Y29)=1,"□ On track","Not read"))))))</f>
        <v/>
      </c>
      <c r="N29" s="31">
        <f>IF(OR($A29="",$B29&lt;&gt;"Program"),"","■ "&amp;COUNTIFS($C$6:$C$305,$A29,$M$6:$M$305,"■ Red")&amp;" Red, ◧ "&amp;COUNTIFS($C$6:$C$305,$A29,$M$6:$M$305,"◧ Amber")&amp;" Amber")</f>
        <v/>
      </c>
      <c r="O29" s="32">
        <f>IF(OR($A29="",$E29=""),"",COUNTIFS($E$6:$E$305,$E29,$D$6:$D$305,"Active")+COUNTIFS($E$6:$E$305,$E29,$D$6:$D$305,"Paused"))</f>
        <v/>
      </c>
      <c r="P29" s="31">
        <f>IF($A29="","",IF($AE29=0,"○ Clear",IF($AA29=1,"△ No owner",IF($AC29=1,"△ Check Sits under",IF($AC29=2,"△ Outside the portfolio",IF($AB29=1,"△ No sponsor","△ No variance note"))))&amp;IF($AE29&gt;1," (+"&amp;($AE29-1)&amp;" more)","")))</f>
        <v/>
      </c>
      <c r="Q29" s="31">
        <f>IF(AND($A29&lt;&gt;"",OR($D29="Active",$D29="Paused")),1,0)</f>
        <v/>
      </c>
      <c r="R29" s="31">
        <f>IFERROR(INDEX($A$6:$A$305,MATCH(22,$S$6:$S$305,0)),"")</f>
        <v/>
      </c>
      <c r="S29" s="31">
        <f>IF(AND($A29&lt;&gt;"",$B29="Program"),COUNTIFS($B$6:$B29,"Program",$A$6:$A29,"&lt;&gt;"),"")</f>
        <v/>
      </c>
      <c r="T29" s="33">
        <f>IF(AND($A29&lt;&gt;"",$B29="Program"),SUMPRODUCT(MAX(($C$6:$C$305=$A29)*($B$6:$B$305="Project")*($D$6:$D$305&lt;&gt;"Proposed")*$I$6:$I$305)),0)</f>
        <v/>
      </c>
      <c r="U29" s="33">
        <f>IF($I29&lt;&gt;"",$I29,IF($T29&gt;0,$T29,""))</f>
        <v/>
      </c>
      <c r="V29" s="31">
        <f>IF(AND($A29&lt;&gt;"",$B29="Program"),SUMIFS($J$6:$J$305,$C$6:$C$305,$A29,$B$6:$B$305,"Project",$D$6:$D$305,"&lt;&gt;Proposed"),0)</f>
        <v/>
      </c>
      <c r="W29" s="31">
        <f>IF(AND($A29&lt;&gt;"",$B29="Program"),COUNTIFS($C$6:$C$305,$A29,$B$6:$B$305,"Project",$D$6:$D$305,"&lt;&gt;Proposed")-COUNTIFS($C$6:$C$305,$A29,$B$6:$B$305,"Project",$D$6:$D$305,"&lt;&gt;Proposed",$J$6:$J$305,"&gt;=0"),0)</f>
        <v/>
      </c>
      <c r="X29" s="31">
        <f>IF(OR($Q29=0,$H29=""),0,IF(AND($B29="Project",$H29&lt;TODAY()),3,IF($U29="",0,IF($U29&lt;=$H29,1,IF(NETWORKDAYS($H29,$U29)-1&gt;IF($B29="Program",Portfolio!$B$16,Portfolio!$B$15),3,2)))))</f>
        <v/>
      </c>
      <c r="Y29" s="31">
        <f>IF(OR($Q29=0,$K29="",$K29=0),0,IF(AND($B29="Project",$J29=""),0,IF(IF($B29="Program",$V29,$J29)&gt;$K29*(1+Portfolio!$B$17),3,IF(IF($B29="Program",$V29,$J29)&gt;$K29,2,IF(AND($B29="Program",OR($W29&gt;0,$V29=0)),0,1)))))</f>
        <v/>
      </c>
      <c r="Z29" s="31">
        <f>IF($A29="",0,IF($C29="Portfolio",1,IF(AND($B29="Project",$C29&lt;&gt;"",$C29&lt;&gt;"Outside the portfolio"),IFERROR(IF(AND(INDEX($B$6:$B$305,MATCH($C29,$A$6:$A$305,0))="Program",INDEX($C$6:$C$305,MATCH($C29,$A$6:$A$305,0))="Portfolio"),1,0),0),0)))</f>
        <v/>
      </c>
      <c r="AA29" s="31">
        <f>IF(AND($A29&lt;&gt;"",$E29="",OR($Q29=1,$D29="Proposed")),1,0)</f>
        <v/>
      </c>
      <c r="AB29" s="31">
        <f>IF(AND($A29&lt;&gt;"",$B29="Program",$F29="",$Q29=1),1,0)</f>
        <v/>
      </c>
      <c r="AC29" s="31">
        <f>IF(OR($A29="",$D29="Completed",$D29="Terminated"),0,IF($C29="",1,IF($C29="Portfolio",0,IF($C29="Outside the portfolio",IF($Q29=1,2,0),IF($B29="Project",IF(IFERROR(INDEX($B$6:$B$305,MATCH($C29,$A$6:$A$305,0)),"")="Program",0,1),1)))))</f>
        <v/>
      </c>
      <c r="AD29" s="31">
        <f>IF(AND($A29&lt;&gt;"",OR($M29="■ Red",$M29="◧ Amber"),$L29=""),1,0)</f>
        <v/>
      </c>
      <c r="AE29" s="31">
        <f>$AA29+$AB29+IF($AC29&gt;0,1,0)+$AD29</f>
        <v/>
      </c>
      <c r="AJ29" s="14" t="n"/>
      <c r="AK29" s="29" t="n"/>
      <c r="AL29" s="31">
        <f>IF(AND($Q29=1,$Z29=1),1,0)</f>
        <v/>
      </c>
      <c r="AM29" s="31">
        <f>IF(AND($AL29=1,$AJ29&lt;&gt;""),MAX(0,TODAY()-$AJ29),"")</f>
        <v/>
      </c>
      <c r="AN29" s="31">
        <f>IF(OR($AL29=0,COUNT($AJ$6:$AJ$305)=0),0,IF($AJ29="",1,IF(TODAY()-$AJ29&gt;Board!$B$40,1,0)))</f>
        <v/>
      </c>
      <c r="AO29" s="31">
        <f>IF($AL29=0,0,IF($M29="■ Red",3,IF($M29="◧ Amber",2,IF($M29="□ On track",1,0))))</f>
        <v/>
      </c>
      <c r="AP29" s="31">
        <f>IF($AL29=0,0,IF($AK29="Will not hold",3,IF($AK29="At risk",2,IF($AK29="Will hold",1,0))))</f>
        <v/>
      </c>
      <c r="AQ29" s="31">
        <f>IF($AL29=0,"",IF($AO29=3,0,IF($AO29=2,1,IF(AND($AP29&gt;=2,$AP29&gt;$AO29),2,""))))</f>
        <v/>
      </c>
      <c r="AR29" s="31">
        <f>IF($AQ29="","",$AQ29*1000+29)</f>
        <v/>
      </c>
      <c r="AS29" s="31">
        <f>IF(AND($AL29=1,$AO29&gt;=2,$AP29&gt;=1,$AP29&lt;$AO29),1,0)</f>
        <v/>
      </c>
      <c r="AT29" s="31">
        <f>IF(AND($AL29=1,$AO29&gt;=2,$AP29=0),1,0)</f>
        <v/>
      </c>
      <c r="AU29" s="31">
        <f>IF(AND($AL29=1,$U29&lt;&gt;"",$U29&lt;TODAY()),1,0)</f>
        <v/>
      </c>
      <c r="AV29" s="31">
        <f>IF(OR($A29="",$AJ29="",Portfolio!$B$10=""),0,IF($AJ29&lt;=Portfolio!$B$10,0,IF(AND($D29="Completed",$Z29=1),1,IF(AND($D29="Terminated",$Z29=1),2,IF(AND($Q29=1,$Z29=0),3,0)))))</f>
        <v/>
      </c>
      <c r="AW29" s="31">
        <f>IF($AV29&gt;0,COUNTIF($AV$6:$AV29,"&gt;0"),"")</f>
        <v/>
      </c>
      <c r="AX29" s="31">
        <f>IF($AL29=0,"",IF(AND($B29="Project",$H29&lt;&gt;"",$H29&lt;TODAY()),"Planned finish "&amp;TEXT($H29,"d mmm")&amp;" has passed",IF($X29&gt;=2,(NETWORKDAYS($H29,$U29)-1)&amp;" working days past plan","")))</f>
        <v/>
      </c>
      <c r="AY29" s="31">
        <f>IF($AL29=0,"",IF($Y29&gt;=2,"Over budget by "&amp;TEXT(IF($B29="Program",$V29,$J29)-$K29,"#,##0"),""))</f>
        <v/>
      </c>
      <c r="AZ29" s="31">
        <f>IF(AND($AL29=1,$U29&lt;&gt;""),IF(AND(N($U29)&gt;=TODAY(),N($U29)&lt;=TODAY()+Board!$B$41),1,0),0)</f>
        <v/>
      </c>
    </row>
    <row r="30">
      <c r="A30" s="29" t="n"/>
      <c r="B30" s="29" t="n"/>
      <c r="C30" s="29" t="n"/>
      <c r="D30" s="29" t="n"/>
      <c r="E30" s="29" t="n"/>
      <c r="F30" s="29" t="n"/>
      <c r="G30" s="29" t="n"/>
      <c r="H30" s="30" t="n"/>
      <c r="I30" s="30" t="n"/>
      <c r="J30" s="19" t="n"/>
      <c r="K30" s="19" t="n"/>
      <c r="L30" s="26" t="n"/>
      <c r="M30" s="31">
        <f>IF($A30="","",IF($D30="","Not read",IF($Q30=0,"Not counted",IF(MAX($X30,$Y30)=3,"■ Red",IF(MAX($X30,$Y30)=2,"◧ Amber",IF(MAX($X30,$Y30)=1,"□ On track","Not read"))))))</f>
        <v/>
      </c>
      <c r="N30" s="31">
        <f>IF(OR($A30="",$B30&lt;&gt;"Program"),"","■ "&amp;COUNTIFS($C$6:$C$305,$A30,$M$6:$M$305,"■ Red")&amp;" Red, ◧ "&amp;COUNTIFS($C$6:$C$305,$A30,$M$6:$M$305,"◧ Amber")&amp;" Amber")</f>
        <v/>
      </c>
      <c r="O30" s="32">
        <f>IF(OR($A30="",$E30=""),"",COUNTIFS($E$6:$E$305,$E30,$D$6:$D$305,"Active")+COUNTIFS($E$6:$E$305,$E30,$D$6:$D$305,"Paused"))</f>
        <v/>
      </c>
      <c r="P30" s="31">
        <f>IF($A30="","",IF($AE30=0,"○ Clear",IF($AA30=1,"△ No owner",IF($AC30=1,"△ Check Sits under",IF($AC30=2,"△ Outside the portfolio",IF($AB30=1,"△ No sponsor","△ No variance note"))))&amp;IF($AE30&gt;1," (+"&amp;($AE30-1)&amp;" more)","")))</f>
        <v/>
      </c>
      <c r="Q30" s="31">
        <f>IF(AND($A30&lt;&gt;"",OR($D30="Active",$D30="Paused")),1,0)</f>
        <v/>
      </c>
      <c r="R30" s="31">
        <f>IFERROR(INDEX($A$6:$A$305,MATCH(23,$S$6:$S$305,0)),"")</f>
        <v/>
      </c>
      <c r="S30" s="31">
        <f>IF(AND($A30&lt;&gt;"",$B30="Program"),COUNTIFS($B$6:$B30,"Program",$A$6:$A30,"&lt;&gt;"),"")</f>
        <v/>
      </c>
      <c r="T30" s="33">
        <f>IF(AND($A30&lt;&gt;"",$B30="Program"),SUMPRODUCT(MAX(($C$6:$C$305=$A30)*($B$6:$B$305="Project")*($D$6:$D$305&lt;&gt;"Proposed")*$I$6:$I$305)),0)</f>
        <v/>
      </c>
      <c r="U30" s="33">
        <f>IF($I30&lt;&gt;"",$I30,IF($T30&gt;0,$T30,""))</f>
        <v/>
      </c>
      <c r="V30" s="31">
        <f>IF(AND($A30&lt;&gt;"",$B30="Program"),SUMIFS($J$6:$J$305,$C$6:$C$305,$A30,$B$6:$B$305,"Project",$D$6:$D$305,"&lt;&gt;Proposed"),0)</f>
        <v/>
      </c>
      <c r="W30" s="31">
        <f>IF(AND($A30&lt;&gt;"",$B30="Program"),COUNTIFS($C$6:$C$305,$A30,$B$6:$B$305,"Project",$D$6:$D$305,"&lt;&gt;Proposed")-COUNTIFS($C$6:$C$305,$A30,$B$6:$B$305,"Project",$D$6:$D$305,"&lt;&gt;Proposed",$J$6:$J$305,"&gt;=0"),0)</f>
        <v/>
      </c>
      <c r="X30" s="31">
        <f>IF(OR($Q30=0,$H30=""),0,IF(AND($B30="Project",$H30&lt;TODAY()),3,IF($U30="",0,IF($U30&lt;=$H30,1,IF(NETWORKDAYS($H30,$U30)-1&gt;IF($B30="Program",Portfolio!$B$16,Portfolio!$B$15),3,2)))))</f>
        <v/>
      </c>
      <c r="Y30" s="31">
        <f>IF(OR($Q30=0,$K30="",$K30=0),0,IF(AND($B30="Project",$J30=""),0,IF(IF($B30="Program",$V30,$J30)&gt;$K30*(1+Portfolio!$B$17),3,IF(IF($B30="Program",$V30,$J30)&gt;$K30,2,IF(AND($B30="Program",OR($W30&gt;0,$V30=0)),0,1)))))</f>
        <v/>
      </c>
      <c r="Z30" s="31">
        <f>IF($A30="",0,IF($C30="Portfolio",1,IF(AND($B30="Project",$C30&lt;&gt;"",$C30&lt;&gt;"Outside the portfolio"),IFERROR(IF(AND(INDEX($B$6:$B$305,MATCH($C30,$A$6:$A$305,0))="Program",INDEX($C$6:$C$305,MATCH($C30,$A$6:$A$305,0))="Portfolio"),1,0),0),0)))</f>
        <v/>
      </c>
      <c r="AA30" s="31">
        <f>IF(AND($A30&lt;&gt;"",$E30="",OR($Q30=1,$D30="Proposed")),1,0)</f>
        <v/>
      </c>
      <c r="AB30" s="31">
        <f>IF(AND($A30&lt;&gt;"",$B30="Program",$F30="",$Q30=1),1,0)</f>
        <v/>
      </c>
      <c r="AC30" s="31">
        <f>IF(OR($A30="",$D30="Completed",$D30="Terminated"),0,IF($C30="",1,IF($C30="Portfolio",0,IF($C30="Outside the portfolio",IF($Q30=1,2,0),IF($B30="Project",IF(IFERROR(INDEX($B$6:$B$305,MATCH($C30,$A$6:$A$305,0)),"")="Program",0,1),1)))))</f>
        <v/>
      </c>
      <c r="AD30" s="31">
        <f>IF(AND($A30&lt;&gt;"",OR($M30="■ Red",$M30="◧ Amber"),$L30=""),1,0)</f>
        <v/>
      </c>
      <c r="AE30" s="31">
        <f>$AA30+$AB30+IF($AC30&gt;0,1,0)+$AD30</f>
        <v/>
      </c>
      <c r="AJ30" s="14" t="n"/>
      <c r="AK30" s="29" t="n"/>
      <c r="AL30" s="31">
        <f>IF(AND($Q30=1,$Z30=1),1,0)</f>
        <v/>
      </c>
      <c r="AM30" s="31">
        <f>IF(AND($AL30=1,$AJ30&lt;&gt;""),MAX(0,TODAY()-$AJ30),"")</f>
        <v/>
      </c>
      <c r="AN30" s="31">
        <f>IF(OR($AL30=0,COUNT($AJ$6:$AJ$305)=0),0,IF($AJ30="",1,IF(TODAY()-$AJ30&gt;Board!$B$40,1,0)))</f>
        <v/>
      </c>
      <c r="AO30" s="31">
        <f>IF($AL30=0,0,IF($M30="■ Red",3,IF($M30="◧ Amber",2,IF($M30="□ On track",1,0))))</f>
        <v/>
      </c>
      <c r="AP30" s="31">
        <f>IF($AL30=0,0,IF($AK30="Will not hold",3,IF($AK30="At risk",2,IF($AK30="Will hold",1,0))))</f>
        <v/>
      </c>
      <c r="AQ30" s="31">
        <f>IF($AL30=0,"",IF($AO30=3,0,IF($AO30=2,1,IF(AND($AP30&gt;=2,$AP30&gt;$AO30),2,""))))</f>
        <v/>
      </c>
      <c r="AR30" s="31">
        <f>IF($AQ30="","",$AQ30*1000+30)</f>
        <v/>
      </c>
      <c r="AS30" s="31">
        <f>IF(AND($AL30=1,$AO30&gt;=2,$AP30&gt;=1,$AP30&lt;$AO30),1,0)</f>
        <v/>
      </c>
      <c r="AT30" s="31">
        <f>IF(AND($AL30=1,$AO30&gt;=2,$AP30=0),1,0)</f>
        <v/>
      </c>
      <c r="AU30" s="31">
        <f>IF(AND($AL30=1,$U30&lt;&gt;"",$U30&lt;TODAY()),1,0)</f>
        <v/>
      </c>
      <c r="AV30" s="31">
        <f>IF(OR($A30="",$AJ30="",Portfolio!$B$10=""),0,IF($AJ30&lt;=Portfolio!$B$10,0,IF(AND($D30="Completed",$Z30=1),1,IF(AND($D30="Terminated",$Z30=1),2,IF(AND($Q30=1,$Z30=0),3,0)))))</f>
        <v/>
      </c>
      <c r="AW30" s="31">
        <f>IF($AV30&gt;0,COUNTIF($AV$6:$AV30,"&gt;0"),"")</f>
        <v/>
      </c>
      <c r="AX30" s="31">
        <f>IF($AL30=0,"",IF(AND($B30="Project",$H30&lt;&gt;"",$H30&lt;TODAY()),"Planned finish "&amp;TEXT($H30,"d mmm")&amp;" has passed",IF($X30&gt;=2,(NETWORKDAYS($H30,$U30)-1)&amp;" working days past plan","")))</f>
        <v/>
      </c>
      <c r="AY30" s="31">
        <f>IF($AL30=0,"",IF($Y30&gt;=2,"Over budget by "&amp;TEXT(IF($B30="Program",$V30,$J30)-$K30,"#,##0"),""))</f>
        <v/>
      </c>
      <c r="AZ30" s="31">
        <f>IF(AND($AL30=1,$U30&lt;&gt;""),IF(AND(N($U30)&gt;=TODAY(),N($U30)&lt;=TODAY()+Board!$B$41),1,0),0)</f>
        <v/>
      </c>
    </row>
    <row r="31">
      <c r="A31" s="29" t="n"/>
      <c r="B31" s="29" t="n"/>
      <c r="C31" s="29" t="n"/>
      <c r="D31" s="29" t="n"/>
      <c r="E31" s="29" t="n"/>
      <c r="F31" s="29" t="n"/>
      <c r="G31" s="29" t="n"/>
      <c r="H31" s="30" t="n"/>
      <c r="I31" s="30" t="n"/>
      <c r="J31" s="19" t="n"/>
      <c r="K31" s="19" t="n"/>
      <c r="L31" s="26" t="n"/>
      <c r="M31" s="31">
        <f>IF($A31="","",IF($D31="","Not read",IF($Q31=0,"Not counted",IF(MAX($X31,$Y31)=3,"■ Red",IF(MAX($X31,$Y31)=2,"◧ Amber",IF(MAX($X31,$Y31)=1,"□ On track","Not read"))))))</f>
        <v/>
      </c>
      <c r="N31" s="31">
        <f>IF(OR($A31="",$B31&lt;&gt;"Program"),"","■ "&amp;COUNTIFS($C$6:$C$305,$A31,$M$6:$M$305,"■ Red")&amp;" Red, ◧ "&amp;COUNTIFS($C$6:$C$305,$A31,$M$6:$M$305,"◧ Amber")&amp;" Amber")</f>
        <v/>
      </c>
      <c r="O31" s="32">
        <f>IF(OR($A31="",$E31=""),"",COUNTIFS($E$6:$E$305,$E31,$D$6:$D$305,"Active")+COUNTIFS($E$6:$E$305,$E31,$D$6:$D$305,"Paused"))</f>
        <v/>
      </c>
      <c r="P31" s="31">
        <f>IF($A31="","",IF($AE31=0,"○ Clear",IF($AA31=1,"△ No owner",IF($AC31=1,"△ Check Sits under",IF($AC31=2,"△ Outside the portfolio",IF($AB31=1,"△ No sponsor","△ No variance note"))))&amp;IF($AE31&gt;1," (+"&amp;($AE31-1)&amp;" more)","")))</f>
        <v/>
      </c>
      <c r="Q31" s="31">
        <f>IF(AND($A31&lt;&gt;"",OR($D31="Active",$D31="Paused")),1,0)</f>
        <v/>
      </c>
      <c r="R31" s="31">
        <f>IFERROR(INDEX($A$6:$A$305,MATCH(24,$S$6:$S$305,0)),"")</f>
        <v/>
      </c>
      <c r="S31" s="31">
        <f>IF(AND($A31&lt;&gt;"",$B31="Program"),COUNTIFS($B$6:$B31,"Program",$A$6:$A31,"&lt;&gt;"),"")</f>
        <v/>
      </c>
      <c r="T31" s="33">
        <f>IF(AND($A31&lt;&gt;"",$B31="Program"),SUMPRODUCT(MAX(($C$6:$C$305=$A31)*($B$6:$B$305="Project")*($D$6:$D$305&lt;&gt;"Proposed")*$I$6:$I$305)),0)</f>
        <v/>
      </c>
      <c r="U31" s="33">
        <f>IF($I31&lt;&gt;"",$I31,IF($T31&gt;0,$T31,""))</f>
        <v/>
      </c>
      <c r="V31" s="31">
        <f>IF(AND($A31&lt;&gt;"",$B31="Program"),SUMIFS($J$6:$J$305,$C$6:$C$305,$A31,$B$6:$B$305,"Project",$D$6:$D$305,"&lt;&gt;Proposed"),0)</f>
        <v/>
      </c>
      <c r="W31" s="31">
        <f>IF(AND($A31&lt;&gt;"",$B31="Program"),COUNTIFS($C$6:$C$305,$A31,$B$6:$B$305,"Project",$D$6:$D$305,"&lt;&gt;Proposed")-COUNTIFS($C$6:$C$305,$A31,$B$6:$B$305,"Project",$D$6:$D$305,"&lt;&gt;Proposed",$J$6:$J$305,"&gt;=0"),0)</f>
        <v/>
      </c>
      <c r="X31" s="31">
        <f>IF(OR($Q31=0,$H31=""),0,IF(AND($B31="Project",$H31&lt;TODAY()),3,IF($U31="",0,IF($U31&lt;=$H31,1,IF(NETWORKDAYS($H31,$U31)-1&gt;IF($B31="Program",Portfolio!$B$16,Portfolio!$B$15),3,2)))))</f>
        <v/>
      </c>
      <c r="Y31" s="31">
        <f>IF(OR($Q31=0,$K31="",$K31=0),0,IF(AND($B31="Project",$J31=""),0,IF(IF($B31="Program",$V31,$J31)&gt;$K31*(1+Portfolio!$B$17),3,IF(IF($B31="Program",$V31,$J31)&gt;$K31,2,IF(AND($B31="Program",OR($W31&gt;0,$V31=0)),0,1)))))</f>
        <v/>
      </c>
      <c r="Z31" s="31">
        <f>IF($A31="",0,IF($C31="Portfolio",1,IF(AND($B31="Project",$C31&lt;&gt;"",$C31&lt;&gt;"Outside the portfolio"),IFERROR(IF(AND(INDEX($B$6:$B$305,MATCH($C31,$A$6:$A$305,0))="Program",INDEX($C$6:$C$305,MATCH($C31,$A$6:$A$305,0))="Portfolio"),1,0),0),0)))</f>
        <v/>
      </c>
      <c r="AA31" s="31">
        <f>IF(AND($A31&lt;&gt;"",$E31="",OR($Q31=1,$D31="Proposed")),1,0)</f>
        <v/>
      </c>
      <c r="AB31" s="31">
        <f>IF(AND($A31&lt;&gt;"",$B31="Program",$F31="",$Q31=1),1,0)</f>
        <v/>
      </c>
      <c r="AC31" s="31">
        <f>IF(OR($A31="",$D31="Completed",$D31="Terminated"),0,IF($C31="",1,IF($C31="Portfolio",0,IF($C31="Outside the portfolio",IF($Q31=1,2,0),IF($B31="Project",IF(IFERROR(INDEX($B$6:$B$305,MATCH($C31,$A$6:$A$305,0)),"")="Program",0,1),1)))))</f>
        <v/>
      </c>
      <c r="AD31" s="31">
        <f>IF(AND($A31&lt;&gt;"",OR($M31="■ Red",$M31="◧ Amber"),$L31=""),1,0)</f>
        <v/>
      </c>
      <c r="AE31" s="31">
        <f>$AA31+$AB31+IF($AC31&gt;0,1,0)+$AD31</f>
        <v/>
      </c>
      <c r="AJ31" s="14" t="n"/>
      <c r="AK31" s="29" t="n"/>
      <c r="AL31" s="31">
        <f>IF(AND($Q31=1,$Z31=1),1,0)</f>
        <v/>
      </c>
      <c r="AM31" s="31">
        <f>IF(AND($AL31=1,$AJ31&lt;&gt;""),MAX(0,TODAY()-$AJ31),"")</f>
        <v/>
      </c>
      <c r="AN31" s="31">
        <f>IF(OR($AL31=0,COUNT($AJ$6:$AJ$305)=0),0,IF($AJ31="",1,IF(TODAY()-$AJ31&gt;Board!$B$40,1,0)))</f>
        <v/>
      </c>
      <c r="AO31" s="31">
        <f>IF($AL31=0,0,IF($M31="■ Red",3,IF($M31="◧ Amber",2,IF($M31="□ On track",1,0))))</f>
        <v/>
      </c>
      <c r="AP31" s="31">
        <f>IF($AL31=0,0,IF($AK31="Will not hold",3,IF($AK31="At risk",2,IF($AK31="Will hold",1,0))))</f>
        <v/>
      </c>
      <c r="AQ31" s="31">
        <f>IF($AL31=0,"",IF($AO31=3,0,IF($AO31=2,1,IF(AND($AP31&gt;=2,$AP31&gt;$AO31),2,""))))</f>
        <v/>
      </c>
      <c r="AR31" s="31">
        <f>IF($AQ31="","",$AQ31*1000+31)</f>
        <v/>
      </c>
      <c r="AS31" s="31">
        <f>IF(AND($AL31=1,$AO31&gt;=2,$AP31&gt;=1,$AP31&lt;$AO31),1,0)</f>
        <v/>
      </c>
      <c r="AT31" s="31">
        <f>IF(AND($AL31=1,$AO31&gt;=2,$AP31=0),1,0)</f>
        <v/>
      </c>
      <c r="AU31" s="31">
        <f>IF(AND($AL31=1,$U31&lt;&gt;"",$U31&lt;TODAY()),1,0)</f>
        <v/>
      </c>
      <c r="AV31" s="31">
        <f>IF(OR($A31="",$AJ31="",Portfolio!$B$10=""),0,IF($AJ31&lt;=Portfolio!$B$10,0,IF(AND($D31="Completed",$Z31=1),1,IF(AND($D31="Terminated",$Z31=1),2,IF(AND($Q31=1,$Z31=0),3,0)))))</f>
        <v/>
      </c>
      <c r="AW31" s="31">
        <f>IF($AV31&gt;0,COUNTIF($AV$6:$AV31,"&gt;0"),"")</f>
        <v/>
      </c>
      <c r="AX31" s="31">
        <f>IF($AL31=0,"",IF(AND($B31="Project",$H31&lt;&gt;"",$H31&lt;TODAY()),"Planned finish "&amp;TEXT($H31,"d mmm")&amp;" has passed",IF($X31&gt;=2,(NETWORKDAYS($H31,$U31)-1)&amp;" working days past plan","")))</f>
        <v/>
      </c>
      <c r="AY31" s="31">
        <f>IF($AL31=0,"",IF($Y31&gt;=2,"Over budget by "&amp;TEXT(IF($B31="Program",$V31,$J31)-$K31,"#,##0"),""))</f>
        <v/>
      </c>
      <c r="AZ31" s="31">
        <f>IF(AND($AL31=1,$U31&lt;&gt;""),IF(AND(N($U31)&gt;=TODAY(),N($U31)&lt;=TODAY()+Board!$B$41),1,0),0)</f>
        <v/>
      </c>
    </row>
    <row r="32">
      <c r="A32" s="29" t="n"/>
      <c r="B32" s="29" t="n"/>
      <c r="C32" s="29" t="n"/>
      <c r="D32" s="29" t="n"/>
      <c r="E32" s="29" t="n"/>
      <c r="F32" s="29" t="n"/>
      <c r="G32" s="29" t="n"/>
      <c r="H32" s="30" t="n"/>
      <c r="I32" s="30" t="n"/>
      <c r="J32" s="19" t="n"/>
      <c r="K32" s="19" t="n"/>
      <c r="L32" s="26" t="n"/>
      <c r="M32" s="31">
        <f>IF($A32="","",IF($D32="","Not read",IF($Q32=0,"Not counted",IF(MAX($X32,$Y32)=3,"■ Red",IF(MAX($X32,$Y32)=2,"◧ Amber",IF(MAX($X32,$Y32)=1,"□ On track","Not read"))))))</f>
        <v/>
      </c>
      <c r="N32" s="31">
        <f>IF(OR($A32="",$B32&lt;&gt;"Program"),"","■ "&amp;COUNTIFS($C$6:$C$305,$A32,$M$6:$M$305,"■ Red")&amp;" Red, ◧ "&amp;COUNTIFS($C$6:$C$305,$A32,$M$6:$M$305,"◧ Amber")&amp;" Amber")</f>
        <v/>
      </c>
      <c r="O32" s="32">
        <f>IF(OR($A32="",$E32=""),"",COUNTIFS($E$6:$E$305,$E32,$D$6:$D$305,"Active")+COUNTIFS($E$6:$E$305,$E32,$D$6:$D$305,"Paused"))</f>
        <v/>
      </c>
      <c r="P32" s="31">
        <f>IF($A32="","",IF($AE32=0,"○ Clear",IF($AA32=1,"△ No owner",IF($AC32=1,"△ Check Sits under",IF($AC32=2,"△ Outside the portfolio",IF($AB32=1,"△ No sponsor","△ No variance note"))))&amp;IF($AE32&gt;1," (+"&amp;($AE32-1)&amp;" more)","")))</f>
        <v/>
      </c>
      <c r="Q32" s="31">
        <f>IF(AND($A32&lt;&gt;"",OR($D32="Active",$D32="Paused")),1,0)</f>
        <v/>
      </c>
      <c r="R32" s="31">
        <f>IFERROR(INDEX($A$6:$A$305,MATCH(25,$S$6:$S$305,0)),"")</f>
        <v/>
      </c>
      <c r="S32" s="31">
        <f>IF(AND($A32&lt;&gt;"",$B32="Program"),COUNTIFS($B$6:$B32,"Program",$A$6:$A32,"&lt;&gt;"),"")</f>
        <v/>
      </c>
      <c r="T32" s="33">
        <f>IF(AND($A32&lt;&gt;"",$B32="Program"),SUMPRODUCT(MAX(($C$6:$C$305=$A32)*($B$6:$B$305="Project")*($D$6:$D$305&lt;&gt;"Proposed")*$I$6:$I$305)),0)</f>
        <v/>
      </c>
      <c r="U32" s="33">
        <f>IF($I32&lt;&gt;"",$I32,IF($T32&gt;0,$T32,""))</f>
        <v/>
      </c>
      <c r="V32" s="31">
        <f>IF(AND($A32&lt;&gt;"",$B32="Program"),SUMIFS($J$6:$J$305,$C$6:$C$305,$A32,$B$6:$B$305,"Project",$D$6:$D$305,"&lt;&gt;Proposed"),0)</f>
        <v/>
      </c>
      <c r="W32" s="31">
        <f>IF(AND($A32&lt;&gt;"",$B32="Program"),COUNTIFS($C$6:$C$305,$A32,$B$6:$B$305,"Project",$D$6:$D$305,"&lt;&gt;Proposed")-COUNTIFS($C$6:$C$305,$A32,$B$6:$B$305,"Project",$D$6:$D$305,"&lt;&gt;Proposed",$J$6:$J$305,"&gt;=0"),0)</f>
        <v/>
      </c>
      <c r="X32" s="31">
        <f>IF(OR($Q32=0,$H32=""),0,IF(AND($B32="Project",$H32&lt;TODAY()),3,IF($U32="",0,IF($U32&lt;=$H32,1,IF(NETWORKDAYS($H32,$U32)-1&gt;IF($B32="Program",Portfolio!$B$16,Portfolio!$B$15),3,2)))))</f>
        <v/>
      </c>
      <c r="Y32" s="31">
        <f>IF(OR($Q32=0,$K32="",$K32=0),0,IF(AND($B32="Project",$J32=""),0,IF(IF($B32="Program",$V32,$J32)&gt;$K32*(1+Portfolio!$B$17),3,IF(IF($B32="Program",$V32,$J32)&gt;$K32,2,IF(AND($B32="Program",OR($W32&gt;0,$V32=0)),0,1)))))</f>
        <v/>
      </c>
      <c r="Z32" s="31">
        <f>IF($A32="",0,IF($C32="Portfolio",1,IF(AND($B32="Project",$C32&lt;&gt;"",$C32&lt;&gt;"Outside the portfolio"),IFERROR(IF(AND(INDEX($B$6:$B$305,MATCH($C32,$A$6:$A$305,0))="Program",INDEX($C$6:$C$305,MATCH($C32,$A$6:$A$305,0))="Portfolio"),1,0),0),0)))</f>
        <v/>
      </c>
      <c r="AA32" s="31">
        <f>IF(AND($A32&lt;&gt;"",$E32="",OR($Q32=1,$D32="Proposed")),1,0)</f>
        <v/>
      </c>
      <c r="AB32" s="31">
        <f>IF(AND($A32&lt;&gt;"",$B32="Program",$F32="",$Q32=1),1,0)</f>
        <v/>
      </c>
      <c r="AC32" s="31">
        <f>IF(OR($A32="",$D32="Completed",$D32="Terminated"),0,IF($C32="",1,IF($C32="Portfolio",0,IF($C32="Outside the portfolio",IF($Q32=1,2,0),IF($B32="Project",IF(IFERROR(INDEX($B$6:$B$305,MATCH($C32,$A$6:$A$305,0)),"")="Program",0,1),1)))))</f>
        <v/>
      </c>
      <c r="AD32" s="31">
        <f>IF(AND($A32&lt;&gt;"",OR($M32="■ Red",$M32="◧ Amber"),$L32=""),1,0)</f>
        <v/>
      </c>
      <c r="AE32" s="31">
        <f>$AA32+$AB32+IF($AC32&gt;0,1,0)+$AD32</f>
        <v/>
      </c>
      <c r="AJ32" s="14" t="n"/>
      <c r="AK32" s="29" t="n"/>
      <c r="AL32" s="31">
        <f>IF(AND($Q32=1,$Z32=1),1,0)</f>
        <v/>
      </c>
      <c r="AM32" s="31">
        <f>IF(AND($AL32=1,$AJ32&lt;&gt;""),MAX(0,TODAY()-$AJ32),"")</f>
        <v/>
      </c>
      <c r="AN32" s="31">
        <f>IF(OR($AL32=0,COUNT($AJ$6:$AJ$305)=0),0,IF($AJ32="",1,IF(TODAY()-$AJ32&gt;Board!$B$40,1,0)))</f>
        <v/>
      </c>
      <c r="AO32" s="31">
        <f>IF($AL32=0,0,IF($M32="■ Red",3,IF($M32="◧ Amber",2,IF($M32="□ On track",1,0))))</f>
        <v/>
      </c>
      <c r="AP32" s="31">
        <f>IF($AL32=0,0,IF($AK32="Will not hold",3,IF($AK32="At risk",2,IF($AK32="Will hold",1,0))))</f>
        <v/>
      </c>
      <c r="AQ32" s="31">
        <f>IF($AL32=0,"",IF($AO32=3,0,IF($AO32=2,1,IF(AND($AP32&gt;=2,$AP32&gt;$AO32),2,""))))</f>
        <v/>
      </c>
      <c r="AR32" s="31">
        <f>IF($AQ32="","",$AQ32*1000+32)</f>
        <v/>
      </c>
      <c r="AS32" s="31">
        <f>IF(AND($AL32=1,$AO32&gt;=2,$AP32&gt;=1,$AP32&lt;$AO32),1,0)</f>
        <v/>
      </c>
      <c r="AT32" s="31">
        <f>IF(AND($AL32=1,$AO32&gt;=2,$AP32=0),1,0)</f>
        <v/>
      </c>
      <c r="AU32" s="31">
        <f>IF(AND($AL32=1,$U32&lt;&gt;"",$U32&lt;TODAY()),1,0)</f>
        <v/>
      </c>
      <c r="AV32" s="31">
        <f>IF(OR($A32="",$AJ32="",Portfolio!$B$10=""),0,IF($AJ32&lt;=Portfolio!$B$10,0,IF(AND($D32="Completed",$Z32=1),1,IF(AND($D32="Terminated",$Z32=1),2,IF(AND($Q32=1,$Z32=0),3,0)))))</f>
        <v/>
      </c>
      <c r="AW32" s="31">
        <f>IF($AV32&gt;0,COUNTIF($AV$6:$AV32,"&gt;0"),"")</f>
        <v/>
      </c>
      <c r="AX32" s="31">
        <f>IF($AL32=0,"",IF(AND($B32="Project",$H32&lt;&gt;"",$H32&lt;TODAY()),"Planned finish "&amp;TEXT($H32,"d mmm")&amp;" has passed",IF($X32&gt;=2,(NETWORKDAYS($H32,$U32)-1)&amp;" working days past plan","")))</f>
        <v/>
      </c>
      <c r="AY32" s="31">
        <f>IF($AL32=0,"",IF($Y32&gt;=2,"Over budget by "&amp;TEXT(IF($B32="Program",$V32,$J32)-$K32,"#,##0"),""))</f>
        <v/>
      </c>
      <c r="AZ32" s="31">
        <f>IF(AND($AL32=1,$U32&lt;&gt;""),IF(AND(N($U32)&gt;=TODAY(),N($U32)&lt;=TODAY()+Board!$B$41),1,0),0)</f>
        <v/>
      </c>
    </row>
    <row r="33">
      <c r="A33" s="29" t="n"/>
      <c r="B33" s="29" t="n"/>
      <c r="C33" s="29" t="n"/>
      <c r="D33" s="29" t="n"/>
      <c r="E33" s="29" t="n"/>
      <c r="F33" s="29" t="n"/>
      <c r="G33" s="29" t="n"/>
      <c r="H33" s="30" t="n"/>
      <c r="I33" s="30" t="n"/>
      <c r="J33" s="19" t="n"/>
      <c r="K33" s="19" t="n"/>
      <c r="L33" s="26" t="n"/>
      <c r="M33" s="31">
        <f>IF($A33="","",IF($D33="","Not read",IF($Q33=0,"Not counted",IF(MAX($X33,$Y33)=3,"■ Red",IF(MAX($X33,$Y33)=2,"◧ Amber",IF(MAX($X33,$Y33)=1,"□ On track","Not read"))))))</f>
        <v/>
      </c>
      <c r="N33" s="31">
        <f>IF(OR($A33="",$B33&lt;&gt;"Program"),"","■ "&amp;COUNTIFS($C$6:$C$305,$A33,$M$6:$M$305,"■ Red")&amp;" Red, ◧ "&amp;COUNTIFS($C$6:$C$305,$A33,$M$6:$M$305,"◧ Amber")&amp;" Amber")</f>
        <v/>
      </c>
      <c r="O33" s="32">
        <f>IF(OR($A33="",$E33=""),"",COUNTIFS($E$6:$E$305,$E33,$D$6:$D$305,"Active")+COUNTIFS($E$6:$E$305,$E33,$D$6:$D$305,"Paused"))</f>
        <v/>
      </c>
      <c r="P33" s="31">
        <f>IF($A33="","",IF($AE33=0,"○ Clear",IF($AA33=1,"△ No owner",IF($AC33=1,"△ Check Sits under",IF($AC33=2,"△ Outside the portfolio",IF($AB33=1,"△ No sponsor","△ No variance note"))))&amp;IF($AE33&gt;1," (+"&amp;($AE33-1)&amp;" more)","")))</f>
        <v/>
      </c>
      <c r="Q33" s="31">
        <f>IF(AND($A33&lt;&gt;"",OR($D33="Active",$D33="Paused")),1,0)</f>
        <v/>
      </c>
      <c r="R33" s="31">
        <f>IFERROR(INDEX($A$6:$A$305,MATCH(26,$S$6:$S$305,0)),"")</f>
        <v/>
      </c>
      <c r="S33" s="31">
        <f>IF(AND($A33&lt;&gt;"",$B33="Program"),COUNTIFS($B$6:$B33,"Program",$A$6:$A33,"&lt;&gt;"),"")</f>
        <v/>
      </c>
      <c r="T33" s="33">
        <f>IF(AND($A33&lt;&gt;"",$B33="Program"),SUMPRODUCT(MAX(($C$6:$C$305=$A33)*($B$6:$B$305="Project")*($D$6:$D$305&lt;&gt;"Proposed")*$I$6:$I$305)),0)</f>
        <v/>
      </c>
      <c r="U33" s="33">
        <f>IF($I33&lt;&gt;"",$I33,IF($T33&gt;0,$T33,""))</f>
        <v/>
      </c>
      <c r="V33" s="31">
        <f>IF(AND($A33&lt;&gt;"",$B33="Program"),SUMIFS($J$6:$J$305,$C$6:$C$305,$A33,$B$6:$B$305,"Project",$D$6:$D$305,"&lt;&gt;Proposed"),0)</f>
        <v/>
      </c>
      <c r="W33" s="31">
        <f>IF(AND($A33&lt;&gt;"",$B33="Program"),COUNTIFS($C$6:$C$305,$A33,$B$6:$B$305,"Project",$D$6:$D$305,"&lt;&gt;Proposed")-COUNTIFS($C$6:$C$305,$A33,$B$6:$B$305,"Project",$D$6:$D$305,"&lt;&gt;Proposed",$J$6:$J$305,"&gt;=0"),0)</f>
        <v/>
      </c>
      <c r="X33" s="31">
        <f>IF(OR($Q33=0,$H33=""),0,IF(AND($B33="Project",$H33&lt;TODAY()),3,IF($U33="",0,IF($U33&lt;=$H33,1,IF(NETWORKDAYS($H33,$U33)-1&gt;IF($B33="Program",Portfolio!$B$16,Portfolio!$B$15),3,2)))))</f>
        <v/>
      </c>
      <c r="Y33" s="31">
        <f>IF(OR($Q33=0,$K33="",$K33=0),0,IF(AND($B33="Project",$J33=""),0,IF(IF($B33="Program",$V33,$J33)&gt;$K33*(1+Portfolio!$B$17),3,IF(IF($B33="Program",$V33,$J33)&gt;$K33,2,IF(AND($B33="Program",OR($W33&gt;0,$V33=0)),0,1)))))</f>
        <v/>
      </c>
      <c r="Z33" s="31">
        <f>IF($A33="",0,IF($C33="Portfolio",1,IF(AND($B33="Project",$C33&lt;&gt;"",$C33&lt;&gt;"Outside the portfolio"),IFERROR(IF(AND(INDEX($B$6:$B$305,MATCH($C33,$A$6:$A$305,0))="Program",INDEX($C$6:$C$305,MATCH($C33,$A$6:$A$305,0))="Portfolio"),1,0),0),0)))</f>
        <v/>
      </c>
      <c r="AA33" s="31">
        <f>IF(AND($A33&lt;&gt;"",$E33="",OR($Q33=1,$D33="Proposed")),1,0)</f>
        <v/>
      </c>
      <c r="AB33" s="31">
        <f>IF(AND($A33&lt;&gt;"",$B33="Program",$F33="",$Q33=1),1,0)</f>
        <v/>
      </c>
      <c r="AC33" s="31">
        <f>IF(OR($A33="",$D33="Completed",$D33="Terminated"),0,IF($C33="",1,IF($C33="Portfolio",0,IF($C33="Outside the portfolio",IF($Q33=1,2,0),IF($B33="Project",IF(IFERROR(INDEX($B$6:$B$305,MATCH($C33,$A$6:$A$305,0)),"")="Program",0,1),1)))))</f>
        <v/>
      </c>
      <c r="AD33" s="31">
        <f>IF(AND($A33&lt;&gt;"",OR($M33="■ Red",$M33="◧ Amber"),$L33=""),1,0)</f>
        <v/>
      </c>
      <c r="AE33" s="31">
        <f>$AA33+$AB33+IF($AC33&gt;0,1,0)+$AD33</f>
        <v/>
      </c>
      <c r="AJ33" s="14" t="n"/>
      <c r="AK33" s="29" t="n"/>
      <c r="AL33" s="31">
        <f>IF(AND($Q33=1,$Z33=1),1,0)</f>
        <v/>
      </c>
      <c r="AM33" s="31">
        <f>IF(AND($AL33=1,$AJ33&lt;&gt;""),MAX(0,TODAY()-$AJ33),"")</f>
        <v/>
      </c>
      <c r="AN33" s="31">
        <f>IF(OR($AL33=0,COUNT($AJ$6:$AJ$305)=0),0,IF($AJ33="",1,IF(TODAY()-$AJ33&gt;Board!$B$40,1,0)))</f>
        <v/>
      </c>
      <c r="AO33" s="31">
        <f>IF($AL33=0,0,IF($M33="■ Red",3,IF($M33="◧ Amber",2,IF($M33="□ On track",1,0))))</f>
        <v/>
      </c>
      <c r="AP33" s="31">
        <f>IF($AL33=0,0,IF($AK33="Will not hold",3,IF($AK33="At risk",2,IF($AK33="Will hold",1,0))))</f>
        <v/>
      </c>
      <c r="AQ33" s="31">
        <f>IF($AL33=0,"",IF($AO33=3,0,IF($AO33=2,1,IF(AND($AP33&gt;=2,$AP33&gt;$AO33),2,""))))</f>
        <v/>
      </c>
      <c r="AR33" s="31">
        <f>IF($AQ33="","",$AQ33*1000+33)</f>
        <v/>
      </c>
      <c r="AS33" s="31">
        <f>IF(AND($AL33=1,$AO33&gt;=2,$AP33&gt;=1,$AP33&lt;$AO33),1,0)</f>
        <v/>
      </c>
      <c r="AT33" s="31">
        <f>IF(AND($AL33=1,$AO33&gt;=2,$AP33=0),1,0)</f>
        <v/>
      </c>
      <c r="AU33" s="31">
        <f>IF(AND($AL33=1,$U33&lt;&gt;"",$U33&lt;TODAY()),1,0)</f>
        <v/>
      </c>
      <c r="AV33" s="31">
        <f>IF(OR($A33="",$AJ33="",Portfolio!$B$10=""),0,IF($AJ33&lt;=Portfolio!$B$10,0,IF(AND($D33="Completed",$Z33=1),1,IF(AND($D33="Terminated",$Z33=1),2,IF(AND($Q33=1,$Z33=0),3,0)))))</f>
        <v/>
      </c>
      <c r="AW33" s="31">
        <f>IF($AV33&gt;0,COUNTIF($AV$6:$AV33,"&gt;0"),"")</f>
        <v/>
      </c>
      <c r="AX33" s="31">
        <f>IF($AL33=0,"",IF(AND($B33="Project",$H33&lt;&gt;"",$H33&lt;TODAY()),"Planned finish "&amp;TEXT($H33,"d mmm")&amp;" has passed",IF($X33&gt;=2,(NETWORKDAYS($H33,$U33)-1)&amp;" working days past plan","")))</f>
        <v/>
      </c>
      <c r="AY33" s="31">
        <f>IF($AL33=0,"",IF($Y33&gt;=2,"Over budget by "&amp;TEXT(IF($B33="Program",$V33,$J33)-$K33,"#,##0"),""))</f>
        <v/>
      </c>
      <c r="AZ33" s="31">
        <f>IF(AND($AL33=1,$U33&lt;&gt;""),IF(AND(N($U33)&gt;=TODAY(),N($U33)&lt;=TODAY()+Board!$B$41),1,0),0)</f>
        <v/>
      </c>
    </row>
    <row r="34">
      <c r="A34" s="29" t="n"/>
      <c r="B34" s="29" t="n"/>
      <c r="C34" s="29" t="n"/>
      <c r="D34" s="29" t="n"/>
      <c r="E34" s="29" t="n"/>
      <c r="F34" s="29" t="n"/>
      <c r="G34" s="29" t="n"/>
      <c r="H34" s="30" t="n"/>
      <c r="I34" s="30" t="n"/>
      <c r="J34" s="19" t="n"/>
      <c r="K34" s="19" t="n"/>
      <c r="L34" s="26" t="n"/>
      <c r="M34" s="31">
        <f>IF($A34="","",IF($D34="","Not read",IF($Q34=0,"Not counted",IF(MAX($X34,$Y34)=3,"■ Red",IF(MAX($X34,$Y34)=2,"◧ Amber",IF(MAX($X34,$Y34)=1,"□ On track","Not read"))))))</f>
        <v/>
      </c>
      <c r="N34" s="31">
        <f>IF(OR($A34="",$B34&lt;&gt;"Program"),"","■ "&amp;COUNTIFS($C$6:$C$305,$A34,$M$6:$M$305,"■ Red")&amp;" Red, ◧ "&amp;COUNTIFS($C$6:$C$305,$A34,$M$6:$M$305,"◧ Amber")&amp;" Amber")</f>
        <v/>
      </c>
      <c r="O34" s="32">
        <f>IF(OR($A34="",$E34=""),"",COUNTIFS($E$6:$E$305,$E34,$D$6:$D$305,"Active")+COUNTIFS($E$6:$E$305,$E34,$D$6:$D$305,"Paused"))</f>
        <v/>
      </c>
      <c r="P34" s="31">
        <f>IF($A34="","",IF($AE34=0,"○ Clear",IF($AA34=1,"△ No owner",IF($AC34=1,"△ Check Sits under",IF($AC34=2,"△ Outside the portfolio",IF($AB34=1,"△ No sponsor","△ No variance note"))))&amp;IF($AE34&gt;1," (+"&amp;($AE34-1)&amp;" more)","")))</f>
        <v/>
      </c>
      <c r="Q34" s="31">
        <f>IF(AND($A34&lt;&gt;"",OR($D34="Active",$D34="Paused")),1,0)</f>
        <v/>
      </c>
      <c r="R34" s="31">
        <f>IFERROR(INDEX($A$6:$A$305,MATCH(27,$S$6:$S$305,0)),"")</f>
        <v/>
      </c>
      <c r="S34" s="31">
        <f>IF(AND($A34&lt;&gt;"",$B34="Program"),COUNTIFS($B$6:$B34,"Program",$A$6:$A34,"&lt;&gt;"),"")</f>
        <v/>
      </c>
      <c r="T34" s="33">
        <f>IF(AND($A34&lt;&gt;"",$B34="Program"),SUMPRODUCT(MAX(($C$6:$C$305=$A34)*($B$6:$B$305="Project")*($D$6:$D$305&lt;&gt;"Proposed")*$I$6:$I$305)),0)</f>
        <v/>
      </c>
      <c r="U34" s="33">
        <f>IF($I34&lt;&gt;"",$I34,IF($T34&gt;0,$T34,""))</f>
        <v/>
      </c>
      <c r="V34" s="31">
        <f>IF(AND($A34&lt;&gt;"",$B34="Program"),SUMIFS($J$6:$J$305,$C$6:$C$305,$A34,$B$6:$B$305,"Project",$D$6:$D$305,"&lt;&gt;Proposed"),0)</f>
        <v/>
      </c>
      <c r="W34" s="31">
        <f>IF(AND($A34&lt;&gt;"",$B34="Program"),COUNTIFS($C$6:$C$305,$A34,$B$6:$B$305,"Project",$D$6:$D$305,"&lt;&gt;Proposed")-COUNTIFS($C$6:$C$305,$A34,$B$6:$B$305,"Project",$D$6:$D$305,"&lt;&gt;Proposed",$J$6:$J$305,"&gt;=0"),0)</f>
        <v/>
      </c>
      <c r="X34" s="31">
        <f>IF(OR($Q34=0,$H34=""),0,IF(AND($B34="Project",$H34&lt;TODAY()),3,IF($U34="",0,IF($U34&lt;=$H34,1,IF(NETWORKDAYS($H34,$U34)-1&gt;IF($B34="Program",Portfolio!$B$16,Portfolio!$B$15),3,2)))))</f>
        <v/>
      </c>
      <c r="Y34" s="31">
        <f>IF(OR($Q34=0,$K34="",$K34=0),0,IF(AND($B34="Project",$J34=""),0,IF(IF($B34="Program",$V34,$J34)&gt;$K34*(1+Portfolio!$B$17),3,IF(IF($B34="Program",$V34,$J34)&gt;$K34,2,IF(AND($B34="Program",OR($W34&gt;0,$V34=0)),0,1)))))</f>
        <v/>
      </c>
      <c r="Z34" s="31">
        <f>IF($A34="",0,IF($C34="Portfolio",1,IF(AND($B34="Project",$C34&lt;&gt;"",$C34&lt;&gt;"Outside the portfolio"),IFERROR(IF(AND(INDEX($B$6:$B$305,MATCH($C34,$A$6:$A$305,0))="Program",INDEX($C$6:$C$305,MATCH($C34,$A$6:$A$305,0))="Portfolio"),1,0),0),0)))</f>
        <v/>
      </c>
      <c r="AA34" s="31">
        <f>IF(AND($A34&lt;&gt;"",$E34="",OR($Q34=1,$D34="Proposed")),1,0)</f>
        <v/>
      </c>
      <c r="AB34" s="31">
        <f>IF(AND($A34&lt;&gt;"",$B34="Program",$F34="",$Q34=1),1,0)</f>
        <v/>
      </c>
      <c r="AC34" s="31">
        <f>IF(OR($A34="",$D34="Completed",$D34="Terminated"),0,IF($C34="",1,IF($C34="Portfolio",0,IF($C34="Outside the portfolio",IF($Q34=1,2,0),IF($B34="Project",IF(IFERROR(INDEX($B$6:$B$305,MATCH($C34,$A$6:$A$305,0)),"")="Program",0,1),1)))))</f>
        <v/>
      </c>
      <c r="AD34" s="31">
        <f>IF(AND($A34&lt;&gt;"",OR($M34="■ Red",$M34="◧ Amber"),$L34=""),1,0)</f>
        <v/>
      </c>
      <c r="AE34" s="31">
        <f>$AA34+$AB34+IF($AC34&gt;0,1,0)+$AD34</f>
        <v/>
      </c>
      <c r="AJ34" s="14" t="n"/>
      <c r="AK34" s="29" t="n"/>
      <c r="AL34" s="31">
        <f>IF(AND($Q34=1,$Z34=1),1,0)</f>
        <v/>
      </c>
      <c r="AM34" s="31">
        <f>IF(AND($AL34=1,$AJ34&lt;&gt;""),MAX(0,TODAY()-$AJ34),"")</f>
        <v/>
      </c>
      <c r="AN34" s="31">
        <f>IF(OR($AL34=0,COUNT($AJ$6:$AJ$305)=0),0,IF($AJ34="",1,IF(TODAY()-$AJ34&gt;Board!$B$40,1,0)))</f>
        <v/>
      </c>
      <c r="AO34" s="31">
        <f>IF($AL34=0,0,IF($M34="■ Red",3,IF($M34="◧ Amber",2,IF($M34="□ On track",1,0))))</f>
        <v/>
      </c>
      <c r="AP34" s="31">
        <f>IF($AL34=0,0,IF($AK34="Will not hold",3,IF($AK34="At risk",2,IF($AK34="Will hold",1,0))))</f>
        <v/>
      </c>
      <c r="AQ34" s="31">
        <f>IF($AL34=0,"",IF($AO34=3,0,IF($AO34=2,1,IF(AND($AP34&gt;=2,$AP34&gt;$AO34),2,""))))</f>
        <v/>
      </c>
      <c r="AR34" s="31">
        <f>IF($AQ34="","",$AQ34*1000+34)</f>
        <v/>
      </c>
      <c r="AS34" s="31">
        <f>IF(AND($AL34=1,$AO34&gt;=2,$AP34&gt;=1,$AP34&lt;$AO34),1,0)</f>
        <v/>
      </c>
      <c r="AT34" s="31">
        <f>IF(AND($AL34=1,$AO34&gt;=2,$AP34=0),1,0)</f>
        <v/>
      </c>
      <c r="AU34" s="31">
        <f>IF(AND($AL34=1,$U34&lt;&gt;"",$U34&lt;TODAY()),1,0)</f>
        <v/>
      </c>
      <c r="AV34" s="31">
        <f>IF(OR($A34="",$AJ34="",Portfolio!$B$10=""),0,IF($AJ34&lt;=Portfolio!$B$10,0,IF(AND($D34="Completed",$Z34=1),1,IF(AND($D34="Terminated",$Z34=1),2,IF(AND($Q34=1,$Z34=0),3,0)))))</f>
        <v/>
      </c>
      <c r="AW34" s="31">
        <f>IF($AV34&gt;0,COUNTIF($AV$6:$AV34,"&gt;0"),"")</f>
        <v/>
      </c>
      <c r="AX34" s="31">
        <f>IF($AL34=0,"",IF(AND($B34="Project",$H34&lt;&gt;"",$H34&lt;TODAY()),"Planned finish "&amp;TEXT($H34,"d mmm")&amp;" has passed",IF($X34&gt;=2,(NETWORKDAYS($H34,$U34)-1)&amp;" working days past plan","")))</f>
        <v/>
      </c>
      <c r="AY34" s="31">
        <f>IF($AL34=0,"",IF($Y34&gt;=2,"Over budget by "&amp;TEXT(IF($B34="Program",$V34,$J34)-$K34,"#,##0"),""))</f>
        <v/>
      </c>
      <c r="AZ34" s="31">
        <f>IF(AND($AL34=1,$U34&lt;&gt;""),IF(AND(N($U34)&gt;=TODAY(),N($U34)&lt;=TODAY()+Board!$B$41),1,0),0)</f>
        <v/>
      </c>
    </row>
    <row r="35">
      <c r="A35" s="29" t="n"/>
      <c r="B35" s="29" t="n"/>
      <c r="C35" s="29" t="n"/>
      <c r="D35" s="29" t="n"/>
      <c r="E35" s="29" t="n"/>
      <c r="F35" s="29" t="n"/>
      <c r="G35" s="29" t="n"/>
      <c r="H35" s="30" t="n"/>
      <c r="I35" s="30" t="n"/>
      <c r="J35" s="19" t="n"/>
      <c r="K35" s="19" t="n"/>
      <c r="L35" s="26" t="n"/>
      <c r="M35" s="31">
        <f>IF($A35="","",IF($D35="","Not read",IF($Q35=0,"Not counted",IF(MAX($X35,$Y35)=3,"■ Red",IF(MAX($X35,$Y35)=2,"◧ Amber",IF(MAX($X35,$Y35)=1,"□ On track","Not read"))))))</f>
        <v/>
      </c>
      <c r="N35" s="31">
        <f>IF(OR($A35="",$B35&lt;&gt;"Program"),"","■ "&amp;COUNTIFS($C$6:$C$305,$A35,$M$6:$M$305,"■ Red")&amp;" Red, ◧ "&amp;COUNTIFS($C$6:$C$305,$A35,$M$6:$M$305,"◧ Amber")&amp;" Amber")</f>
        <v/>
      </c>
      <c r="O35" s="32">
        <f>IF(OR($A35="",$E35=""),"",COUNTIFS($E$6:$E$305,$E35,$D$6:$D$305,"Active")+COUNTIFS($E$6:$E$305,$E35,$D$6:$D$305,"Paused"))</f>
        <v/>
      </c>
      <c r="P35" s="31">
        <f>IF($A35="","",IF($AE35=0,"○ Clear",IF($AA35=1,"△ No owner",IF($AC35=1,"△ Check Sits under",IF($AC35=2,"△ Outside the portfolio",IF($AB35=1,"△ No sponsor","△ No variance note"))))&amp;IF($AE35&gt;1," (+"&amp;($AE35-1)&amp;" more)","")))</f>
        <v/>
      </c>
      <c r="Q35" s="31">
        <f>IF(AND($A35&lt;&gt;"",OR($D35="Active",$D35="Paused")),1,0)</f>
        <v/>
      </c>
      <c r="R35" s="31">
        <f>IFERROR(INDEX($A$6:$A$305,MATCH(28,$S$6:$S$305,0)),"")</f>
        <v/>
      </c>
      <c r="S35" s="31">
        <f>IF(AND($A35&lt;&gt;"",$B35="Program"),COUNTIFS($B$6:$B35,"Program",$A$6:$A35,"&lt;&gt;"),"")</f>
        <v/>
      </c>
      <c r="T35" s="33">
        <f>IF(AND($A35&lt;&gt;"",$B35="Program"),SUMPRODUCT(MAX(($C$6:$C$305=$A35)*($B$6:$B$305="Project")*($D$6:$D$305&lt;&gt;"Proposed")*$I$6:$I$305)),0)</f>
        <v/>
      </c>
      <c r="U35" s="33">
        <f>IF($I35&lt;&gt;"",$I35,IF($T35&gt;0,$T35,""))</f>
        <v/>
      </c>
      <c r="V35" s="31">
        <f>IF(AND($A35&lt;&gt;"",$B35="Program"),SUMIFS($J$6:$J$305,$C$6:$C$305,$A35,$B$6:$B$305,"Project",$D$6:$D$305,"&lt;&gt;Proposed"),0)</f>
        <v/>
      </c>
      <c r="W35" s="31">
        <f>IF(AND($A35&lt;&gt;"",$B35="Program"),COUNTIFS($C$6:$C$305,$A35,$B$6:$B$305,"Project",$D$6:$D$305,"&lt;&gt;Proposed")-COUNTIFS($C$6:$C$305,$A35,$B$6:$B$305,"Project",$D$6:$D$305,"&lt;&gt;Proposed",$J$6:$J$305,"&gt;=0"),0)</f>
        <v/>
      </c>
      <c r="X35" s="31">
        <f>IF(OR($Q35=0,$H35=""),0,IF(AND($B35="Project",$H35&lt;TODAY()),3,IF($U35="",0,IF($U35&lt;=$H35,1,IF(NETWORKDAYS($H35,$U35)-1&gt;IF($B35="Program",Portfolio!$B$16,Portfolio!$B$15),3,2)))))</f>
        <v/>
      </c>
      <c r="Y35" s="31">
        <f>IF(OR($Q35=0,$K35="",$K35=0),0,IF(AND($B35="Project",$J35=""),0,IF(IF($B35="Program",$V35,$J35)&gt;$K35*(1+Portfolio!$B$17),3,IF(IF($B35="Program",$V35,$J35)&gt;$K35,2,IF(AND($B35="Program",OR($W35&gt;0,$V35=0)),0,1)))))</f>
        <v/>
      </c>
      <c r="Z35" s="31">
        <f>IF($A35="",0,IF($C35="Portfolio",1,IF(AND($B35="Project",$C35&lt;&gt;"",$C35&lt;&gt;"Outside the portfolio"),IFERROR(IF(AND(INDEX($B$6:$B$305,MATCH($C35,$A$6:$A$305,0))="Program",INDEX($C$6:$C$305,MATCH($C35,$A$6:$A$305,0))="Portfolio"),1,0),0),0)))</f>
        <v/>
      </c>
      <c r="AA35" s="31">
        <f>IF(AND($A35&lt;&gt;"",$E35="",OR($Q35=1,$D35="Proposed")),1,0)</f>
        <v/>
      </c>
      <c r="AB35" s="31">
        <f>IF(AND($A35&lt;&gt;"",$B35="Program",$F35="",$Q35=1),1,0)</f>
        <v/>
      </c>
      <c r="AC35" s="31">
        <f>IF(OR($A35="",$D35="Completed",$D35="Terminated"),0,IF($C35="",1,IF($C35="Portfolio",0,IF($C35="Outside the portfolio",IF($Q35=1,2,0),IF($B35="Project",IF(IFERROR(INDEX($B$6:$B$305,MATCH($C35,$A$6:$A$305,0)),"")="Program",0,1),1)))))</f>
        <v/>
      </c>
      <c r="AD35" s="31">
        <f>IF(AND($A35&lt;&gt;"",OR($M35="■ Red",$M35="◧ Amber"),$L35=""),1,0)</f>
        <v/>
      </c>
      <c r="AE35" s="31">
        <f>$AA35+$AB35+IF($AC35&gt;0,1,0)+$AD35</f>
        <v/>
      </c>
      <c r="AJ35" s="14" t="n"/>
      <c r="AK35" s="29" t="n"/>
      <c r="AL35" s="31">
        <f>IF(AND($Q35=1,$Z35=1),1,0)</f>
        <v/>
      </c>
      <c r="AM35" s="31">
        <f>IF(AND($AL35=1,$AJ35&lt;&gt;""),MAX(0,TODAY()-$AJ35),"")</f>
        <v/>
      </c>
      <c r="AN35" s="31">
        <f>IF(OR($AL35=0,COUNT($AJ$6:$AJ$305)=0),0,IF($AJ35="",1,IF(TODAY()-$AJ35&gt;Board!$B$40,1,0)))</f>
        <v/>
      </c>
      <c r="AO35" s="31">
        <f>IF($AL35=0,0,IF($M35="■ Red",3,IF($M35="◧ Amber",2,IF($M35="□ On track",1,0))))</f>
        <v/>
      </c>
      <c r="AP35" s="31">
        <f>IF($AL35=0,0,IF($AK35="Will not hold",3,IF($AK35="At risk",2,IF($AK35="Will hold",1,0))))</f>
        <v/>
      </c>
      <c r="AQ35" s="31">
        <f>IF($AL35=0,"",IF($AO35=3,0,IF($AO35=2,1,IF(AND($AP35&gt;=2,$AP35&gt;$AO35),2,""))))</f>
        <v/>
      </c>
      <c r="AR35" s="31">
        <f>IF($AQ35="","",$AQ35*1000+35)</f>
        <v/>
      </c>
      <c r="AS35" s="31">
        <f>IF(AND($AL35=1,$AO35&gt;=2,$AP35&gt;=1,$AP35&lt;$AO35),1,0)</f>
        <v/>
      </c>
      <c r="AT35" s="31">
        <f>IF(AND($AL35=1,$AO35&gt;=2,$AP35=0),1,0)</f>
        <v/>
      </c>
      <c r="AU35" s="31">
        <f>IF(AND($AL35=1,$U35&lt;&gt;"",$U35&lt;TODAY()),1,0)</f>
        <v/>
      </c>
      <c r="AV35" s="31">
        <f>IF(OR($A35="",$AJ35="",Portfolio!$B$10=""),0,IF($AJ35&lt;=Portfolio!$B$10,0,IF(AND($D35="Completed",$Z35=1),1,IF(AND($D35="Terminated",$Z35=1),2,IF(AND($Q35=1,$Z35=0),3,0)))))</f>
        <v/>
      </c>
      <c r="AW35" s="31">
        <f>IF($AV35&gt;0,COUNTIF($AV$6:$AV35,"&gt;0"),"")</f>
        <v/>
      </c>
      <c r="AX35" s="31">
        <f>IF($AL35=0,"",IF(AND($B35="Project",$H35&lt;&gt;"",$H35&lt;TODAY()),"Planned finish "&amp;TEXT($H35,"d mmm")&amp;" has passed",IF($X35&gt;=2,(NETWORKDAYS($H35,$U35)-1)&amp;" working days past plan","")))</f>
        <v/>
      </c>
      <c r="AY35" s="31">
        <f>IF($AL35=0,"",IF($Y35&gt;=2,"Over budget by "&amp;TEXT(IF($B35="Program",$V35,$J35)-$K35,"#,##0"),""))</f>
        <v/>
      </c>
      <c r="AZ35" s="31">
        <f>IF(AND($AL35=1,$U35&lt;&gt;""),IF(AND(N($U35)&gt;=TODAY(),N($U35)&lt;=TODAY()+Board!$B$41),1,0),0)</f>
        <v/>
      </c>
    </row>
    <row r="36">
      <c r="A36" s="29" t="n"/>
      <c r="B36" s="29" t="n"/>
      <c r="C36" s="29" t="n"/>
      <c r="D36" s="29" t="n"/>
      <c r="E36" s="29" t="n"/>
      <c r="F36" s="29" t="n"/>
      <c r="G36" s="29" t="n"/>
      <c r="H36" s="30" t="n"/>
      <c r="I36" s="30" t="n"/>
      <c r="J36" s="19" t="n"/>
      <c r="K36" s="19" t="n"/>
      <c r="L36" s="26" t="n"/>
      <c r="M36" s="31">
        <f>IF($A36="","",IF($D36="","Not read",IF($Q36=0,"Not counted",IF(MAX($X36,$Y36)=3,"■ Red",IF(MAX($X36,$Y36)=2,"◧ Amber",IF(MAX($X36,$Y36)=1,"□ On track","Not read"))))))</f>
        <v/>
      </c>
      <c r="N36" s="31">
        <f>IF(OR($A36="",$B36&lt;&gt;"Program"),"","■ "&amp;COUNTIFS($C$6:$C$305,$A36,$M$6:$M$305,"■ Red")&amp;" Red, ◧ "&amp;COUNTIFS($C$6:$C$305,$A36,$M$6:$M$305,"◧ Amber")&amp;" Amber")</f>
        <v/>
      </c>
      <c r="O36" s="32">
        <f>IF(OR($A36="",$E36=""),"",COUNTIFS($E$6:$E$305,$E36,$D$6:$D$305,"Active")+COUNTIFS($E$6:$E$305,$E36,$D$6:$D$305,"Paused"))</f>
        <v/>
      </c>
      <c r="P36" s="31">
        <f>IF($A36="","",IF($AE36=0,"○ Clear",IF($AA36=1,"△ No owner",IF($AC36=1,"△ Check Sits under",IF($AC36=2,"△ Outside the portfolio",IF($AB36=1,"△ No sponsor","△ No variance note"))))&amp;IF($AE36&gt;1," (+"&amp;($AE36-1)&amp;" more)","")))</f>
        <v/>
      </c>
      <c r="Q36" s="31">
        <f>IF(AND($A36&lt;&gt;"",OR($D36="Active",$D36="Paused")),1,0)</f>
        <v/>
      </c>
      <c r="R36" s="31">
        <f>IFERROR(INDEX($A$6:$A$305,MATCH(29,$S$6:$S$305,0)),"")</f>
        <v/>
      </c>
      <c r="S36" s="31">
        <f>IF(AND($A36&lt;&gt;"",$B36="Program"),COUNTIFS($B$6:$B36,"Program",$A$6:$A36,"&lt;&gt;"),"")</f>
        <v/>
      </c>
      <c r="T36" s="33">
        <f>IF(AND($A36&lt;&gt;"",$B36="Program"),SUMPRODUCT(MAX(($C$6:$C$305=$A36)*($B$6:$B$305="Project")*($D$6:$D$305&lt;&gt;"Proposed")*$I$6:$I$305)),0)</f>
        <v/>
      </c>
      <c r="U36" s="33">
        <f>IF($I36&lt;&gt;"",$I36,IF($T36&gt;0,$T36,""))</f>
        <v/>
      </c>
      <c r="V36" s="31">
        <f>IF(AND($A36&lt;&gt;"",$B36="Program"),SUMIFS($J$6:$J$305,$C$6:$C$305,$A36,$B$6:$B$305,"Project",$D$6:$D$305,"&lt;&gt;Proposed"),0)</f>
        <v/>
      </c>
      <c r="W36" s="31">
        <f>IF(AND($A36&lt;&gt;"",$B36="Program"),COUNTIFS($C$6:$C$305,$A36,$B$6:$B$305,"Project",$D$6:$D$305,"&lt;&gt;Proposed")-COUNTIFS($C$6:$C$305,$A36,$B$6:$B$305,"Project",$D$6:$D$305,"&lt;&gt;Proposed",$J$6:$J$305,"&gt;=0"),0)</f>
        <v/>
      </c>
      <c r="X36" s="31">
        <f>IF(OR($Q36=0,$H36=""),0,IF(AND($B36="Project",$H36&lt;TODAY()),3,IF($U36="",0,IF($U36&lt;=$H36,1,IF(NETWORKDAYS($H36,$U36)-1&gt;IF($B36="Program",Portfolio!$B$16,Portfolio!$B$15),3,2)))))</f>
        <v/>
      </c>
      <c r="Y36" s="31">
        <f>IF(OR($Q36=0,$K36="",$K36=0),0,IF(AND($B36="Project",$J36=""),0,IF(IF($B36="Program",$V36,$J36)&gt;$K36*(1+Portfolio!$B$17),3,IF(IF($B36="Program",$V36,$J36)&gt;$K36,2,IF(AND($B36="Program",OR($W36&gt;0,$V36=0)),0,1)))))</f>
        <v/>
      </c>
      <c r="Z36" s="31">
        <f>IF($A36="",0,IF($C36="Portfolio",1,IF(AND($B36="Project",$C36&lt;&gt;"",$C36&lt;&gt;"Outside the portfolio"),IFERROR(IF(AND(INDEX($B$6:$B$305,MATCH($C36,$A$6:$A$305,0))="Program",INDEX($C$6:$C$305,MATCH($C36,$A$6:$A$305,0))="Portfolio"),1,0),0),0)))</f>
        <v/>
      </c>
      <c r="AA36" s="31">
        <f>IF(AND($A36&lt;&gt;"",$E36="",OR($Q36=1,$D36="Proposed")),1,0)</f>
        <v/>
      </c>
      <c r="AB36" s="31">
        <f>IF(AND($A36&lt;&gt;"",$B36="Program",$F36="",$Q36=1),1,0)</f>
        <v/>
      </c>
      <c r="AC36" s="31">
        <f>IF(OR($A36="",$D36="Completed",$D36="Terminated"),0,IF($C36="",1,IF($C36="Portfolio",0,IF($C36="Outside the portfolio",IF($Q36=1,2,0),IF($B36="Project",IF(IFERROR(INDEX($B$6:$B$305,MATCH($C36,$A$6:$A$305,0)),"")="Program",0,1),1)))))</f>
        <v/>
      </c>
      <c r="AD36" s="31">
        <f>IF(AND($A36&lt;&gt;"",OR($M36="■ Red",$M36="◧ Amber"),$L36=""),1,0)</f>
        <v/>
      </c>
      <c r="AE36" s="31">
        <f>$AA36+$AB36+IF($AC36&gt;0,1,0)+$AD36</f>
        <v/>
      </c>
      <c r="AJ36" s="14" t="n"/>
      <c r="AK36" s="29" t="n"/>
      <c r="AL36" s="31">
        <f>IF(AND($Q36=1,$Z36=1),1,0)</f>
        <v/>
      </c>
      <c r="AM36" s="31">
        <f>IF(AND($AL36=1,$AJ36&lt;&gt;""),MAX(0,TODAY()-$AJ36),"")</f>
        <v/>
      </c>
      <c r="AN36" s="31">
        <f>IF(OR($AL36=0,COUNT($AJ$6:$AJ$305)=0),0,IF($AJ36="",1,IF(TODAY()-$AJ36&gt;Board!$B$40,1,0)))</f>
        <v/>
      </c>
      <c r="AO36" s="31">
        <f>IF($AL36=0,0,IF($M36="■ Red",3,IF($M36="◧ Amber",2,IF($M36="□ On track",1,0))))</f>
        <v/>
      </c>
      <c r="AP36" s="31">
        <f>IF($AL36=0,0,IF($AK36="Will not hold",3,IF($AK36="At risk",2,IF($AK36="Will hold",1,0))))</f>
        <v/>
      </c>
      <c r="AQ36" s="31">
        <f>IF($AL36=0,"",IF($AO36=3,0,IF($AO36=2,1,IF(AND($AP36&gt;=2,$AP36&gt;$AO36),2,""))))</f>
        <v/>
      </c>
      <c r="AR36" s="31">
        <f>IF($AQ36="","",$AQ36*1000+36)</f>
        <v/>
      </c>
      <c r="AS36" s="31">
        <f>IF(AND($AL36=1,$AO36&gt;=2,$AP36&gt;=1,$AP36&lt;$AO36),1,0)</f>
        <v/>
      </c>
      <c r="AT36" s="31">
        <f>IF(AND($AL36=1,$AO36&gt;=2,$AP36=0),1,0)</f>
        <v/>
      </c>
      <c r="AU36" s="31">
        <f>IF(AND($AL36=1,$U36&lt;&gt;"",$U36&lt;TODAY()),1,0)</f>
        <v/>
      </c>
      <c r="AV36" s="31">
        <f>IF(OR($A36="",$AJ36="",Portfolio!$B$10=""),0,IF($AJ36&lt;=Portfolio!$B$10,0,IF(AND($D36="Completed",$Z36=1),1,IF(AND($D36="Terminated",$Z36=1),2,IF(AND($Q36=1,$Z36=0),3,0)))))</f>
        <v/>
      </c>
      <c r="AW36" s="31">
        <f>IF($AV36&gt;0,COUNTIF($AV$6:$AV36,"&gt;0"),"")</f>
        <v/>
      </c>
      <c r="AX36" s="31">
        <f>IF($AL36=0,"",IF(AND($B36="Project",$H36&lt;&gt;"",$H36&lt;TODAY()),"Planned finish "&amp;TEXT($H36,"d mmm")&amp;" has passed",IF($X36&gt;=2,(NETWORKDAYS($H36,$U36)-1)&amp;" working days past plan","")))</f>
        <v/>
      </c>
      <c r="AY36" s="31">
        <f>IF($AL36=0,"",IF($Y36&gt;=2,"Over budget by "&amp;TEXT(IF($B36="Program",$V36,$J36)-$K36,"#,##0"),""))</f>
        <v/>
      </c>
      <c r="AZ36" s="31">
        <f>IF(AND($AL36=1,$U36&lt;&gt;""),IF(AND(N($U36)&gt;=TODAY(),N($U36)&lt;=TODAY()+Board!$B$41),1,0),0)</f>
        <v/>
      </c>
    </row>
    <row r="37">
      <c r="A37" s="29" t="n"/>
      <c r="B37" s="29" t="n"/>
      <c r="C37" s="29" t="n"/>
      <c r="D37" s="29" t="n"/>
      <c r="E37" s="29" t="n"/>
      <c r="F37" s="29" t="n"/>
      <c r="G37" s="29" t="n"/>
      <c r="H37" s="30" t="n"/>
      <c r="I37" s="30" t="n"/>
      <c r="J37" s="19" t="n"/>
      <c r="K37" s="19" t="n"/>
      <c r="L37" s="26" t="n"/>
      <c r="M37" s="31">
        <f>IF($A37="","",IF($D37="","Not read",IF($Q37=0,"Not counted",IF(MAX($X37,$Y37)=3,"■ Red",IF(MAX($X37,$Y37)=2,"◧ Amber",IF(MAX($X37,$Y37)=1,"□ On track","Not read"))))))</f>
        <v/>
      </c>
      <c r="N37" s="31">
        <f>IF(OR($A37="",$B37&lt;&gt;"Program"),"","■ "&amp;COUNTIFS($C$6:$C$305,$A37,$M$6:$M$305,"■ Red")&amp;" Red, ◧ "&amp;COUNTIFS($C$6:$C$305,$A37,$M$6:$M$305,"◧ Amber")&amp;" Amber")</f>
        <v/>
      </c>
      <c r="O37" s="32">
        <f>IF(OR($A37="",$E37=""),"",COUNTIFS($E$6:$E$305,$E37,$D$6:$D$305,"Active")+COUNTIFS($E$6:$E$305,$E37,$D$6:$D$305,"Paused"))</f>
        <v/>
      </c>
      <c r="P37" s="31">
        <f>IF($A37="","",IF($AE37=0,"○ Clear",IF($AA37=1,"△ No owner",IF($AC37=1,"△ Check Sits under",IF($AC37=2,"△ Outside the portfolio",IF($AB37=1,"△ No sponsor","△ No variance note"))))&amp;IF($AE37&gt;1," (+"&amp;($AE37-1)&amp;" more)","")))</f>
        <v/>
      </c>
      <c r="Q37" s="31">
        <f>IF(AND($A37&lt;&gt;"",OR($D37="Active",$D37="Paused")),1,0)</f>
        <v/>
      </c>
      <c r="R37" s="31">
        <f>IFERROR(INDEX($A$6:$A$305,MATCH(30,$S$6:$S$305,0)),"")</f>
        <v/>
      </c>
      <c r="S37" s="31">
        <f>IF(AND($A37&lt;&gt;"",$B37="Program"),COUNTIFS($B$6:$B37,"Program",$A$6:$A37,"&lt;&gt;"),"")</f>
        <v/>
      </c>
      <c r="T37" s="33">
        <f>IF(AND($A37&lt;&gt;"",$B37="Program"),SUMPRODUCT(MAX(($C$6:$C$305=$A37)*($B$6:$B$305="Project")*($D$6:$D$305&lt;&gt;"Proposed")*$I$6:$I$305)),0)</f>
        <v/>
      </c>
      <c r="U37" s="33">
        <f>IF($I37&lt;&gt;"",$I37,IF($T37&gt;0,$T37,""))</f>
        <v/>
      </c>
      <c r="V37" s="31">
        <f>IF(AND($A37&lt;&gt;"",$B37="Program"),SUMIFS($J$6:$J$305,$C$6:$C$305,$A37,$B$6:$B$305,"Project",$D$6:$D$305,"&lt;&gt;Proposed"),0)</f>
        <v/>
      </c>
      <c r="W37" s="31">
        <f>IF(AND($A37&lt;&gt;"",$B37="Program"),COUNTIFS($C$6:$C$305,$A37,$B$6:$B$305,"Project",$D$6:$D$305,"&lt;&gt;Proposed")-COUNTIFS($C$6:$C$305,$A37,$B$6:$B$305,"Project",$D$6:$D$305,"&lt;&gt;Proposed",$J$6:$J$305,"&gt;=0"),0)</f>
        <v/>
      </c>
      <c r="X37" s="31">
        <f>IF(OR($Q37=0,$H37=""),0,IF(AND($B37="Project",$H37&lt;TODAY()),3,IF($U37="",0,IF($U37&lt;=$H37,1,IF(NETWORKDAYS($H37,$U37)-1&gt;IF($B37="Program",Portfolio!$B$16,Portfolio!$B$15),3,2)))))</f>
        <v/>
      </c>
      <c r="Y37" s="31">
        <f>IF(OR($Q37=0,$K37="",$K37=0),0,IF(AND($B37="Project",$J37=""),0,IF(IF($B37="Program",$V37,$J37)&gt;$K37*(1+Portfolio!$B$17),3,IF(IF($B37="Program",$V37,$J37)&gt;$K37,2,IF(AND($B37="Program",OR($W37&gt;0,$V37=0)),0,1)))))</f>
        <v/>
      </c>
      <c r="Z37" s="31">
        <f>IF($A37="",0,IF($C37="Portfolio",1,IF(AND($B37="Project",$C37&lt;&gt;"",$C37&lt;&gt;"Outside the portfolio"),IFERROR(IF(AND(INDEX($B$6:$B$305,MATCH($C37,$A$6:$A$305,0))="Program",INDEX($C$6:$C$305,MATCH($C37,$A$6:$A$305,0))="Portfolio"),1,0),0),0)))</f>
        <v/>
      </c>
      <c r="AA37" s="31">
        <f>IF(AND($A37&lt;&gt;"",$E37="",OR($Q37=1,$D37="Proposed")),1,0)</f>
        <v/>
      </c>
      <c r="AB37" s="31">
        <f>IF(AND($A37&lt;&gt;"",$B37="Program",$F37="",$Q37=1),1,0)</f>
        <v/>
      </c>
      <c r="AC37" s="31">
        <f>IF(OR($A37="",$D37="Completed",$D37="Terminated"),0,IF($C37="",1,IF($C37="Portfolio",0,IF($C37="Outside the portfolio",IF($Q37=1,2,0),IF($B37="Project",IF(IFERROR(INDEX($B$6:$B$305,MATCH($C37,$A$6:$A$305,0)),"")="Program",0,1),1)))))</f>
        <v/>
      </c>
      <c r="AD37" s="31">
        <f>IF(AND($A37&lt;&gt;"",OR($M37="■ Red",$M37="◧ Amber"),$L37=""),1,0)</f>
        <v/>
      </c>
      <c r="AE37" s="31">
        <f>$AA37+$AB37+IF($AC37&gt;0,1,0)+$AD37</f>
        <v/>
      </c>
      <c r="AJ37" s="14" t="n"/>
      <c r="AK37" s="29" t="n"/>
      <c r="AL37" s="31">
        <f>IF(AND($Q37=1,$Z37=1),1,0)</f>
        <v/>
      </c>
      <c r="AM37" s="31">
        <f>IF(AND($AL37=1,$AJ37&lt;&gt;""),MAX(0,TODAY()-$AJ37),"")</f>
        <v/>
      </c>
      <c r="AN37" s="31">
        <f>IF(OR($AL37=0,COUNT($AJ$6:$AJ$305)=0),0,IF($AJ37="",1,IF(TODAY()-$AJ37&gt;Board!$B$40,1,0)))</f>
        <v/>
      </c>
      <c r="AO37" s="31">
        <f>IF($AL37=0,0,IF($M37="■ Red",3,IF($M37="◧ Amber",2,IF($M37="□ On track",1,0))))</f>
        <v/>
      </c>
      <c r="AP37" s="31">
        <f>IF($AL37=0,0,IF($AK37="Will not hold",3,IF($AK37="At risk",2,IF($AK37="Will hold",1,0))))</f>
        <v/>
      </c>
      <c r="AQ37" s="31">
        <f>IF($AL37=0,"",IF($AO37=3,0,IF($AO37=2,1,IF(AND($AP37&gt;=2,$AP37&gt;$AO37),2,""))))</f>
        <v/>
      </c>
      <c r="AR37" s="31">
        <f>IF($AQ37="","",$AQ37*1000+37)</f>
        <v/>
      </c>
      <c r="AS37" s="31">
        <f>IF(AND($AL37=1,$AO37&gt;=2,$AP37&gt;=1,$AP37&lt;$AO37),1,0)</f>
        <v/>
      </c>
      <c r="AT37" s="31">
        <f>IF(AND($AL37=1,$AO37&gt;=2,$AP37=0),1,0)</f>
        <v/>
      </c>
      <c r="AU37" s="31">
        <f>IF(AND($AL37=1,$U37&lt;&gt;"",$U37&lt;TODAY()),1,0)</f>
        <v/>
      </c>
      <c r="AV37" s="31">
        <f>IF(OR($A37="",$AJ37="",Portfolio!$B$10=""),0,IF($AJ37&lt;=Portfolio!$B$10,0,IF(AND($D37="Completed",$Z37=1),1,IF(AND($D37="Terminated",$Z37=1),2,IF(AND($Q37=1,$Z37=0),3,0)))))</f>
        <v/>
      </c>
      <c r="AW37" s="31">
        <f>IF($AV37&gt;0,COUNTIF($AV$6:$AV37,"&gt;0"),"")</f>
        <v/>
      </c>
      <c r="AX37" s="31">
        <f>IF($AL37=0,"",IF(AND($B37="Project",$H37&lt;&gt;"",$H37&lt;TODAY()),"Planned finish "&amp;TEXT($H37,"d mmm")&amp;" has passed",IF($X37&gt;=2,(NETWORKDAYS($H37,$U37)-1)&amp;" working days past plan","")))</f>
        <v/>
      </c>
      <c r="AY37" s="31">
        <f>IF($AL37=0,"",IF($Y37&gt;=2,"Over budget by "&amp;TEXT(IF($B37="Program",$V37,$J37)-$K37,"#,##0"),""))</f>
        <v/>
      </c>
      <c r="AZ37" s="31">
        <f>IF(AND($AL37=1,$U37&lt;&gt;""),IF(AND(N($U37)&gt;=TODAY(),N($U37)&lt;=TODAY()+Board!$B$41),1,0),0)</f>
        <v/>
      </c>
    </row>
    <row r="38">
      <c r="A38" s="29" t="n"/>
      <c r="B38" s="29" t="n"/>
      <c r="C38" s="29" t="n"/>
      <c r="D38" s="29" t="n"/>
      <c r="E38" s="29" t="n"/>
      <c r="F38" s="29" t="n"/>
      <c r="G38" s="29" t="n"/>
      <c r="H38" s="30" t="n"/>
      <c r="I38" s="30" t="n"/>
      <c r="J38" s="19" t="n"/>
      <c r="K38" s="19" t="n"/>
      <c r="L38" s="26" t="n"/>
      <c r="M38" s="31">
        <f>IF($A38="","",IF($D38="","Not read",IF($Q38=0,"Not counted",IF(MAX($X38,$Y38)=3,"■ Red",IF(MAX($X38,$Y38)=2,"◧ Amber",IF(MAX($X38,$Y38)=1,"□ On track","Not read"))))))</f>
        <v/>
      </c>
      <c r="N38" s="31">
        <f>IF(OR($A38="",$B38&lt;&gt;"Program"),"","■ "&amp;COUNTIFS($C$6:$C$305,$A38,$M$6:$M$305,"■ Red")&amp;" Red, ◧ "&amp;COUNTIFS($C$6:$C$305,$A38,$M$6:$M$305,"◧ Amber")&amp;" Amber")</f>
        <v/>
      </c>
      <c r="O38" s="32">
        <f>IF(OR($A38="",$E38=""),"",COUNTIFS($E$6:$E$305,$E38,$D$6:$D$305,"Active")+COUNTIFS($E$6:$E$305,$E38,$D$6:$D$305,"Paused"))</f>
        <v/>
      </c>
      <c r="P38" s="31">
        <f>IF($A38="","",IF($AE38=0,"○ Clear",IF($AA38=1,"△ No owner",IF($AC38=1,"△ Check Sits under",IF($AC38=2,"△ Outside the portfolio",IF($AB38=1,"△ No sponsor","△ No variance note"))))&amp;IF($AE38&gt;1," (+"&amp;($AE38-1)&amp;" more)","")))</f>
        <v/>
      </c>
      <c r="Q38" s="31">
        <f>IF(AND($A38&lt;&gt;"",OR($D38="Active",$D38="Paused")),1,0)</f>
        <v/>
      </c>
      <c r="R38" s="31">
        <f>IFERROR(INDEX($A$6:$A$305,MATCH(31,$S$6:$S$305,0)),"")</f>
        <v/>
      </c>
      <c r="S38" s="31">
        <f>IF(AND($A38&lt;&gt;"",$B38="Program"),COUNTIFS($B$6:$B38,"Program",$A$6:$A38,"&lt;&gt;"),"")</f>
        <v/>
      </c>
      <c r="T38" s="33">
        <f>IF(AND($A38&lt;&gt;"",$B38="Program"),SUMPRODUCT(MAX(($C$6:$C$305=$A38)*($B$6:$B$305="Project")*($D$6:$D$305&lt;&gt;"Proposed")*$I$6:$I$305)),0)</f>
        <v/>
      </c>
      <c r="U38" s="33">
        <f>IF($I38&lt;&gt;"",$I38,IF($T38&gt;0,$T38,""))</f>
        <v/>
      </c>
      <c r="V38" s="31">
        <f>IF(AND($A38&lt;&gt;"",$B38="Program"),SUMIFS($J$6:$J$305,$C$6:$C$305,$A38,$B$6:$B$305,"Project",$D$6:$D$305,"&lt;&gt;Proposed"),0)</f>
        <v/>
      </c>
      <c r="W38" s="31">
        <f>IF(AND($A38&lt;&gt;"",$B38="Program"),COUNTIFS($C$6:$C$305,$A38,$B$6:$B$305,"Project",$D$6:$D$305,"&lt;&gt;Proposed")-COUNTIFS($C$6:$C$305,$A38,$B$6:$B$305,"Project",$D$6:$D$305,"&lt;&gt;Proposed",$J$6:$J$305,"&gt;=0"),0)</f>
        <v/>
      </c>
      <c r="X38" s="31">
        <f>IF(OR($Q38=0,$H38=""),0,IF(AND($B38="Project",$H38&lt;TODAY()),3,IF($U38="",0,IF($U38&lt;=$H38,1,IF(NETWORKDAYS($H38,$U38)-1&gt;IF($B38="Program",Portfolio!$B$16,Portfolio!$B$15),3,2)))))</f>
        <v/>
      </c>
      <c r="Y38" s="31">
        <f>IF(OR($Q38=0,$K38="",$K38=0),0,IF(AND($B38="Project",$J38=""),0,IF(IF($B38="Program",$V38,$J38)&gt;$K38*(1+Portfolio!$B$17),3,IF(IF($B38="Program",$V38,$J38)&gt;$K38,2,IF(AND($B38="Program",OR($W38&gt;0,$V38=0)),0,1)))))</f>
        <v/>
      </c>
      <c r="Z38" s="31">
        <f>IF($A38="",0,IF($C38="Portfolio",1,IF(AND($B38="Project",$C38&lt;&gt;"",$C38&lt;&gt;"Outside the portfolio"),IFERROR(IF(AND(INDEX($B$6:$B$305,MATCH($C38,$A$6:$A$305,0))="Program",INDEX($C$6:$C$305,MATCH($C38,$A$6:$A$305,0))="Portfolio"),1,0),0),0)))</f>
        <v/>
      </c>
      <c r="AA38" s="31">
        <f>IF(AND($A38&lt;&gt;"",$E38="",OR($Q38=1,$D38="Proposed")),1,0)</f>
        <v/>
      </c>
      <c r="AB38" s="31">
        <f>IF(AND($A38&lt;&gt;"",$B38="Program",$F38="",$Q38=1),1,0)</f>
        <v/>
      </c>
      <c r="AC38" s="31">
        <f>IF(OR($A38="",$D38="Completed",$D38="Terminated"),0,IF($C38="",1,IF($C38="Portfolio",0,IF($C38="Outside the portfolio",IF($Q38=1,2,0),IF($B38="Project",IF(IFERROR(INDEX($B$6:$B$305,MATCH($C38,$A$6:$A$305,0)),"")="Program",0,1),1)))))</f>
        <v/>
      </c>
      <c r="AD38" s="31">
        <f>IF(AND($A38&lt;&gt;"",OR($M38="■ Red",$M38="◧ Amber"),$L38=""),1,0)</f>
        <v/>
      </c>
      <c r="AE38" s="31">
        <f>$AA38+$AB38+IF($AC38&gt;0,1,0)+$AD38</f>
        <v/>
      </c>
      <c r="AJ38" s="14" t="n"/>
      <c r="AK38" s="29" t="n"/>
      <c r="AL38" s="31">
        <f>IF(AND($Q38=1,$Z38=1),1,0)</f>
        <v/>
      </c>
      <c r="AM38" s="31">
        <f>IF(AND($AL38=1,$AJ38&lt;&gt;""),MAX(0,TODAY()-$AJ38),"")</f>
        <v/>
      </c>
      <c r="AN38" s="31">
        <f>IF(OR($AL38=0,COUNT($AJ$6:$AJ$305)=0),0,IF($AJ38="",1,IF(TODAY()-$AJ38&gt;Board!$B$40,1,0)))</f>
        <v/>
      </c>
      <c r="AO38" s="31">
        <f>IF($AL38=0,0,IF($M38="■ Red",3,IF($M38="◧ Amber",2,IF($M38="□ On track",1,0))))</f>
        <v/>
      </c>
      <c r="AP38" s="31">
        <f>IF($AL38=0,0,IF($AK38="Will not hold",3,IF($AK38="At risk",2,IF($AK38="Will hold",1,0))))</f>
        <v/>
      </c>
      <c r="AQ38" s="31">
        <f>IF($AL38=0,"",IF($AO38=3,0,IF($AO38=2,1,IF(AND($AP38&gt;=2,$AP38&gt;$AO38),2,""))))</f>
        <v/>
      </c>
      <c r="AR38" s="31">
        <f>IF($AQ38="","",$AQ38*1000+38)</f>
        <v/>
      </c>
      <c r="AS38" s="31">
        <f>IF(AND($AL38=1,$AO38&gt;=2,$AP38&gt;=1,$AP38&lt;$AO38),1,0)</f>
        <v/>
      </c>
      <c r="AT38" s="31">
        <f>IF(AND($AL38=1,$AO38&gt;=2,$AP38=0),1,0)</f>
        <v/>
      </c>
      <c r="AU38" s="31">
        <f>IF(AND($AL38=1,$U38&lt;&gt;"",$U38&lt;TODAY()),1,0)</f>
        <v/>
      </c>
      <c r="AV38" s="31">
        <f>IF(OR($A38="",$AJ38="",Portfolio!$B$10=""),0,IF($AJ38&lt;=Portfolio!$B$10,0,IF(AND($D38="Completed",$Z38=1),1,IF(AND($D38="Terminated",$Z38=1),2,IF(AND($Q38=1,$Z38=0),3,0)))))</f>
        <v/>
      </c>
      <c r="AW38" s="31">
        <f>IF($AV38&gt;0,COUNTIF($AV$6:$AV38,"&gt;0"),"")</f>
        <v/>
      </c>
      <c r="AX38" s="31">
        <f>IF($AL38=0,"",IF(AND($B38="Project",$H38&lt;&gt;"",$H38&lt;TODAY()),"Planned finish "&amp;TEXT($H38,"d mmm")&amp;" has passed",IF($X38&gt;=2,(NETWORKDAYS($H38,$U38)-1)&amp;" working days past plan","")))</f>
        <v/>
      </c>
      <c r="AY38" s="31">
        <f>IF($AL38=0,"",IF($Y38&gt;=2,"Over budget by "&amp;TEXT(IF($B38="Program",$V38,$J38)-$K38,"#,##0"),""))</f>
        <v/>
      </c>
      <c r="AZ38" s="31">
        <f>IF(AND($AL38=1,$U38&lt;&gt;""),IF(AND(N($U38)&gt;=TODAY(),N($U38)&lt;=TODAY()+Board!$B$41),1,0),0)</f>
        <v/>
      </c>
    </row>
    <row r="39">
      <c r="A39" s="29" t="n"/>
      <c r="B39" s="29" t="n"/>
      <c r="C39" s="29" t="n"/>
      <c r="D39" s="29" t="n"/>
      <c r="E39" s="29" t="n"/>
      <c r="F39" s="29" t="n"/>
      <c r="G39" s="29" t="n"/>
      <c r="H39" s="30" t="n"/>
      <c r="I39" s="30" t="n"/>
      <c r="J39" s="19" t="n"/>
      <c r="K39" s="19" t="n"/>
      <c r="L39" s="26" t="n"/>
      <c r="M39" s="31">
        <f>IF($A39="","",IF($D39="","Not read",IF($Q39=0,"Not counted",IF(MAX($X39,$Y39)=3,"■ Red",IF(MAX($X39,$Y39)=2,"◧ Amber",IF(MAX($X39,$Y39)=1,"□ On track","Not read"))))))</f>
        <v/>
      </c>
      <c r="N39" s="31">
        <f>IF(OR($A39="",$B39&lt;&gt;"Program"),"","■ "&amp;COUNTIFS($C$6:$C$305,$A39,$M$6:$M$305,"■ Red")&amp;" Red, ◧ "&amp;COUNTIFS($C$6:$C$305,$A39,$M$6:$M$305,"◧ Amber")&amp;" Amber")</f>
        <v/>
      </c>
      <c r="O39" s="32">
        <f>IF(OR($A39="",$E39=""),"",COUNTIFS($E$6:$E$305,$E39,$D$6:$D$305,"Active")+COUNTIFS($E$6:$E$305,$E39,$D$6:$D$305,"Paused"))</f>
        <v/>
      </c>
      <c r="P39" s="31">
        <f>IF($A39="","",IF($AE39=0,"○ Clear",IF($AA39=1,"△ No owner",IF($AC39=1,"△ Check Sits under",IF($AC39=2,"△ Outside the portfolio",IF($AB39=1,"△ No sponsor","△ No variance note"))))&amp;IF($AE39&gt;1," (+"&amp;($AE39-1)&amp;" more)","")))</f>
        <v/>
      </c>
      <c r="Q39" s="31">
        <f>IF(AND($A39&lt;&gt;"",OR($D39="Active",$D39="Paused")),1,0)</f>
        <v/>
      </c>
      <c r="R39" s="31">
        <f>IFERROR(INDEX($A$6:$A$305,MATCH(32,$S$6:$S$305,0)),"")</f>
        <v/>
      </c>
      <c r="S39" s="31">
        <f>IF(AND($A39&lt;&gt;"",$B39="Program"),COUNTIFS($B$6:$B39,"Program",$A$6:$A39,"&lt;&gt;"),"")</f>
        <v/>
      </c>
      <c r="T39" s="33">
        <f>IF(AND($A39&lt;&gt;"",$B39="Program"),SUMPRODUCT(MAX(($C$6:$C$305=$A39)*($B$6:$B$305="Project")*($D$6:$D$305&lt;&gt;"Proposed")*$I$6:$I$305)),0)</f>
        <v/>
      </c>
      <c r="U39" s="33">
        <f>IF($I39&lt;&gt;"",$I39,IF($T39&gt;0,$T39,""))</f>
        <v/>
      </c>
      <c r="V39" s="31">
        <f>IF(AND($A39&lt;&gt;"",$B39="Program"),SUMIFS($J$6:$J$305,$C$6:$C$305,$A39,$B$6:$B$305,"Project",$D$6:$D$305,"&lt;&gt;Proposed"),0)</f>
        <v/>
      </c>
      <c r="W39" s="31">
        <f>IF(AND($A39&lt;&gt;"",$B39="Program"),COUNTIFS($C$6:$C$305,$A39,$B$6:$B$305,"Project",$D$6:$D$305,"&lt;&gt;Proposed")-COUNTIFS($C$6:$C$305,$A39,$B$6:$B$305,"Project",$D$6:$D$305,"&lt;&gt;Proposed",$J$6:$J$305,"&gt;=0"),0)</f>
        <v/>
      </c>
      <c r="X39" s="31">
        <f>IF(OR($Q39=0,$H39=""),0,IF(AND($B39="Project",$H39&lt;TODAY()),3,IF($U39="",0,IF($U39&lt;=$H39,1,IF(NETWORKDAYS($H39,$U39)-1&gt;IF($B39="Program",Portfolio!$B$16,Portfolio!$B$15),3,2)))))</f>
        <v/>
      </c>
      <c r="Y39" s="31">
        <f>IF(OR($Q39=0,$K39="",$K39=0),0,IF(AND($B39="Project",$J39=""),0,IF(IF($B39="Program",$V39,$J39)&gt;$K39*(1+Portfolio!$B$17),3,IF(IF($B39="Program",$V39,$J39)&gt;$K39,2,IF(AND($B39="Program",OR($W39&gt;0,$V39=0)),0,1)))))</f>
        <v/>
      </c>
      <c r="Z39" s="31">
        <f>IF($A39="",0,IF($C39="Portfolio",1,IF(AND($B39="Project",$C39&lt;&gt;"",$C39&lt;&gt;"Outside the portfolio"),IFERROR(IF(AND(INDEX($B$6:$B$305,MATCH($C39,$A$6:$A$305,0))="Program",INDEX($C$6:$C$305,MATCH($C39,$A$6:$A$305,0))="Portfolio"),1,0),0),0)))</f>
        <v/>
      </c>
      <c r="AA39" s="31">
        <f>IF(AND($A39&lt;&gt;"",$E39="",OR($Q39=1,$D39="Proposed")),1,0)</f>
        <v/>
      </c>
      <c r="AB39" s="31">
        <f>IF(AND($A39&lt;&gt;"",$B39="Program",$F39="",$Q39=1),1,0)</f>
        <v/>
      </c>
      <c r="AC39" s="31">
        <f>IF(OR($A39="",$D39="Completed",$D39="Terminated"),0,IF($C39="",1,IF($C39="Portfolio",0,IF($C39="Outside the portfolio",IF($Q39=1,2,0),IF($B39="Project",IF(IFERROR(INDEX($B$6:$B$305,MATCH($C39,$A$6:$A$305,0)),"")="Program",0,1),1)))))</f>
        <v/>
      </c>
      <c r="AD39" s="31">
        <f>IF(AND($A39&lt;&gt;"",OR($M39="■ Red",$M39="◧ Amber"),$L39=""),1,0)</f>
        <v/>
      </c>
      <c r="AE39" s="31">
        <f>$AA39+$AB39+IF($AC39&gt;0,1,0)+$AD39</f>
        <v/>
      </c>
      <c r="AJ39" s="14" t="n"/>
      <c r="AK39" s="29" t="n"/>
      <c r="AL39" s="31">
        <f>IF(AND($Q39=1,$Z39=1),1,0)</f>
        <v/>
      </c>
      <c r="AM39" s="31">
        <f>IF(AND($AL39=1,$AJ39&lt;&gt;""),MAX(0,TODAY()-$AJ39),"")</f>
        <v/>
      </c>
      <c r="AN39" s="31">
        <f>IF(OR($AL39=0,COUNT($AJ$6:$AJ$305)=0),0,IF($AJ39="",1,IF(TODAY()-$AJ39&gt;Board!$B$40,1,0)))</f>
        <v/>
      </c>
      <c r="AO39" s="31">
        <f>IF($AL39=0,0,IF($M39="■ Red",3,IF($M39="◧ Amber",2,IF($M39="□ On track",1,0))))</f>
        <v/>
      </c>
      <c r="AP39" s="31">
        <f>IF($AL39=0,0,IF($AK39="Will not hold",3,IF($AK39="At risk",2,IF($AK39="Will hold",1,0))))</f>
        <v/>
      </c>
      <c r="AQ39" s="31">
        <f>IF($AL39=0,"",IF($AO39=3,0,IF($AO39=2,1,IF(AND($AP39&gt;=2,$AP39&gt;$AO39),2,""))))</f>
        <v/>
      </c>
      <c r="AR39" s="31">
        <f>IF($AQ39="","",$AQ39*1000+39)</f>
        <v/>
      </c>
      <c r="AS39" s="31">
        <f>IF(AND($AL39=1,$AO39&gt;=2,$AP39&gt;=1,$AP39&lt;$AO39),1,0)</f>
        <v/>
      </c>
      <c r="AT39" s="31">
        <f>IF(AND($AL39=1,$AO39&gt;=2,$AP39=0),1,0)</f>
        <v/>
      </c>
      <c r="AU39" s="31">
        <f>IF(AND($AL39=1,$U39&lt;&gt;"",$U39&lt;TODAY()),1,0)</f>
        <v/>
      </c>
      <c r="AV39" s="31">
        <f>IF(OR($A39="",$AJ39="",Portfolio!$B$10=""),0,IF($AJ39&lt;=Portfolio!$B$10,0,IF(AND($D39="Completed",$Z39=1),1,IF(AND($D39="Terminated",$Z39=1),2,IF(AND($Q39=1,$Z39=0),3,0)))))</f>
        <v/>
      </c>
      <c r="AW39" s="31">
        <f>IF($AV39&gt;0,COUNTIF($AV$6:$AV39,"&gt;0"),"")</f>
        <v/>
      </c>
      <c r="AX39" s="31">
        <f>IF($AL39=0,"",IF(AND($B39="Project",$H39&lt;&gt;"",$H39&lt;TODAY()),"Planned finish "&amp;TEXT($H39,"d mmm")&amp;" has passed",IF($X39&gt;=2,(NETWORKDAYS($H39,$U39)-1)&amp;" working days past plan","")))</f>
        <v/>
      </c>
      <c r="AY39" s="31">
        <f>IF($AL39=0,"",IF($Y39&gt;=2,"Over budget by "&amp;TEXT(IF($B39="Program",$V39,$J39)-$K39,"#,##0"),""))</f>
        <v/>
      </c>
      <c r="AZ39" s="31">
        <f>IF(AND($AL39=1,$U39&lt;&gt;""),IF(AND(N($U39)&gt;=TODAY(),N($U39)&lt;=TODAY()+Board!$B$41),1,0),0)</f>
        <v/>
      </c>
    </row>
    <row r="40">
      <c r="A40" s="29" t="n"/>
      <c r="B40" s="29" t="n"/>
      <c r="C40" s="29" t="n"/>
      <c r="D40" s="29" t="n"/>
      <c r="E40" s="29" t="n"/>
      <c r="F40" s="29" t="n"/>
      <c r="G40" s="29" t="n"/>
      <c r="H40" s="30" t="n"/>
      <c r="I40" s="30" t="n"/>
      <c r="J40" s="19" t="n"/>
      <c r="K40" s="19" t="n"/>
      <c r="L40" s="26" t="n"/>
      <c r="M40" s="31">
        <f>IF($A40="","",IF($D40="","Not read",IF($Q40=0,"Not counted",IF(MAX($X40,$Y40)=3,"■ Red",IF(MAX($X40,$Y40)=2,"◧ Amber",IF(MAX($X40,$Y40)=1,"□ On track","Not read"))))))</f>
        <v/>
      </c>
      <c r="N40" s="31">
        <f>IF(OR($A40="",$B40&lt;&gt;"Program"),"","■ "&amp;COUNTIFS($C$6:$C$305,$A40,$M$6:$M$305,"■ Red")&amp;" Red, ◧ "&amp;COUNTIFS($C$6:$C$305,$A40,$M$6:$M$305,"◧ Amber")&amp;" Amber")</f>
        <v/>
      </c>
      <c r="O40" s="32">
        <f>IF(OR($A40="",$E40=""),"",COUNTIFS($E$6:$E$305,$E40,$D$6:$D$305,"Active")+COUNTIFS($E$6:$E$305,$E40,$D$6:$D$305,"Paused"))</f>
        <v/>
      </c>
      <c r="P40" s="31">
        <f>IF($A40="","",IF($AE40=0,"○ Clear",IF($AA40=1,"△ No owner",IF($AC40=1,"△ Check Sits under",IF($AC40=2,"△ Outside the portfolio",IF($AB40=1,"△ No sponsor","△ No variance note"))))&amp;IF($AE40&gt;1," (+"&amp;($AE40-1)&amp;" more)","")))</f>
        <v/>
      </c>
      <c r="Q40" s="31">
        <f>IF(AND($A40&lt;&gt;"",OR($D40="Active",$D40="Paused")),1,0)</f>
        <v/>
      </c>
      <c r="R40" s="31">
        <f>IFERROR(INDEX($A$6:$A$305,MATCH(33,$S$6:$S$305,0)),"")</f>
        <v/>
      </c>
      <c r="S40" s="31">
        <f>IF(AND($A40&lt;&gt;"",$B40="Program"),COUNTIFS($B$6:$B40,"Program",$A$6:$A40,"&lt;&gt;"),"")</f>
        <v/>
      </c>
      <c r="T40" s="33">
        <f>IF(AND($A40&lt;&gt;"",$B40="Program"),SUMPRODUCT(MAX(($C$6:$C$305=$A40)*($B$6:$B$305="Project")*($D$6:$D$305&lt;&gt;"Proposed")*$I$6:$I$305)),0)</f>
        <v/>
      </c>
      <c r="U40" s="33">
        <f>IF($I40&lt;&gt;"",$I40,IF($T40&gt;0,$T40,""))</f>
        <v/>
      </c>
      <c r="V40" s="31">
        <f>IF(AND($A40&lt;&gt;"",$B40="Program"),SUMIFS($J$6:$J$305,$C$6:$C$305,$A40,$B$6:$B$305,"Project",$D$6:$D$305,"&lt;&gt;Proposed"),0)</f>
        <v/>
      </c>
      <c r="W40" s="31">
        <f>IF(AND($A40&lt;&gt;"",$B40="Program"),COUNTIFS($C$6:$C$305,$A40,$B$6:$B$305,"Project",$D$6:$D$305,"&lt;&gt;Proposed")-COUNTIFS($C$6:$C$305,$A40,$B$6:$B$305,"Project",$D$6:$D$305,"&lt;&gt;Proposed",$J$6:$J$305,"&gt;=0"),0)</f>
        <v/>
      </c>
      <c r="X40" s="31">
        <f>IF(OR($Q40=0,$H40=""),0,IF(AND($B40="Project",$H40&lt;TODAY()),3,IF($U40="",0,IF($U40&lt;=$H40,1,IF(NETWORKDAYS($H40,$U40)-1&gt;IF($B40="Program",Portfolio!$B$16,Portfolio!$B$15),3,2)))))</f>
        <v/>
      </c>
      <c r="Y40" s="31">
        <f>IF(OR($Q40=0,$K40="",$K40=0),0,IF(AND($B40="Project",$J40=""),0,IF(IF($B40="Program",$V40,$J40)&gt;$K40*(1+Portfolio!$B$17),3,IF(IF($B40="Program",$V40,$J40)&gt;$K40,2,IF(AND($B40="Program",OR($W40&gt;0,$V40=0)),0,1)))))</f>
        <v/>
      </c>
      <c r="Z40" s="31">
        <f>IF($A40="",0,IF($C40="Portfolio",1,IF(AND($B40="Project",$C40&lt;&gt;"",$C40&lt;&gt;"Outside the portfolio"),IFERROR(IF(AND(INDEX($B$6:$B$305,MATCH($C40,$A$6:$A$305,0))="Program",INDEX($C$6:$C$305,MATCH($C40,$A$6:$A$305,0))="Portfolio"),1,0),0),0)))</f>
        <v/>
      </c>
      <c r="AA40" s="31">
        <f>IF(AND($A40&lt;&gt;"",$E40="",OR($Q40=1,$D40="Proposed")),1,0)</f>
        <v/>
      </c>
      <c r="AB40" s="31">
        <f>IF(AND($A40&lt;&gt;"",$B40="Program",$F40="",$Q40=1),1,0)</f>
        <v/>
      </c>
      <c r="AC40" s="31">
        <f>IF(OR($A40="",$D40="Completed",$D40="Terminated"),0,IF($C40="",1,IF($C40="Portfolio",0,IF($C40="Outside the portfolio",IF($Q40=1,2,0),IF($B40="Project",IF(IFERROR(INDEX($B$6:$B$305,MATCH($C40,$A$6:$A$305,0)),"")="Program",0,1),1)))))</f>
        <v/>
      </c>
      <c r="AD40" s="31">
        <f>IF(AND($A40&lt;&gt;"",OR($M40="■ Red",$M40="◧ Amber"),$L40=""),1,0)</f>
        <v/>
      </c>
      <c r="AE40" s="31">
        <f>$AA40+$AB40+IF($AC40&gt;0,1,0)+$AD40</f>
        <v/>
      </c>
      <c r="AJ40" s="14" t="n"/>
      <c r="AK40" s="29" t="n"/>
      <c r="AL40" s="31">
        <f>IF(AND($Q40=1,$Z40=1),1,0)</f>
        <v/>
      </c>
      <c r="AM40" s="31">
        <f>IF(AND($AL40=1,$AJ40&lt;&gt;""),MAX(0,TODAY()-$AJ40),"")</f>
        <v/>
      </c>
      <c r="AN40" s="31">
        <f>IF(OR($AL40=0,COUNT($AJ$6:$AJ$305)=0),0,IF($AJ40="",1,IF(TODAY()-$AJ40&gt;Board!$B$40,1,0)))</f>
        <v/>
      </c>
      <c r="AO40" s="31">
        <f>IF($AL40=0,0,IF($M40="■ Red",3,IF($M40="◧ Amber",2,IF($M40="□ On track",1,0))))</f>
        <v/>
      </c>
      <c r="AP40" s="31">
        <f>IF($AL40=0,0,IF($AK40="Will not hold",3,IF($AK40="At risk",2,IF($AK40="Will hold",1,0))))</f>
        <v/>
      </c>
      <c r="AQ40" s="31">
        <f>IF($AL40=0,"",IF($AO40=3,0,IF($AO40=2,1,IF(AND($AP40&gt;=2,$AP40&gt;$AO40),2,""))))</f>
        <v/>
      </c>
      <c r="AR40" s="31">
        <f>IF($AQ40="","",$AQ40*1000+40)</f>
        <v/>
      </c>
      <c r="AS40" s="31">
        <f>IF(AND($AL40=1,$AO40&gt;=2,$AP40&gt;=1,$AP40&lt;$AO40),1,0)</f>
        <v/>
      </c>
      <c r="AT40" s="31">
        <f>IF(AND($AL40=1,$AO40&gt;=2,$AP40=0),1,0)</f>
        <v/>
      </c>
      <c r="AU40" s="31">
        <f>IF(AND($AL40=1,$U40&lt;&gt;"",$U40&lt;TODAY()),1,0)</f>
        <v/>
      </c>
      <c r="AV40" s="31">
        <f>IF(OR($A40="",$AJ40="",Portfolio!$B$10=""),0,IF($AJ40&lt;=Portfolio!$B$10,0,IF(AND($D40="Completed",$Z40=1),1,IF(AND($D40="Terminated",$Z40=1),2,IF(AND($Q40=1,$Z40=0),3,0)))))</f>
        <v/>
      </c>
      <c r="AW40" s="31">
        <f>IF($AV40&gt;0,COUNTIF($AV$6:$AV40,"&gt;0"),"")</f>
        <v/>
      </c>
      <c r="AX40" s="31">
        <f>IF($AL40=0,"",IF(AND($B40="Project",$H40&lt;&gt;"",$H40&lt;TODAY()),"Planned finish "&amp;TEXT($H40,"d mmm")&amp;" has passed",IF($X40&gt;=2,(NETWORKDAYS($H40,$U40)-1)&amp;" working days past plan","")))</f>
        <v/>
      </c>
      <c r="AY40" s="31">
        <f>IF($AL40=0,"",IF($Y40&gt;=2,"Over budget by "&amp;TEXT(IF($B40="Program",$V40,$J40)-$K40,"#,##0"),""))</f>
        <v/>
      </c>
      <c r="AZ40" s="31">
        <f>IF(AND($AL40=1,$U40&lt;&gt;""),IF(AND(N($U40)&gt;=TODAY(),N($U40)&lt;=TODAY()+Board!$B$41),1,0),0)</f>
        <v/>
      </c>
    </row>
    <row r="41">
      <c r="A41" s="29" t="n"/>
      <c r="B41" s="29" t="n"/>
      <c r="C41" s="29" t="n"/>
      <c r="D41" s="29" t="n"/>
      <c r="E41" s="29" t="n"/>
      <c r="F41" s="29" t="n"/>
      <c r="G41" s="29" t="n"/>
      <c r="H41" s="30" t="n"/>
      <c r="I41" s="30" t="n"/>
      <c r="J41" s="19" t="n"/>
      <c r="K41" s="19" t="n"/>
      <c r="L41" s="26" t="n"/>
      <c r="M41" s="31">
        <f>IF($A41="","",IF($D41="","Not read",IF($Q41=0,"Not counted",IF(MAX($X41,$Y41)=3,"■ Red",IF(MAX($X41,$Y41)=2,"◧ Amber",IF(MAX($X41,$Y41)=1,"□ On track","Not read"))))))</f>
        <v/>
      </c>
      <c r="N41" s="31">
        <f>IF(OR($A41="",$B41&lt;&gt;"Program"),"","■ "&amp;COUNTIFS($C$6:$C$305,$A41,$M$6:$M$305,"■ Red")&amp;" Red, ◧ "&amp;COUNTIFS($C$6:$C$305,$A41,$M$6:$M$305,"◧ Amber")&amp;" Amber")</f>
        <v/>
      </c>
      <c r="O41" s="32">
        <f>IF(OR($A41="",$E41=""),"",COUNTIFS($E$6:$E$305,$E41,$D$6:$D$305,"Active")+COUNTIFS($E$6:$E$305,$E41,$D$6:$D$305,"Paused"))</f>
        <v/>
      </c>
      <c r="P41" s="31">
        <f>IF($A41="","",IF($AE41=0,"○ Clear",IF($AA41=1,"△ No owner",IF($AC41=1,"△ Check Sits under",IF($AC41=2,"△ Outside the portfolio",IF($AB41=1,"△ No sponsor","△ No variance note"))))&amp;IF($AE41&gt;1," (+"&amp;($AE41-1)&amp;" more)","")))</f>
        <v/>
      </c>
      <c r="Q41" s="31">
        <f>IF(AND($A41&lt;&gt;"",OR($D41="Active",$D41="Paused")),1,0)</f>
        <v/>
      </c>
      <c r="R41" s="31">
        <f>IFERROR(INDEX($A$6:$A$305,MATCH(34,$S$6:$S$305,0)),"")</f>
        <v/>
      </c>
      <c r="S41" s="31">
        <f>IF(AND($A41&lt;&gt;"",$B41="Program"),COUNTIFS($B$6:$B41,"Program",$A$6:$A41,"&lt;&gt;"),"")</f>
        <v/>
      </c>
      <c r="T41" s="33">
        <f>IF(AND($A41&lt;&gt;"",$B41="Program"),SUMPRODUCT(MAX(($C$6:$C$305=$A41)*($B$6:$B$305="Project")*($D$6:$D$305&lt;&gt;"Proposed")*$I$6:$I$305)),0)</f>
        <v/>
      </c>
      <c r="U41" s="33">
        <f>IF($I41&lt;&gt;"",$I41,IF($T41&gt;0,$T41,""))</f>
        <v/>
      </c>
      <c r="V41" s="31">
        <f>IF(AND($A41&lt;&gt;"",$B41="Program"),SUMIFS($J$6:$J$305,$C$6:$C$305,$A41,$B$6:$B$305,"Project",$D$6:$D$305,"&lt;&gt;Proposed"),0)</f>
        <v/>
      </c>
      <c r="W41" s="31">
        <f>IF(AND($A41&lt;&gt;"",$B41="Program"),COUNTIFS($C$6:$C$305,$A41,$B$6:$B$305,"Project",$D$6:$D$305,"&lt;&gt;Proposed")-COUNTIFS($C$6:$C$305,$A41,$B$6:$B$305,"Project",$D$6:$D$305,"&lt;&gt;Proposed",$J$6:$J$305,"&gt;=0"),0)</f>
        <v/>
      </c>
      <c r="X41" s="31">
        <f>IF(OR($Q41=0,$H41=""),0,IF(AND($B41="Project",$H41&lt;TODAY()),3,IF($U41="",0,IF($U41&lt;=$H41,1,IF(NETWORKDAYS($H41,$U41)-1&gt;IF($B41="Program",Portfolio!$B$16,Portfolio!$B$15),3,2)))))</f>
        <v/>
      </c>
      <c r="Y41" s="31">
        <f>IF(OR($Q41=0,$K41="",$K41=0),0,IF(AND($B41="Project",$J41=""),0,IF(IF($B41="Program",$V41,$J41)&gt;$K41*(1+Portfolio!$B$17),3,IF(IF($B41="Program",$V41,$J41)&gt;$K41,2,IF(AND($B41="Program",OR($W41&gt;0,$V41=0)),0,1)))))</f>
        <v/>
      </c>
      <c r="Z41" s="31">
        <f>IF($A41="",0,IF($C41="Portfolio",1,IF(AND($B41="Project",$C41&lt;&gt;"",$C41&lt;&gt;"Outside the portfolio"),IFERROR(IF(AND(INDEX($B$6:$B$305,MATCH($C41,$A$6:$A$305,0))="Program",INDEX($C$6:$C$305,MATCH($C41,$A$6:$A$305,0))="Portfolio"),1,0),0),0)))</f>
        <v/>
      </c>
      <c r="AA41" s="31">
        <f>IF(AND($A41&lt;&gt;"",$E41="",OR($Q41=1,$D41="Proposed")),1,0)</f>
        <v/>
      </c>
      <c r="AB41" s="31">
        <f>IF(AND($A41&lt;&gt;"",$B41="Program",$F41="",$Q41=1),1,0)</f>
        <v/>
      </c>
      <c r="AC41" s="31">
        <f>IF(OR($A41="",$D41="Completed",$D41="Terminated"),0,IF($C41="",1,IF($C41="Portfolio",0,IF($C41="Outside the portfolio",IF($Q41=1,2,0),IF($B41="Project",IF(IFERROR(INDEX($B$6:$B$305,MATCH($C41,$A$6:$A$305,0)),"")="Program",0,1),1)))))</f>
        <v/>
      </c>
      <c r="AD41" s="31">
        <f>IF(AND($A41&lt;&gt;"",OR($M41="■ Red",$M41="◧ Amber"),$L41=""),1,0)</f>
        <v/>
      </c>
      <c r="AE41" s="31">
        <f>$AA41+$AB41+IF($AC41&gt;0,1,0)+$AD41</f>
        <v/>
      </c>
      <c r="AJ41" s="14" t="n"/>
      <c r="AK41" s="29" t="n"/>
      <c r="AL41" s="31">
        <f>IF(AND($Q41=1,$Z41=1),1,0)</f>
        <v/>
      </c>
      <c r="AM41" s="31">
        <f>IF(AND($AL41=1,$AJ41&lt;&gt;""),MAX(0,TODAY()-$AJ41),"")</f>
        <v/>
      </c>
      <c r="AN41" s="31">
        <f>IF(OR($AL41=0,COUNT($AJ$6:$AJ$305)=0),0,IF($AJ41="",1,IF(TODAY()-$AJ41&gt;Board!$B$40,1,0)))</f>
        <v/>
      </c>
      <c r="AO41" s="31">
        <f>IF($AL41=0,0,IF($M41="■ Red",3,IF($M41="◧ Amber",2,IF($M41="□ On track",1,0))))</f>
        <v/>
      </c>
      <c r="AP41" s="31">
        <f>IF($AL41=0,0,IF($AK41="Will not hold",3,IF($AK41="At risk",2,IF($AK41="Will hold",1,0))))</f>
        <v/>
      </c>
      <c r="AQ41" s="31">
        <f>IF($AL41=0,"",IF($AO41=3,0,IF($AO41=2,1,IF(AND($AP41&gt;=2,$AP41&gt;$AO41),2,""))))</f>
        <v/>
      </c>
      <c r="AR41" s="31">
        <f>IF($AQ41="","",$AQ41*1000+41)</f>
        <v/>
      </c>
      <c r="AS41" s="31">
        <f>IF(AND($AL41=1,$AO41&gt;=2,$AP41&gt;=1,$AP41&lt;$AO41),1,0)</f>
        <v/>
      </c>
      <c r="AT41" s="31">
        <f>IF(AND($AL41=1,$AO41&gt;=2,$AP41=0),1,0)</f>
        <v/>
      </c>
      <c r="AU41" s="31">
        <f>IF(AND($AL41=1,$U41&lt;&gt;"",$U41&lt;TODAY()),1,0)</f>
        <v/>
      </c>
      <c r="AV41" s="31">
        <f>IF(OR($A41="",$AJ41="",Portfolio!$B$10=""),0,IF($AJ41&lt;=Portfolio!$B$10,0,IF(AND($D41="Completed",$Z41=1),1,IF(AND($D41="Terminated",$Z41=1),2,IF(AND($Q41=1,$Z41=0),3,0)))))</f>
        <v/>
      </c>
      <c r="AW41" s="31">
        <f>IF($AV41&gt;0,COUNTIF($AV$6:$AV41,"&gt;0"),"")</f>
        <v/>
      </c>
      <c r="AX41" s="31">
        <f>IF($AL41=0,"",IF(AND($B41="Project",$H41&lt;&gt;"",$H41&lt;TODAY()),"Planned finish "&amp;TEXT($H41,"d mmm")&amp;" has passed",IF($X41&gt;=2,(NETWORKDAYS($H41,$U41)-1)&amp;" working days past plan","")))</f>
        <v/>
      </c>
      <c r="AY41" s="31">
        <f>IF($AL41=0,"",IF($Y41&gt;=2,"Over budget by "&amp;TEXT(IF($B41="Program",$V41,$J41)-$K41,"#,##0"),""))</f>
        <v/>
      </c>
      <c r="AZ41" s="31">
        <f>IF(AND($AL41=1,$U41&lt;&gt;""),IF(AND(N($U41)&gt;=TODAY(),N($U41)&lt;=TODAY()+Board!$B$41),1,0),0)</f>
        <v/>
      </c>
    </row>
    <row r="42">
      <c r="A42" s="29" t="n"/>
      <c r="B42" s="29" t="n"/>
      <c r="C42" s="29" t="n"/>
      <c r="D42" s="29" t="n"/>
      <c r="E42" s="29" t="n"/>
      <c r="F42" s="29" t="n"/>
      <c r="G42" s="29" t="n"/>
      <c r="H42" s="30" t="n"/>
      <c r="I42" s="30" t="n"/>
      <c r="J42" s="19" t="n"/>
      <c r="K42" s="19" t="n"/>
      <c r="L42" s="26" t="n"/>
      <c r="M42" s="31">
        <f>IF($A42="","",IF($D42="","Not read",IF($Q42=0,"Not counted",IF(MAX($X42,$Y42)=3,"■ Red",IF(MAX($X42,$Y42)=2,"◧ Amber",IF(MAX($X42,$Y42)=1,"□ On track","Not read"))))))</f>
        <v/>
      </c>
      <c r="N42" s="31">
        <f>IF(OR($A42="",$B42&lt;&gt;"Program"),"","■ "&amp;COUNTIFS($C$6:$C$305,$A42,$M$6:$M$305,"■ Red")&amp;" Red, ◧ "&amp;COUNTIFS($C$6:$C$305,$A42,$M$6:$M$305,"◧ Amber")&amp;" Amber")</f>
        <v/>
      </c>
      <c r="O42" s="32">
        <f>IF(OR($A42="",$E42=""),"",COUNTIFS($E$6:$E$305,$E42,$D$6:$D$305,"Active")+COUNTIFS($E$6:$E$305,$E42,$D$6:$D$305,"Paused"))</f>
        <v/>
      </c>
      <c r="P42" s="31">
        <f>IF($A42="","",IF($AE42=0,"○ Clear",IF($AA42=1,"△ No owner",IF($AC42=1,"△ Check Sits under",IF($AC42=2,"△ Outside the portfolio",IF($AB42=1,"△ No sponsor","△ No variance note"))))&amp;IF($AE42&gt;1," (+"&amp;($AE42-1)&amp;" more)","")))</f>
        <v/>
      </c>
      <c r="Q42" s="31">
        <f>IF(AND($A42&lt;&gt;"",OR($D42="Active",$D42="Paused")),1,0)</f>
        <v/>
      </c>
      <c r="R42" s="31">
        <f>IFERROR(INDEX($A$6:$A$305,MATCH(35,$S$6:$S$305,0)),"")</f>
        <v/>
      </c>
      <c r="S42" s="31">
        <f>IF(AND($A42&lt;&gt;"",$B42="Program"),COUNTIFS($B$6:$B42,"Program",$A$6:$A42,"&lt;&gt;"),"")</f>
        <v/>
      </c>
      <c r="T42" s="33">
        <f>IF(AND($A42&lt;&gt;"",$B42="Program"),SUMPRODUCT(MAX(($C$6:$C$305=$A42)*($B$6:$B$305="Project")*($D$6:$D$305&lt;&gt;"Proposed")*$I$6:$I$305)),0)</f>
        <v/>
      </c>
      <c r="U42" s="33">
        <f>IF($I42&lt;&gt;"",$I42,IF($T42&gt;0,$T42,""))</f>
        <v/>
      </c>
      <c r="V42" s="31">
        <f>IF(AND($A42&lt;&gt;"",$B42="Program"),SUMIFS($J$6:$J$305,$C$6:$C$305,$A42,$B$6:$B$305,"Project",$D$6:$D$305,"&lt;&gt;Proposed"),0)</f>
        <v/>
      </c>
      <c r="W42" s="31">
        <f>IF(AND($A42&lt;&gt;"",$B42="Program"),COUNTIFS($C$6:$C$305,$A42,$B$6:$B$305,"Project",$D$6:$D$305,"&lt;&gt;Proposed")-COUNTIFS($C$6:$C$305,$A42,$B$6:$B$305,"Project",$D$6:$D$305,"&lt;&gt;Proposed",$J$6:$J$305,"&gt;=0"),0)</f>
        <v/>
      </c>
      <c r="X42" s="31">
        <f>IF(OR($Q42=0,$H42=""),0,IF(AND($B42="Project",$H42&lt;TODAY()),3,IF($U42="",0,IF($U42&lt;=$H42,1,IF(NETWORKDAYS($H42,$U42)-1&gt;IF($B42="Program",Portfolio!$B$16,Portfolio!$B$15),3,2)))))</f>
        <v/>
      </c>
      <c r="Y42" s="31">
        <f>IF(OR($Q42=0,$K42="",$K42=0),0,IF(AND($B42="Project",$J42=""),0,IF(IF($B42="Program",$V42,$J42)&gt;$K42*(1+Portfolio!$B$17),3,IF(IF($B42="Program",$V42,$J42)&gt;$K42,2,IF(AND($B42="Program",OR($W42&gt;0,$V42=0)),0,1)))))</f>
        <v/>
      </c>
      <c r="Z42" s="31">
        <f>IF($A42="",0,IF($C42="Portfolio",1,IF(AND($B42="Project",$C42&lt;&gt;"",$C42&lt;&gt;"Outside the portfolio"),IFERROR(IF(AND(INDEX($B$6:$B$305,MATCH($C42,$A$6:$A$305,0))="Program",INDEX($C$6:$C$305,MATCH($C42,$A$6:$A$305,0))="Portfolio"),1,0),0),0)))</f>
        <v/>
      </c>
      <c r="AA42" s="31">
        <f>IF(AND($A42&lt;&gt;"",$E42="",OR($Q42=1,$D42="Proposed")),1,0)</f>
        <v/>
      </c>
      <c r="AB42" s="31">
        <f>IF(AND($A42&lt;&gt;"",$B42="Program",$F42="",$Q42=1),1,0)</f>
        <v/>
      </c>
      <c r="AC42" s="31">
        <f>IF(OR($A42="",$D42="Completed",$D42="Terminated"),0,IF($C42="",1,IF($C42="Portfolio",0,IF($C42="Outside the portfolio",IF($Q42=1,2,0),IF($B42="Project",IF(IFERROR(INDEX($B$6:$B$305,MATCH($C42,$A$6:$A$305,0)),"")="Program",0,1),1)))))</f>
        <v/>
      </c>
      <c r="AD42" s="31">
        <f>IF(AND($A42&lt;&gt;"",OR($M42="■ Red",$M42="◧ Amber"),$L42=""),1,0)</f>
        <v/>
      </c>
      <c r="AE42" s="31">
        <f>$AA42+$AB42+IF($AC42&gt;0,1,0)+$AD42</f>
        <v/>
      </c>
      <c r="AJ42" s="14" t="n"/>
      <c r="AK42" s="29" t="n"/>
      <c r="AL42" s="31">
        <f>IF(AND($Q42=1,$Z42=1),1,0)</f>
        <v/>
      </c>
      <c r="AM42" s="31">
        <f>IF(AND($AL42=1,$AJ42&lt;&gt;""),MAX(0,TODAY()-$AJ42),"")</f>
        <v/>
      </c>
      <c r="AN42" s="31">
        <f>IF(OR($AL42=0,COUNT($AJ$6:$AJ$305)=0),0,IF($AJ42="",1,IF(TODAY()-$AJ42&gt;Board!$B$40,1,0)))</f>
        <v/>
      </c>
      <c r="AO42" s="31">
        <f>IF($AL42=0,0,IF($M42="■ Red",3,IF($M42="◧ Amber",2,IF($M42="□ On track",1,0))))</f>
        <v/>
      </c>
      <c r="AP42" s="31">
        <f>IF($AL42=0,0,IF($AK42="Will not hold",3,IF($AK42="At risk",2,IF($AK42="Will hold",1,0))))</f>
        <v/>
      </c>
      <c r="AQ42" s="31">
        <f>IF($AL42=0,"",IF($AO42=3,0,IF($AO42=2,1,IF(AND($AP42&gt;=2,$AP42&gt;$AO42),2,""))))</f>
        <v/>
      </c>
      <c r="AR42" s="31">
        <f>IF($AQ42="","",$AQ42*1000+42)</f>
        <v/>
      </c>
      <c r="AS42" s="31">
        <f>IF(AND($AL42=1,$AO42&gt;=2,$AP42&gt;=1,$AP42&lt;$AO42),1,0)</f>
        <v/>
      </c>
      <c r="AT42" s="31">
        <f>IF(AND($AL42=1,$AO42&gt;=2,$AP42=0),1,0)</f>
        <v/>
      </c>
      <c r="AU42" s="31">
        <f>IF(AND($AL42=1,$U42&lt;&gt;"",$U42&lt;TODAY()),1,0)</f>
        <v/>
      </c>
      <c r="AV42" s="31">
        <f>IF(OR($A42="",$AJ42="",Portfolio!$B$10=""),0,IF($AJ42&lt;=Portfolio!$B$10,0,IF(AND($D42="Completed",$Z42=1),1,IF(AND($D42="Terminated",$Z42=1),2,IF(AND($Q42=1,$Z42=0),3,0)))))</f>
        <v/>
      </c>
      <c r="AW42" s="31">
        <f>IF($AV42&gt;0,COUNTIF($AV$6:$AV42,"&gt;0"),"")</f>
        <v/>
      </c>
      <c r="AX42" s="31">
        <f>IF($AL42=0,"",IF(AND($B42="Project",$H42&lt;&gt;"",$H42&lt;TODAY()),"Planned finish "&amp;TEXT($H42,"d mmm")&amp;" has passed",IF($X42&gt;=2,(NETWORKDAYS($H42,$U42)-1)&amp;" working days past plan","")))</f>
        <v/>
      </c>
      <c r="AY42" s="31">
        <f>IF($AL42=0,"",IF($Y42&gt;=2,"Over budget by "&amp;TEXT(IF($B42="Program",$V42,$J42)-$K42,"#,##0"),""))</f>
        <v/>
      </c>
      <c r="AZ42" s="31">
        <f>IF(AND($AL42=1,$U42&lt;&gt;""),IF(AND(N($U42)&gt;=TODAY(),N($U42)&lt;=TODAY()+Board!$B$41),1,0),0)</f>
        <v/>
      </c>
    </row>
    <row r="43">
      <c r="A43" s="29" t="n"/>
      <c r="B43" s="29" t="n"/>
      <c r="C43" s="29" t="n"/>
      <c r="D43" s="29" t="n"/>
      <c r="E43" s="29" t="n"/>
      <c r="F43" s="29" t="n"/>
      <c r="G43" s="29" t="n"/>
      <c r="H43" s="30" t="n"/>
      <c r="I43" s="30" t="n"/>
      <c r="J43" s="19" t="n"/>
      <c r="K43" s="19" t="n"/>
      <c r="L43" s="26" t="n"/>
      <c r="M43" s="31">
        <f>IF($A43="","",IF($D43="","Not read",IF($Q43=0,"Not counted",IF(MAX($X43,$Y43)=3,"■ Red",IF(MAX($X43,$Y43)=2,"◧ Amber",IF(MAX($X43,$Y43)=1,"□ On track","Not read"))))))</f>
        <v/>
      </c>
      <c r="N43" s="31">
        <f>IF(OR($A43="",$B43&lt;&gt;"Program"),"","■ "&amp;COUNTIFS($C$6:$C$305,$A43,$M$6:$M$305,"■ Red")&amp;" Red, ◧ "&amp;COUNTIFS($C$6:$C$305,$A43,$M$6:$M$305,"◧ Amber")&amp;" Amber")</f>
        <v/>
      </c>
      <c r="O43" s="32">
        <f>IF(OR($A43="",$E43=""),"",COUNTIFS($E$6:$E$305,$E43,$D$6:$D$305,"Active")+COUNTIFS($E$6:$E$305,$E43,$D$6:$D$305,"Paused"))</f>
        <v/>
      </c>
      <c r="P43" s="31">
        <f>IF($A43="","",IF($AE43=0,"○ Clear",IF($AA43=1,"△ No owner",IF($AC43=1,"△ Check Sits under",IF($AC43=2,"△ Outside the portfolio",IF($AB43=1,"△ No sponsor","△ No variance note"))))&amp;IF($AE43&gt;1," (+"&amp;($AE43-1)&amp;" more)","")))</f>
        <v/>
      </c>
      <c r="Q43" s="31">
        <f>IF(AND($A43&lt;&gt;"",OR($D43="Active",$D43="Paused")),1,0)</f>
        <v/>
      </c>
      <c r="R43" s="31">
        <f>IFERROR(INDEX($A$6:$A$305,MATCH(36,$S$6:$S$305,0)),"")</f>
        <v/>
      </c>
      <c r="S43" s="31">
        <f>IF(AND($A43&lt;&gt;"",$B43="Program"),COUNTIFS($B$6:$B43,"Program",$A$6:$A43,"&lt;&gt;"),"")</f>
        <v/>
      </c>
      <c r="T43" s="33">
        <f>IF(AND($A43&lt;&gt;"",$B43="Program"),SUMPRODUCT(MAX(($C$6:$C$305=$A43)*($B$6:$B$305="Project")*($D$6:$D$305&lt;&gt;"Proposed")*$I$6:$I$305)),0)</f>
        <v/>
      </c>
      <c r="U43" s="33">
        <f>IF($I43&lt;&gt;"",$I43,IF($T43&gt;0,$T43,""))</f>
        <v/>
      </c>
      <c r="V43" s="31">
        <f>IF(AND($A43&lt;&gt;"",$B43="Program"),SUMIFS($J$6:$J$305,$C$6:$C$305,$A43,$B$6:$B$305,"Project",$D$6:$D$305,"&lt;&gt;Proposed"),0)</f>
        <v/>
      </c>
      <c r="W43" s="31">
        <f>IF(AND($A43&lt;&gt;"",$B43="Program"),COUNTIFS($C$6:$C$305,$A43,$B$6:$B$305,"Project",$D$6:$D$305,"&lt;&gt;Proposed")-COUNTIFS($C$6:$C$305,$A43,$B$6:$B$305,"Project",$D$6:$D$305,"&lt;&gt;Proposed",$J$6:$J$305,"&gt;=0"),0)</f>
        <v/>
      </c>
      <c r="X43" s="31">
        <f>IF(OR($Q43=0,$H43=""),0,IF(AND($B43="Project",$H43&lt;TODAY()),3,IF($U43="",0,IF($U43&lt;=$H43,1,IF(NETWORKDAYS($H43,$U43)-1&gt;IF($B43="Program",Portfolio!$B$16,Portfolio!$B$15),3,2)))))</f>
        <v/>
      </c>
      <c r="Y43" s="31">
        <f>IF(OR($Q43=0,$K43="",$K43=0),0,IF(AND($B43="Project",$J43=""),0,IF(IF($B43="Program",$V43,$J43)&gt;$K43*(1+Portfolio!$B$17),3,IF(IF($B43="Program",$V43,$J43)&gt;$K43,2,IF(AND($B43="Program",OR($W43&gt;0,$V43=0)),0,1)))))</f>
        <v/>
      </c>
      <c r="Z43" s="31">
        <f>IF($A43="",0,IF($C43="Portfolio",1,IF(AND($B43="Project",$C43&lt;&gt;"",$C43&lt;&gt;"Outside the portfolio"),IFERROR(IF(AND(INDEX($B$6:$B$305,MATCH($C43,$A$6:$A$305,0))="Program",INDEX($C$6:$C$305,MATCH($C43,$A$6:$A$305,0))="Portfolio"),1,0),0),0)))</f>
        <v/>
      </c>
      <c r="AA43" s="31">
        <f>IF(AND($A43&lt;&gt;"",$E43="",OR($Q43=1,$D43="Proposed")),1,0)</f>
        <v/>
      </c>
      <c r="AB43" s="31">
        <f>IF(AND($A43&lt;&gt;"",$B43="Program",$F43="",$Q43=1),1,0)</f>
        <v/>
      </c>
      <c r="AC43" s="31">
        <f>IF(OR($A43="",$D43="Completed",$D43="Terminated"),0,IF($C43="",1,IF($C43="Portfolio",0,IF($C43="Outside the portfolio",IF($Q43=1,2,0),IF($B43="Project",IF(IFERROR(INDEX($B$6:$B$305,MATCH($C43,$A$6:$A$305,0)),"")="Program",0,1),1)))))</f>
        <v/>
      </c>
      <c r="AD43" s="31">
        <f>IF(AND($A43&lt;&gt;"",OR($M43="■ Red",$M43="◧ Amber"),$L43=""),1,0)</f>
        <v/>
      </c>
      <c r="AE43" s="31">
        <f>$AA43+$AB43+IF($AC43&gt;0,1,0)+$AD43</f>
        <v/>
      </c>
      <c r="AJ43" s="14" t="n"/>
      <c r="AK43" s="29" t="n"/>
      <c r="AL43" s="31">
        <f>IF(AND($Q43=1,$Z43=1),1,0)</f>
        <v/>
      </c>
      <c r="AM43" s="31">
        <f>IF(AND($AL43=1,$AJ43&lt;&gt;""),MAX(0,TODAY()-$AJ43),"")</f>
        <v/>
      </c>
      <c r="AN43" s="31">
        <f>IF(OR($AL43=0,COUNT($AJ$6:$AJ$305)=0),0,IF($AJ43="",1,IF(TODAY()-$AJ43&gt;Board!$B$40,1,0)))</f>
        <v/>
      </c>
      <c r="AO43" s="31">
        <f>IF($AL43=0,0,IF($M43="■ Red",3,IF($M43="◧ Amber",2,IF($M43="□ On track",1,0))))</f>
        <v/>
      </c>
      <c r="AP43" s="31">
        <f>IF($AL43=0,0,IF($AK43="Will not hold",3,IF($AK43="At risk",2,IF($AK43="Will hold",1,0))))</f>
        <v/>
      </c>
      <c r="AQ43" s="31">
        <f>IF($AL43=0,"",IF($AO43=3,0,IF($AO43=2,1,IF(AND($AP43&gt;=2,$AP43&gt;$AO43),2,""))))</f>
        <v/>
      </c>
      <c r="AR43" s="31">
        <f>IF($AQ43="","",$AQ43*1000+43)</f>
        <v/>
      </c>
      <c r="AS43" s="31">
        <f>IF(AND($AL43=1,$AO43&gt;=2,$AP43&gt;=1,$AP43&lt;$AO43),1,0)</f>
        <v/>
      </c>
      <c r="AT43" s="31">
        <f>IF(AND($AL43=1,$AO43&gt;=2,$AP43=0),1,0)</f>
        <v/>
      </c>
      <c r="AU43" s="31">
        <f>IF(AND($AL43=1,$U43&lt;&gt;"",$U43&lt;TODAY()),1,0)</f>
        <v/>
      </c>
      <c r="AV43" s="31">
        <f>IF(OR($A43="",$AJ43="",Portfolio!$B$10=""),0,IF($AJ43&lt;=Portfolio!$B$10,0,IF(AND($D43="Completed",$Z43=1),1,IF(AND($D43="Terminated",$Z43=1),2,IF(AND($Q43=1,$Z43=0),3,0)))))</f>
        <v/>
      </c>
      <c r="AW43" s="31">
        <f>IF($AV43&gt;0,COUNTIF($AV$6:$AV43,"&gt;0"),"")</f>
        <v/>
      </c>
      <c r="AX43" s="31">
        <f>IF($AL43=0,"",IF(AND($B43="Project",$H43&lt;&gt;"",$H43&lt;TODAY()),"Planned finish "&amp;TEXT($H43,"d mmm")&amp;" has passed",IF($X43&gt;=2,(NETWORKDAYS($H43,$U43)-1)&amp;" working days past plan","")))</f>
        <v/>
      </c>
      <c r="AY43" s="31">
        <f>IF($AL43=0,"",IF($Y43&gt;=2,"Over budget by "&amp;TEXT(IF($B43="Program",$V43,$J43)-$K43,"#,##0"),""))</f>
        <v/>
      </c>
      <c r="AZ43" s="31">
        <f>IF(AND($AL43=1,$U43&lt;&gt;""),IF(AND(N($U43)&gt;=TODAY(),N($U43)&lt;=TODAY()+Board!$B$41),1,0),0)</f>
        <v/>
      </c>
    </row>
    <row r="44">
      <c r="A44" s="29" t="n"/>
      <c r="B44" s="29" t="n"/>
      <c r="C44" s="29" t="n"/>
      <c r="D44" s="29" t="n"/>
      <c r="E44" s="29" t="n"/>
      <c r="F44" s="29" t="n"/>
      <c r="G44" s="29" t="n"/>
      <c r="H44" s="30" t="n"/>
      <c r="I44" s="30" t="n"/>
      <c r="J44" s="19" t="n"/>
      <c r="K44" s="19" t="n"/>
      <c r="L44" s="26" t="n"/>
      <c r="M44" s="31">
        <f>IF($A44="","",IF($D44="","Not read",IF($Q44=0,"Not counted",IF(MAX($X44,$Y44)=3,"■ Red",IF(MAX($X44,$Y44)=2,"◧ Amber",IF(MAX($X44,$Y44)=1,"□ On track","Not read"))))))</f>
        <v/>
      </c>
      <c r="N44" s="31">
        <f>IF(OR($A44="",$B44&lt;&gt;"Program"),"","■ "&amp;COUNTIFS($C$6:$C$305,$A44,$M$6:$M$305,"■ Red")&amp;" Red, ◧ "&amp;COUNTIFS($C$6:$C$305,$A44,$M$6:$M$305,"◧ Amber")&amp;" Amber")</f>
        <v/>
      </c>
      <c r="O44" s="32">
        <f>IF(OR($A44="",$E44=""),"",COUNTIFS($E$6:$E$305,$E44,$D$6:$D$305,"Active")+COUNTIFS($E$6:$E$305,$E44,$D$6:$D$305,"Paused"))</f>
        <v/>
      </c>
      <c r="P44" s="31">
        <f>IF($A44="","",IF($AE44=0,"○ Clear",IF($AA44=1,"△ No owner",IF($AC44=1,"△ Check Sits under",IF($AC44=2,"△ Outside the portfolio",IF($AB44=1,"△ No sponsor","△ No variance note"))))&amp;IF($AE44&gt;1," (+"&amp;($AE44-1)&amp;" more)","")))</f>
        <v/>
      </c>
      <c r="Q44" s="31">
        <f>IF(AND($A44&lt;&gt;"",OR($D44="Active",$D44="Paused")),1,0)</f>
        <v/>
      </c>
      <c r="R44" s="31">
        <f>IFERROR(INDEX($A$6:$A$305,MATCH(37,$S$6:$S$305,0)),"")</f>
        <v/>
      </c>
      <c r="S44" s="31">
        <f>IF(AND($A44&lt;&gt;"",$B44="Program"),COUNTIFS($B$6:$B44,"Program",$A$6:$A44,"&lt;&gt;"),"")</f>
        <v/>
      </c>
      <c r="T44" s="33">
        <f>IF(AND($A44&lt;&gt;"",$B44="Program"),SUMPRODUCT(MAX(($C$6:$C$305=$A44)*($B$6:$B$305="Project")*($D$6:$D$305&lt;&gt;"Proposed")*$I$6:$I$305)),0)</f>
        <v/>
      </c>
      <c r="U44" s="33">
        <f>IF($I44&lt;&gt;"",$I44,IF($T44&gt;0,$T44,""))</f>
        <v/>
      </c>
      <c r="V44" s="31">
        <f>IF(AND($A44&lt;&gt;"",$B44="Program"),SUMIFS($J$6:$J$305,$C$6:$C$305,$A44,$B$6:$B$305,"Project",$D$6:$D$305,"&lt;&gt;Proposed"),0)</f>
        <v/>
      </c>
      <c r="W44" s="31">
        <f>IF(AND($A44&lt;&gt;"",$B44="Program"),COUNTIFS($C$6:$C$305,$A44,$B$6:$B$305,"Project",$D$6:$D$305,"&lt;&gt;Proposed")-COUNTIFS($C$6:$C$305,$A44,$B$6:$B$305,"Project",$D$6:$D$305,"&lt;&gt;Proposed",$J$6:$J$305,"&gt;=0"),0)</f>
        <v/>
      </c>
      <c r="X44" s="31">
        <f>IF(OR($Q44=0,$H44=""),0,IF(AND($B44="Project",$H44&lt;TODAY()),3,IF($U44="",0,IF($U44&lt;=$H44,1,IF(NETWORKDAYS($H44,$U44)-1&gt;IF($B44="Program",Portfolio!$B$16,Portfolio!$B$15),3,2)))))</f>
        <v/>
      </c>
      <c r="Y44" s="31">
        <f>IF(OR($Q44=0,$K44="",$K44=0),0,IF(AND($B44="Project",$J44=""),0,IF(IF($B44="Program",$V44,$J44)&gt;$K44*(1+Portfolio!$B$17),3,IF(IF($B44="Program",$V44,$J44)&gt;$K44,2,IF(AND($B44="Program",OR($W44&gt;0,$V44=0)),0,1)))))</f>
        <v/>
      </c>
      <c r="Z44" s="31">
        <f>IF($A44="",0,IF($C44="Portfolio",1,IF(AND($B44="Project",$C44&lt;&gt;"",$C44&lt;&gt;"Outside the portfolio"),IFERROR(IF(AND(INDEX($B$6:$B$305,MATCH($C44,$A$6:$A$305,0))="Program",INDEX($C$6:$C$305,MATCH($C44,$A$6:$A$305,0))="Portfolio"),1,0),0),0)))</f>
        <v/>
      </c>
      <c r="AA44" s="31">
        <f>IF(AND($A44&lt;&gt;"",$E44="",OR($Q44=1,$D44="Proposed")),1,0)</f>
        <v/>
      </c>
      <c r="AB44" s="31">
        <f>IF(AND($A44&lt;&gt;"",$B44="Program",$F44="",$Q44=1),1,0)</f>
        <v/>
      </c>
      <c r="AC44" s="31">
        <f>IF(OR($A44="",$D44="Completed",$D44="Terminated"),0,IF($C44="",1,IF($C44="Portfolio",0,IF($C44="Outside the portfolio",IF($Q44=1,2,0),IF($B44="Project",IF(IFERROR(INDEX($B$6:$B$305,MATCH($C44,$A$6:$A$305,0)),"")="Program",0,1),1)))))</f>
        <v/>
      </c>
      <c r="AD44" s="31">
        <f>IF(AND($A44&lt;&gt;"",OR($M44="■ Red",$M44="◧ Amber"),$L44=""),1,0)</f>
        <v/>
      </c>
      <c r="AE44" s="31">
        <f>$AA44+$AB44+IF($AC44&gt;0,1,0)+$AD44</f>
        <v/>
      </c>
      <c r="AJ44" s="14" t="n"/>
      <c r="AK44" s="29" t="n"/>
      <c r="AL44" s="31">
        <f>IF(AND($Q44=1,$Z44=1),1,0)</f>
        <v/>
      </c>
      <c r="AM44" s="31">
        <f>IF(AND($AL44=1,$AJ44&lt;&gt;""),MAX(0,TODAY()-$AJ44),"")</f>
        <v/>
      </c>
      <c r="AN44" s="31">
        <f>IF(OR($AL44=0,COUNT($AJ$6:$AJ$305)=0),0,IF($AJ44="",1,IF(TODAY()-$AJ44&gt;Board!$B$40,1,0)))</f>
        <v/>
      </c>
      <c r="AO44" s="31">
        <f>IF($AL44=0,0,IF($M44="■ Red",3,IF($M44="◧ Amber",2,IF($M44="□ On track",1,0))))</f>
        <v/>
      </c>
      <c r="AP44" s="31">
        <f>IF($AL44=0,0,IF($AK44="Will not hold",3,IF($AK44="At risk",2,IF($AK44="Will hold",1,0))))</f>
        <v/>
      </c>
      <c r="AQ44" s="31">
        <f>IF($AL44=0,"",IF($AO44=3,0,IF($AO44=2,1,IF(AND($AP44&gt;=2,$AP44&gt;$AO44),2,""))))</f>
        <v/>
      </c>
      <c r="AR44" s="31">
        <f>IF($AQ44="","",$AQ44*1000+44)</f>
        <v/>
      </c>
      <c r="AS44" s="31">
        <f>IF(AND($AL44=1,$AO44&gt;=2,$AP44&gt;=1,$AP44&lt;$AO44),1,0)</f>
        <v/>
      </c>
      <c r="AT44" s="31">
        <f>IF(AND($AL44=1,$AO44&gt;=2,$AP44=0),1,0)</f>
        <v/>
      </c>
      <c r="AU44" s="31">
        <f>IF(AND($AL44=1,$U44&lt;&gt;"",$U44&lt;TODAY()),1,0)</f>
        <v/>
      </c>
      <c r="AV44" s="31">
        <f>IF(OR($A44="",$AJ44="",Portfolio!$B$10=""),0,IF($AJ44&lt;=Portfolio!$B$10,0,IF(AND($D44="Completed",$Z44=1),1,IF(AND($D44="Terminated",$Z44=1),2,IF(AND($Q44=1,$Z44=0),3,0)))))</f>
        <v/>
      </c>
      <c r="AW44" s="31">
        <f>IF($AV44&gt;0,COUNTIF($AV$6:$AV44,"&gt;0"),"")</f>
        <v/>
      </c>
      <c r="AX44" s="31">
        <f>IF($AL44=0,"",IF(AND($B44="Project",$H44&lt;&gt;"",$H44&lt;TODAY()),"Planned finish "&amp;TEXT($H44,"d mmm")&amp;" has passed",IF($X44&gt;=2,(NETWORKDAYS($H44,$U44)-1)&amp;" working days past plan","")))</f>
        <v/>
      </c>
      <c r="AY44" s="31">
        <f>IF($AL44=0,"",IF($Y44&gt;=2,"Over budget by "&amp;TEXT(IF($B44="Program",$V44,$J44)-$K44,"#,##0"),""))</f>
        <v/>
      </c>
      <c r="AZ44" s="31">
        <f>IF(AND($AL44=1,$U44&lt;&gt;""),IF(AND(N($U44)&gt;=TODAY(),N($U44)&lt;=TODAY()+Board!$B$41),1,0),0)</f>
        <v/>
      </c>
    </row>
    <row r="45">
      <c r="A45" s="29" t="n"/>
      <c r="B45" s="29" t="n"/>
      <c r="C45" s="29" t="n"/>
      <c r="D45" s="29" t="n"/>
      <c r="E45" s="29" t="n"/>
      <c r="F45" s="29" t="n"/>
      <c r="G45" s="29" t="n"/>
      <c r="H45" s="30" t="n"/>
      <c r="I45" s="30" t="n"/>
      <c r="J45" s="19" t="n"/>
      <c r="K45" s="19" t="n"/>
      <c r="L45" s="26" t="n"/>
      <c r="M45" s="31">
        <f>IF($A45="","",IF($D45="","Not read",IF($Q45=0,"Not counted",IF(MAX($X45,$Y45)=3,"■ Red",IF(MAX($X45,$Y45)=2,"◧ Amber",IF(MAX($X45,$Y45)=1,"□ On track","Not read"))))))</f>
        <v/>
      </c>
      <c r="N45" s="31">
        <f>IF(OR($A45="",$B45&lt;&gt;"Program"),"","■ "&amp;COUNTIFS($C$6:$C$305,$A45,$M$6:$M$305,"■ Red")&amp;" Red, ◧ "&amp;COUNTIFS($C$6:$C$305,$A45,$M$6:$M$305,"◧ Amber")&amp;" Amber")</f>
        <v/>
      </c>
      <c r="O45" s="32">
        <f>IF(OR($A45="",$E45=""),"",COUNTIFS($E$6:$E$305,$E45,$D$6:$D$305,"Active")+COUNTIFS($E$6:$E$305,$E45,$D$6:$D$305,"Paused"))</f>
        <v/>
      </c>
      <c r="P45" s="31">
        <f>IF($A45="","",IF($AE45=0,"○ Clear",IF($AA45=1,"△ No owner",IF($AC45=1,"△ Check Sits under",IF($AC45=2,"△ Outside the portfolio",IF($AB45=1,"△ No sponsor","△ No variance note"))))&amp;IF($AE45&gt;1," (+"&amp;($AE45-1)&amp;" more)","")))</f>
        <v/>
      </c>
      <c r="Q45" s="31">
        <f>IF(AND($A45&lt;&gt;"",OR($D45="Active",$D45="Paused")),1,0)</f>
        <v/>
      </c>
      <c r="R45" s="31">
        <f>IFERROR(INDEX($A$6:$A$305,MATCH(38,$S$6:$S$305,0)),"")</f>
        <v/>
      </c>
      <c r="S45" s="31">
        <f>IF(AND($A45&lt;&gt;"",$B45="Program"),COUNTIFS($B$6:$B45,"Program",$A$6:$A45,"&lt;&gt;"),"")</f>
        <v/>
      </c>
      <c r="T45" s="33">
        <f>IF(AND($A45&lt;&gt;"",$B45="Program"),SUMPRODUCT(MAX(($C$6:$C$305=$A45)*($B$6:$B$305="Project")*($D$6:$D$305&lt;&gt;"Proposed")*$I$6:$I$305)),0)</f>
        <v/>
      </c>
      <c r="U45" s="33">
        <f>IF($I45&lt;&gt;"",$I45,IF($T45&gt;0,$T45,""))</f>
        <v/>
      </c>
      <c r="V45" s="31">
        <f>IF(AND($A45&lt;&gt;"",$B45="Program"),SUMIFS($J$6:$J$305,$C$6:$C$305,$A45,$B$6:$B$305,"Project",$D$6:$D$305,"&lt;&gt;Proposed"),0)</f>
        <v/>
      </c>
      <c r="W45" s="31">
        <f>IF(AND($A45&lt;&gt;"",$B45="Program"),COUNTIFS($C$6:$C$305,$A45,$B$6:$B$305,"Project",$D$6:$D$305,"&lt;&gt;Proposed")-COUNTIFS($C$6:$C$305,$A45,$B$6:$B$305,"Project",$D$6:$D$305,"&lt;&gt;Proposed",$J$6:$J$305,"&gt;=0"),0)</f>
        <v/>
      </c>
      <c r="X45" s="31">
        <f>IF(OR($Q45=0,$H45=""),0,IF(AND($B45="Project",$H45&lt;TODAY()),3,IF($U45="",0,IF($U45&lt;=$H45,1,IF(NETWORKDAYS($H45,$U45)-1&gt;IF($B45="Program",Portfolio!$B$16,Portfolio!$B$15),3,2)))))</f>
        <v/>
      </c>
      <c r="Y45" s="31">
        <f>IF(OR($Q45=0,$K45="",$K45=0),0,IF(AND($B45="Project",$J45=""),0,IF(IF($B45="Program",$V45,$J45)&gt;$K45*(1+Portfolio!$B$17),3,IF(IF($B45="Program",$V45,$J45)&gt;$K45,2,IF(AND($B45="Program",OR($W45&gt;0,$V45=0)),0,1)))))</f>
        <v/>
      </c>
      <c r="Z45" s="31">
        <f>IF($A45="",0,IF($C45="Portfolio",1,IF(AND($B45="Project",$C45&lt;&gt;"",$C45&lt;&gt;"Outside the portfolio"),IFERROR(IF(AND(INDEX($B$6:$B$305,MATCH($C45,$A$6:$A$305,0))="Program",INDEX($C$6:$C$305,MATCH($C45,$A$6:$A$305,0))="Portfolio"),1,0),0),0)))</f>
        <v/>
      </c>
      <c r="AA45" s="31">
        <f>IF(AND($A45&lt;&gt;"",$E45="",OR($Q45=1,$D45="Proposed")),1,0)</f>
        <v/>
      </c>
      <c r="AB45" s="31">
        <f>IF(AND($A45&lt;&gt;"",$B45="Program",$F45="",$Q45=1),1,0)</f>
        <v/>
      </c>
      <c r="AC45" s="31">
        <f>IF(OR($A45="",$D45="Completed",$D45="Terminated"),0,IF($C45="",1,IF($C45="Portfolio",0,IF($C45="Outside the portfolio",IF($Q45=1,2,0),IF($B45="Project",IF(IFERROR(INDEX($B$6:$B$305,MATCH($C45,$A$6:$A$305,0)),"")="Program",0,1),1)))))</f>
        <v/>
      </c>
      <c r="AD45" s="31">
        <f>IF(AND($A45&lt;&gt;"",OR($M45="■ Red",$M45="◧ Amber"),$L45=""),1,0)</f>
        <v/>
      </c>
      <c r="AE45" s="31">
        <f>$AA45+$AB45+IF($AC45&gt;0,1,0)+$AD45</f>
        <v/>
      </c>
      <c r="AJ45" s="14" t="n"/>
      <c r="AK45" s="29" t="n"/>
      <c r="AL45" s="31">
        <f>IF(AND($Q45=1,$Z45=1),1,0)</f>
        <v/>
      </c>
      <c r="AM45" s="31">
        <f>IF(AND($AL45=1,$AJ45&lt;&gt;""),MAX(0,TODAY()-$AJ45),"")</f>
        <v/>
      </c>
      <c r="AN45" s="31">
        <f>IF(OR($AL45=0,COUNT($AJ$6:$AJ$305)=0),0,IF($AJ45="",1,IF(TODAY()-$AJ45&gt;Board!$B$40,1,0)))</f>
        <v/>
      </c>
      <c r="AO45" s="31">
        <f>IF($AL45=0,0,IF($M45="■ Red",3,IF($M45="◧ Amber",2,IF($M45="□ On track",1,0))))</f>
        <v/>
      </c>
      <c r="AP45" s="31">
        <f>IF($AL45=0,0,IF($AK45="Will not hold",3,IF($AK45="At risk",2,IF($AK45="Will hold",1,0))))</f>
        <v/>
      </c>
      <c r="AQ45" s="31">
        <f>IF($AL45=0,"",IF($AO45=3,0,IF($AO45=2,1,IF(AND($AP45&gt;=2,$AP45&gt;$AO45),2,""))))</f>
        <v/>
      </c>
      <c r="AR45" s="31">
        <f>IF($AQ45="","",$AQ45*1000+45)</f>
        <v/>
      </c>
      <c r="AS45" s="31">
        <f>IF(AND($AL45=1,$AO45&gt;=2,$AP45&gt;=1,$AP45&lt;$AO45),1,0)</f>
        <v/>
      </c>
      <c r="AT45" s="31">
        <f>IF(AND($AL45=1,$AO45&gt;=2,$AP45=0),1,0)</f>
        <v/>
      </c>
      <c r="AU45" s="31">
        <f>IF(AND($AL45=1,$U45&lt;&gt;"",$U45&lt;TODAY()),1,0)</f>
        <v/>
      </c>
      <c r="AV45" s="31">
        <f>IF(OR($A45="",$AJ45="",Portfolio!$B$10=""),0,IF($AJ45&lt;=Portfolio!$B$10,0,IF(AND($D45="Completed",$Z45=1),1,IF(AND($D45="Terminated",$Z45=1),2,IF(AND($Q45=1,$Z45=0),3,0)))))</f>
        <v/>
      </c>
      <c r="AW45" s="31">
        <f>IF($AV45&gt;0,COUNTIF($AV$6:$AV45,"&gt;0"),"")</f>
        <v/>
      </c>
      <c r="AX45" s="31">
        <f>IF($AL45=0,"",IF(AND($B45="Project",$H45&lt;&gt;"",$H45&lt;TODAY()),"Planned finish "&amp;TEXT($H45,"d mmm")&amp;" has passed",IF($X45&gt;=2,(NETWORKDAYS($H45,$U45)-1)&amp;" working days past plan","")))</f>
        <v/>
      </c>
      <c r="AY45" s="31">
        <f>IF($AL45=0,"",IF($Y45&gt;=2,"Over budget by "&amp;TEXT(IF($B45="Program",$V45,$J45)-$K45,"#,##0"),""))</f>
        <v/>
      </c>
      <c r="AZ45" s="31">
        <f>IF(AND($AL45=1,$U45&lt;&gt;""),IF(AND(N($U45)&gt;=TODAY(),N($U45)&lt;=TODAY()+Board!$B$41),1,0),0)</f>
        <v/>
      </c>
    </row>
    <row r="46">
      <c r="A46" s="29" t="n"/>
      <c r="B46" s="29" t="n"/>
      <c r="C46" s="29" t="n"/>
      <c r="D46" s="29" t="n"/>
      <c r="E46" s="29" t="n"/>
      <c r="F46" s="29" t="n"/>
      <c r="G46" s="29" t="n"/>
      <c r="H46" s="30" t="n"/>
      <c r="I46" s="30" t="n"/>
      <c r="J46" s="19" t="n"/>
      <c r="K46" s="19" t="n"/>
      <c r="L46" s="26" t="n"/>
      <c r="M46" s="31">
        <f>IF($A46="","",IF($D46="","Not read",IF($Q46=0,"Not counted",IF(MAX($X46,$Y46)=3,"■ Red",IF(MAX($X46,$Y46)=2,"◧ Amber",IF(MAX($X46,$Y46)=1,"□ On track","Not read"))))))</f>
        <v/>
      </c>
      <c r="N46" s="31">
        <f>IF(OR($A46="",$B46&lt;&gt;"Program"),"","■ "&amp;COUNTIFS($C$6:$C$305,$A46,$M$6:$M$305,"■ Red")&amp;" Red, ◧ "&amp;COUNTIFS($C$6:$C$305,$A46,$M$6:$M$305,"◧ Amber")&amp;" Amber")</f>
        <v/>
      </c>
      <c r="O46" s="32">
        <f>IF(OR($A46="",$E46=""),"",COUNTIFS($E$6:$E$305,$E46,$D$6:$D$305,"Active")+COUNTIFS($E$6:$E$305,$E46,$D$6:$D$305,"Paused"))</f>
        <v/>
      </c>
      <c r="P46" s="31">
        <f>IF($A46="","",IF($AE46=0,"○ Clear",IF($AA46=1,"△ No owner",IF($AC46=1,"△ Check Sits under",IF($AC46=2,"△ Outside the portfolio",IF($AB46=1,"△ No sponsor","△ No variance note"))))&amp;IF($AE46&gt;1," (+"&amp;($AE46-1)&amp;" more)","")))</f>
        <v/>
      </c>
      <c r="Q46" s="31">
        <f>IF(AND($A46&lt;&gt;"",OR($D46="Active",$D46="Paused")),1,0)</f>
        <v/>
      </c>
      <c r="R46" s="31">
        <f>IFERROR(INDEX($A$6:$A$305,MATCH(39,$S$6:$S$305,0)),"")</f>
        <v/>
      </c>
      <c r="S46" s="31">
        <f>IF(AND($A46&lt;&gt;"",$B46="Program"),COUNTIFS($B$6:$B46,"Program",$A$6:$A46,"&lt;&gt;"),"")</f>
        <v/>
      </c>
      <c r="T46" s="33">
        <f>IF(AND($A46&lt;&gt;"",$B46="Program"),SUMPRODUCT(MAX(($C$6:$C$305=$A46)*($B$6:$B$305="Project")*($D$6:$D$305&lt;&gt;"Proposed")*$I$6:$I$305)),0)</f>
        <v/>
      </c>
      <c r="U46" s="33">
        <f>IF($I46&lt;&gt;"",$I46,IF($T46&gt;0,$T46,""))</f>
        <v/>
      </c>
      <c r="V46" s="31">
        <f>IF(AND($A46&lt;&gt;"",$B46="Program"),SUMIFS($J$6:$J$305,$C$6:$C$305,$A46,$B$6:$B$305,"Project",$D$6:$D$305,"&lt;&gt;Proposed"),0)</f>
        <v/>
      </c>
      <c r="W46" s="31">
        <f>IF(AND($A46&lt;&gt;"",$B46="Program"),COUNTIFS($C$6:$C$305,$A46,$B$6:$B$305,"Project",$D$6:$D$305,"&lt;&gt;Proposed")-COUNTIFS($C$6:$C$305,$A46,$B$6:$B$305,"Project",$D$6:$D$305,"&lt;&gt;Proposed",$J$6:$J$305,"&gt;=0"),0)</f>
        <v/>
      </c>
      <c r="X46" s="31">
        <f>IF(OR($Q46=0,$H46=""),0,IF(AND($B46="Project",$H46&lt;TODAY()),3,IF($U46="",0,IF($U46&lt;=$H46,1,IF(NETWORKDAYS($H46,$U46)-1&gt;IF($B46="Program",Portfolio!$B$16,Portfolio!$B$15),3,2)))))</f>
        <v/>
      </c>
      <c r="Y46" s="31">
        <f>IF(OR($Q46=0,$K46="",$K46=0),0,IF(AND($B46="Project",$J46=""),0,IF(IF($B46="Program",$V46,$J46)&gt;$K46*(1+Portfolio!$B$17),3,IF(IF($B46="Program",$V46,$J46)&gt;$K46,2,IF(AND($B46="Program",OR($W46&gt;0,$V46=0)),0,1)))))</f>
        <v/>
      </c>
      <c r="Z46" s="31">
        <f>IF($A46="",0,IF($C46="Portfolio",1,IF(AND($B46="Project",$C46&lt;&gt;"",$C46&lt;&gt;"Outside the portfolio"),IFERROR(IF(AND(INDEX($B$6:$B$305,MATCH($C46,$A$6:$A$305,0))="Program",INDEX($C$6:$C$305,MATCH($C46,$A$6:$A$305,0))="Portfolio"),1,0),0),0)))</f>
        <v/>
      </c>
      <c r="AA46" s="31">
        <f>IF(AND($A46&lt;&gt;"",$E46="",OR($Q46=1,$D46="Proposed")),1,0)</f>
        <v/>
      </c>
      <c r="AB46" s="31">
        <f>IF(AND($A46&lt;&gt;"",$B46="Program",$F46="",$Q46=1),1,0)</f>
        <v/>
      </c>
      <c r="AC46" s="31">
        <f>IF(OR($A46="",$D46="Completed",$D46="Terminated"),0,IF($C46="",1,IF($C46="Portfolio",0,IF($C46="Outside the portfolio",IF($Q46=1,2,0),IF($B46="Project",IF(IFERROR(INDEX($B$6:$B$305,MATCH($C46,$A$6:$A$305,0)),"")="Program",0,1),1)))))</f>
        <v/>
      </c>
      <c r="AD46" s="31">
        <f>IF(AND($A46&lt;&gt;"",OR($M46="■ Red",$M46="◧ Amber"),$L46=""),1,0)</f>
        <v/>
      </c>
      <c r="AE46" s="31">
        <f>$AA46+$AB46+IF($AC46&gt;0,1,0)+$AD46</f>
        <v/>
      </c>
      <c r="AJ46" s="14" t="n"/>
      <c r="AK46" s="29" t="n"/>
      <c r="AL46" s="31">
        <f>IF(AND($Q46=1,$Z46=1),1,0)</f>
        <v/>
      </c>
      <c r="AM46" s="31">
        <f>IF(AND($AL46=1,$AJ46&lt;&gt;""),MAX(0,TODAY()-$AJ46),"")</f>
        <v/>
      </c>
      <c r="AN46" s="31">
        <f>IF(OR($AL46=0,COUNT($AJ$6:$AJ$305)=0),0,IF($AJ46="",1,IF(TODAY()-$AJ46&gt;Board!$B$40,1,0)))</f>
        <v/>
      </c>
      <c r="AO46" s="31">
        <f>IF($AL46=0,0,IF($M46="■ Red",3,IF($M46="◧ Amber",2,IF($M46="□ On track",1,0))))</f>
        <v/>
      </c>
      <c r="AP46" s="31">
        <f>IF($AL46=0,0,IF($AK46="Will not hold",3,IF($AK46="At risk",2,IF($AK46="Will hold",1,0))))</f>
        <v/>
      </c>
      <c r="AQ46" s="31">
        <f>IF($AL46=0,"",IF($AO46=3,0,IF($AO46=2,1,IF(AND($AP46&gt;=2,$AP46&gt;$AO46),2,""))))</f>
        <v/>
      </c>
      <c r="AR46" s="31">
        <f>IF($AQ46="","",$AQ46*1000+46)</f>
        <v/>
      </c>
      <c r="AS46" s="31">
        <f>IF(AND($AL46=1,$AO46&gt;=2,$AP46&gt;=1,$AP46&lt;$AO46),1,0)</f>
        <v/>
      </c>
      <c r="AT46" s="31">
        <f>IF(AND($AL46=1,$AO46&gt;=2,$AP46=0),1,0)</f>
        <v/>
      </c>
      <c r="AU46" s="31">
        <f>IF(AND($AL46=1,$U46&lt;&gt;"",$U46&lt;TODAY()),1,0)</f>
        <v/>
      </c>
      <c r="AV46" s="31">
        <f>IF(OR($A46="",$AJ46="",Portfolio!$B$10=""),0,IF($AJ46&lt;=Portfolio!$B$10,0,IF(AND($D46="Completed",$Z46=1),1,IF(AND($D46="Terminated",$Z46=1),2,IF(AND($Q46=1,$Z46=0),3,0)))))</f>
        <v/>
      </c>
      <c r="AW46" s="31">
        <f>IF($AV46&gt;0,COUNTIF($AV$6:$AV46,"&gt;0"),"")</f>
        <v/>
      </c>
      <c r="AX46" s="31">
        <f>IF($AL46=0,"",IF(AND($B46="Project",$H46&lt;&gt;"",$H46&lt;TODAY()),"Planned finish "&amp;TEXT($H46,"d mmm")&amp;" has passed",IF($X46&gt;=2,(NETWORKDAYS($H46,$U46)-1)&amp;" working days past plan","")))</f>
        <v/>
      </c>
      <c r="AY46" s="31">
        <f>IF($AL46=0,"",IF($Y46&gt;=2,"Over budget by "&amp;TEXT(IF($B46="Program",$V46,$J46)-$K46,"#,##0"),""))</f>
        <v/>
      </c>
      <c r="AZ46" s="31">
        <f>IF(AND($AL46=1,$U46&lt;&gt;""),IF(AND(N($U46)&gt;=TODAY(),N($U46)&lt;=TODAY()+Board!$B$41),1,0),0)</f>
        <v/>
      </c>
    </row>
    <row r="47">
      <c r="A47" s="29" t="n"/>
      <c r="B47" s="29" t="n"/>
      <c r="C47" s="29" t="n"/>
      <c r="D47" s="29" t="n"/>
      <c r="E47" s="29" t="n"/>
      <c r="F47" s="29" t="n"/>
      <c r="G47" s="29" t="n"/>
      <c r="H47" s="30" t="n"/>
      <c r="I47" s="30" t="n"/>
      <c r="J47" s="19" t="n"/>
      <c r="K47" s="19" t="n"/>
      <c r="L47" s="26" t="n"/>
      <c r="M47" s="31">
        <f>IF($A47="","",IF($D47="","Not read",IF($Q47=0,"Not counted",IF(MAX($X47,$Y47)=3,"■ Red",IF(MAX($X47,$Y47)=2,"◧ Amber",IF(MAX($X47,$Y47)=1,"□ On track","Not read"))))))</f>
        <v/>
      </c>
      <c r="N47" s="31">
        <f>IF(OR($A47="",$B47&lt;&gt;"Program"),"","■ "&amp;COUNTIFS($C$6:$C$305,$A47,$M$6:$M$305,"■ Red")&amp;" Red, ◧ "&amp;COUNTIFS($C$6:$C$305,$A47,$M$6:$M$305,"◧ Amber")&amp;" Amber")</f>
        <v/>
      </c>
      <c r="O47" s="32">
        <f>IF(OR($A47="",$E47=""),"",COUNTIFS($E$6:$E$305,$E47,$D$6:$D$305,"Active")+COUNTIFS($E$6:$E$305,$E47,$D$6:$D$305,"Paused"))</f>
        <v/>
      </c>
      <c r="P47" s="31">
        <f>IF($A47="","",IF($AE47=0,"○ Clear",IF($AA47=1,"△ No owner",IF($AC47=1,"△ Check Sits under",IF($AC47=2,"△ Outside the portfolio",IF($AB47=1,"△ No sponsor","△ No variance note"))))&amp;IF($AE47&gt;1," (+"&amp;($AE47-1)&amp;" more)","")))</f>
        <v/>
      </c>
      <c r="Q47" s="31">
        <f>IF(AND($A47&lt;&gt;"",OR($D47="Active",$D47="Paused")),1,0)</f>
        <v/>
      </c>
      <c r="R47" s="31">
        <f>IFERROR(INDEX($A$6:$A$305,MATCH(40,$S$6:$S$305,0)),"")</f>
        <v/>
      </c>
      <c r="S47" s="31">
        <f>IF(AND($A47&lt;&gt;"",$B47="Program"),COUNTIFS($B$6:$B47,"Program",$A$6:$A47,"&lt;&gt;"),"")</f>
        <v/>
      </c>
      <c r="T47" s="33">
        <f>IF(AND($A47&lt;&gt;"",$B47="Program"),SUMPRODUCT(MAX(($C$6:$C$305=$A47)*($B$6:$B$305="Project")*($D$6:$D$305&lt;&gt;"Proposed")*$I$6:$I$305)),0)</f>
        <v/>
      </c>
      <c r="U47" s="33">
        <f>IF($I47&lt;&gt;"",$I47,IF($T47&gt;0,$T47,""))</f>
        <v/>
      </c>
      <c r="V47" s="31">
        <f>IF(AND($A47&lt;&gt;"",$B47="Program"),SUMIFS($J$6:$J$305,$C$6:$C$305,$A47,$B$6:$B$305,"Project",$D$6:$D$305,"&lt;&gt;Proposed"),0)</f>
        <v/>
      </c>
      <c r="W47" s="31">
        <f>IF(AND($A47&lt;&gt;"",$B47="Program"),COUNTIFS($C$6:$C$305,$A47,$B$6:$B$305,"Project",$D$6:$D$305,"&lt;&gt;Proposed")-COUNTIFS($C$6:$C$305,$A47,$B$6:$B$305,"Project",$D$6:$D$305,"&lt;&gt;Proposed",$J$6:$J$305,"&gt;=0"),0)</f>
        <v/>
      </c>
      <c r="X47" s="31">
        <f>IF(OR($Q47=0,$H47=""),0,IF(AND($B47="Project",$H47&lt;TODAY()),3,IF($U47="",0,IF($U47&lt;=$H47,1,IF(NETWORKDAYS($H47,$U47)-1&gt;IF($B47="Program",Portfolio!$B$16,Portfolio!$B$15),3,2)))))</f>
        <v/>
      </c>
      <c r="Y47" s="31">
        <f>IF(OR($Q47=0,$K47="",$K47=0),0,IF(AND($B47="Project",$J47=""),0,IF(IF($B47="Program",$V47,$J47)&gt;$K47*(1+Portfolio!$B$17),3,IF(IF($B47="Program",$V47,$J47)&gt;$K47,2,IF(AND($B47="Program",OR($W47&gt;0,$V47=0)),0,1)))))</f>
        <v/>
      </c>
      <c r="Z47" s="31">
        <f>IF($A47="",0,IF($C47="Portfolio",1,IF(AND($B47="Project",$C47&lt;&gt;"",$C47&lt;&gt;"Outside the portfolio"),IFERROR(IF(AND(INDEX($B$6:$B$305,MATCH($C47,$A$6:$A$305,0))="Program",INDEX($C$6:$C$305,MATCH($C47,$A$6:$A$305,0))="Portfolio"),1,0),0),0)))</f>
        <v/>
      </c>
      <c r="AA47" s="31">
        <f>IF(AND($A47&lt;&gt;"",$E47="",OR($Q47=1,$D47="Proposed")),1,0)</f>
        <v/>
      </c>
      <c r="AB47" s="31">
        <f>IF(AND($A47&lt;&gt;"",$B47="Program",$F47="",$Q47=1),1,0)</f>
        <v/>
      </c>
      <c r="AC47" s="31">
        <f>IF(OR($A47="",$D47="Completed",$D47="Terminated"),0,IF($C47="",1,IF($C47="Portfolio",0,IF($C47="Outside the portfolio",IF($Q47=1,2,0),IF($B47="Project",IF(IFERROR(INDEX($B$6:$B$305,MATCH($C47,$A$6:$A$305,0)),"")="Program",0,1),1)))))</f>
        <v/>
      </c>
      <c r="AD47" s="31">
        <f>IF(AND($A47&lt;&gt;"",OR($M47="■ Red",$M47="◧ Amber"),$L47=""),1,0)</f>
        <v/>
      </c>
      <c r="AE47" s="31">
        <f>$AA47+$AB47+IF($AC47&gt;0,1,0)+$AD47</f>
        <v/>
      </c>
      <c r="AJ47" s="14" t="n"/>
      <c r="AK47" s="29" t="n"/>
      <c r="AL47" s="31">
        <f>IF(AND($Q47=1,$Z47=1),1,0)</f>
        <v/>
      </c>
      <c r="AM47" s="31">
        <f>IF(AND($AL47=1,$AJ47&lt;&gt;""),MAX(0,TODAY()-$AJ47),"")</f>
        <v/>
      </c>
      <c r="AN47" s="31">
        <f>IF(OR($AL47=0,COUNT($AJ$6:$AJ$305)=0),0,IF($AJ47="",1,IF(TODAY()-$AJ47&gt;Board!$B$40,1,0)))</f>
        <v/>
      </c>
      <c r="AO47" s="31">
        <f>IF($AL47=0,0,IF($M47="■ Red",3,IF($M47="◧ Amber",2,IF($M47="□ On track",1,0))))</f>
        <v/>
      </c>
      <c r="AP47" s="31">
        <f>IF($AL47=0,0,IF($AK47="Will not hold",3,IF($AK47="At risk",2,IF($AK47="Will hold",1,0))))</f>
        <v/>
      </c>
      <c r="AQ47" s="31">
        <f>IF($AL47=0,"",IF($AO47=3,0,IF($AO47=2,1,IF(AND($AP47&gt;=2,$AP47&gt;$AO47),2,""))))</f>
        <v/>
      </c>
      <c r="AR47" s="31">
        <f>IF($AQ47="","",$AQ47*1000+47)</f>
        <v/>
      </c>
      <c r="AS47" s="31">
        <f>IF(AND($AL47=1,$AO47&gt;=2,$AP47&gt;=1,$AP47&lt;$AO47),1,0)</f>
        <v/>
      </c>
      <c r="AT47" s="31">
        <f>IF(AND($AL47=1,$AO47&gt;=2,$AP47=0),1,0)</f>
        <v/>
      </c>
      <c r="AU47" s="31">
        <f>IF(AND($AL47=1,$U47&lt;&gt;"",$U47&lt;TODAY()),1,0)</f>
        <v/>
      </c>
      <c r="AV47" s="31">
        <f>IF(OR($A47="",$AJ47="",Portfolio!$B$10=""),0,IF($AJ47&lt;=Portfolio!$B$10,0,IF(AND($D47="Completed",$Z47=1),1,IF(AND($D47="Terminated",$Z47=1),2,IF(AND($Q47=1,$Z47=0),3,0)))))</f>
        <v/>
      </c>
      <c r="AW47" s="31">
        <f>IF($AV47&gt;0,COUNTIF($AV$6:$AV47,"&gt;0"),"")</f>
        <v/>
      </c>
      <c r="AX47" s="31">
        <f>IF($AL47=0,"",IF(AND($B47="Project",$H47&lt;&gt;"",$H47&lt;TODAY()),"Planned finish "&amp;TEXT($H47,"d mmm")&amp;" has passed",IF($X47&gt;=2,(NETWORKDAYS($H47,$U47)-1)&amp;" working days past plan","")))</f>
        <v/>
      </c>
      <c r="AY47" s="31">
        <f>IF($AL47=0,"",IF($Y47&gt;=2,"Over budget by "&amp;TEXT(IF($B47="Program",$V47,$J47)-$K47,"#,##0"),""))</f>
        <v/>
      </c>
      <c r="AZ47" s="31">
        <f>IF(AND($AL47=1,$U47&lt;&gt;""),IF(AND(N($U47)&gt;=TODAY(),N($U47)&lt;=TODAY()+Board!$B$41),1,0),0)</f>
        <v/>
      </c>
    </row>
    <row r="48">
      <c r="A48" s="29" t="n"/>
      <c r="B48" s="29" t="n"/>
      <c r="C48" s="29" t="n"/>
      <c r="D48" s="29" t="n"/>
      <c r="E48" s="29" t="n"/>
      <c r="F48" s="29" t="n"/>
      <c r="G48" s="29" t="n"/>
      <c r="H48" s="30" t="n"/>
      <c r="I48" s="30" t="n"/>
      <c r="J48" s="19" t="n"/>
      <c r="K48" s="19" t="n"/>
      <c r="L48" s="26" t="n"/>
      <c r="M48" s="31">
        <f>IF($A48="","",IF($D48="","Not read",IF($Q48=0,"Not counted",IF(MAX($X48,$Y48)=3,"■ Red",IF(MAX($X48,$Y48)=2,"◧ Amber",IF(MAX($X48,$Y48)=1,"□ On track","Not read"))))))</f>
        <v/>
      </c>
      <c r="N48" s="31">
        <f>IF(OR($A48="",$B48&lt;&gt;"Program"),"","■ "&amp;COUNTIFS($C$6:$C$305,$A48,$M$6:$M$305,"■ Red")&amp;" Red, ◧ "&amp;COUNTIFS($C$6:$C$305,$A48,$M$6:$M$305,"◧ Amber")&amp;" Amber")</f>
        <v/>
      </c>
      <c r="O48" s="32">
        <f>IF(OR($A48="",$E48=""),"",COUNTIFS($E$6:$E$305,$E48,$D$6:$D$305,"Active")+COUNTIFS($E$6:$E$305,$E48,$D$6:$D$305,"Paused"))</f>
        <v/>
      </c>
      <c r="P48" s="31">
        <f>IF($A48="","",IF($AE48=0,"○ Clear",IF($AA48=1,"△ No owner",IF($AC48=1,"△ Check Sits under",IF($AC48=2,"△ Outside the portfolio",IF($AB48=1,"△ No sponsor","△ No variance note"))))&amp;IF($AE48&gt;1," (+"&amp;($AE48-1)&amp;" more)","")))</f>
        <v/>
      </c>
      <c r="Q48" s="31">
        <f>IF(AND($A48&lt;&gt;"",OR($D48="Active",$D48="Paused")),1,0)</f>
        <v/>
      </c>
      <c r="R48" s="31">
        <f>IFERROR(INDEX($A$6:$A$305,MATCH(41,$S$6:$S$305,0)),"")</f>
        <v/>
      </c>
      <c r="S48" s="31">
        <f>IF(AND($A48&lt;&gt;"",$B48="Program"),COUNTIFS($B$6:$B48,"Program",$A$6:$A48,"&lt;&gt;"),"")</f>
        <v/>
      </c>
      <c r="T48" s="33">
        <f>IF(AND($A48&lt;&gt;"",$B48="Program"),SUMPRODUCT(MAX(($C$6:$C$305=$A48)*($B$6:$B$305="Project")*($D$6:$D$305&lt;&gt;"Proposed")*$I$6:$I$305)),0)</f>
        <v/>
      </c>
      <c r="U48" s="33">
        <f>IF($I48&lt;&gt;"",$I48,IF($T48&gt;0,$T48,""))</f>
        <v/>
      </c>
      <c r="V48" s="31">
        <f>IF(AND($A48&lt;&gt;"",$B48="Program"),SUMIFS($J$6:$J$305,$C$6:$C$305,$A48,$B$6:$B$305,"Project",$D$6:$D$305,"&lt;&gt;Proposed"),0)</f>
        <v/>
      </c>
      <c r="W48" s="31">
        <f>IF(AND($A48&lt;&gt;"",$B48="Program"),COUNTIFS($C$6:$C$305,$A48,$B$6:$B$305,"Project",$D$6:$D$305,"&lt;&gt;Proposed")-COUNTIFS($C$6:$C$305,$A48,$B$6:$B$305,"Project",$D$6:$D$305,"&lt;&gt;Proposed",$J$6:$J$305,"&gt;=0"),0)</f>
        <v/>
      </c>
      <c r="X48" s="31">
        <f>IF(OR($Q48=0,$H48=""),0,IF(AND($B48="Project",$H48&lt;TODAY()),3,IF($U48="",0,IF($U48&lt;=$H48,1,IF(NETWORKDAYS($H48,$U48)-1&gt;IF($B48="Program",Portfolio!$B$16,Portfolio!$B$15),3,2)))))</f>
        <v/>
      </c>
      <c r="Y48" s="31">
        <f>IF(OR($Q48=0,$K48="",$K48=0),0,IF(AND($B48="Project",$J48=""),0,IF(IF($B48="Program",$V48,$J48)&gt;$K48*(1+Portfolio!$B$17),3,IF(IF($B48="Program",$V48,$J48)&gt;$K48,2,IF(AND($B48="Program",OR($W48&gt;0,$V48=0)),0,1)))))</f>
        <v/>
      </c>
      <c r="Z48" s="31">
        <f>IF($A48="",0,IF($C48="Portfolio",1,IF(AND($B48="Project",$C48&lt;&gt;"",$C48&lt;&gt;"Outside the portfolio"),IFERROR(IF(AND(INDEX($B$6:$B$305,MATCH($C48,$A$6:$A$305,0))="Program",INDEX($C$6:$C$305,MATCH($C48,$A$6:$A$305,0))="Portfolio"),1,0),0),0)))</f>
        <v/>
      </c>
      <c r="AA48" s="31">
        <f>IF(AND($A48&lt;&gt;"",$E48="",OR($Q48=1,$D48="Proposed")),1,0)</f>
        <v/>
      </c>
      <c r="AB48" s="31">
        <f>IF(AND($A48&lt;&gt;"",$B48="Program",$F48="",$Q48=1),1,0)</f>
        <v/>
      </c>
      <c r="AC48" s="31">
        <f>IF(OR($A48="",$D48="Completed",$D48="Terminated"),0,IF($C48="",1,IF($C48="Portfolio",0,IF($C48="Outside the portfolio",IF($Q48=1,2,0),IF($B48="Project",IF(IFERROR(INDEX($B$6:$B$305,MATCH($C48,$A$6:$A$305,0)),"")="Program",0,1),1)))))</f>
        <v/>
      </c>
      <c r="AD48" s="31">
        <f>IF(AND($A48&lt;&gt;"",OR($M48="■ Red",$M48="◧ Amber"),$L48=""),1,0)</f>
        <v/>
      </c>
      <c r="AE48" s="31">
        <f>$AA48+$AB48+IF($AC48&gt;0,1,0)+$AD48</f>
        <v/>
      </c>
      <c r="AJ48" s="14" t="n"/>
      <c r="AK48" s="29" t="n"/>
      <c r="AL48" s="31">
        <f>IF(AND($Q48=1,$Z48=1),1,0)</f>
        <v/>
      </c>
      <c r="AM48" s="31">
        <f>IF(AND($AL48=1,$AJ48&lt;&gt;""),MAX(0,TODAY()-$AJ48),"")</f>
        <v/>
      </c>
      <c r="AN48" s="31">
        <f>IF(OR($AL48=0,COUNT($AJ$6:$AJ$305)=0),0,IF($AJ48="",1,IF(TODAY()-$AJ48&gt;Board!$B$40,1,0)))</f>
        <v/>
      </c>
      <c r="AO48" s="31">
        <f>IF($AL48=0,0,IF($M48="■ Red",3,IF($M48="◧ Amber",2,IF($M48="□ On track",1,0))))</f>
        <v/>
      </c>
      <c r="AP48" s="31">
        <f>IF($AL48=0,0,IF($AK48="Will not hold",3,IF($AK48="At risk",2,IF($AK48="Will hold",1,0))))</f>
        <v/>
      </c>
      <c r="AQ48" s="31">
        <f>IF($AL48=0,"",IF($AO48=3,0,IF($AO48=2,1,IF(AND($AP48&gt;=2,$AP48&gt;$AO48),2,""))))</f>
        <v/>
      </c>
      <c r="AR48" s="31">
        <f>IF($AQ48="","",$AQ48*1000+48)</f>
        <v/>
      </c>
      <c r="AS48" s="31">
        <f>IF(AND($AL48=1,$AO48&gt;=2,$AP48&gt;=1,$AP48&lt;$AO48),1,0)</f>
        <v/>
      </c>
      <c r="AT48" s="31">
        <f>IF(AND($AL48=1,$AO48&gt;=2,$AP48=0),1,0)</f>
        <v/>
      </c>
      <c r="AU48" s="31">
        <f>IF(AND($AL48=1,$U48&lt;&gt;"",$U48&lt;TODAY()),1,0)</f>
        <v/>
      </c>
      <c r="AV48" s="31">
        <f>IF(OR($A48="",$AJ48="",Portfolio!$B$10=""),0,IF($AJ48&lt;=Portfolio!$B$10,0,IF(AND($D48="Completed",$Z48=1),1,IF(AND($D48="Terminated",$Z48=1),2,IF(AND($Q48=1,$Z48=0),3,0)))))</f>
        <v/>
      </c>
      <c r="AW48" s="31">
        <f>IF($AV48&gt;0,COUNTIF($AV$6:$AV48,"&gt;0"),"")</f>
        <v/>
      </c>
      <c r="AX48" s="31">
        <f>IF($AL48=0,"",IF(AND($B48="Project",$H48&lt;&gt;"",$H48&lt;TODAY()),"Planned finish "&amp;TEXT($H48,"d mmm")&amp;" has passed",IF($X48&gt;=2,(NETWORKDAYS($H48,$U48)-1)&amp;" working days past plan","")))</f>
        <v/>
      </c>
      <c r="AY48" s="31">
        <f>IF($AL48=0,"",IF($Y48&gt;=2,"Over budget by "&amp;TEXT(IF($B48="Program",$V48,$J48)-$K48,"#,##0"),""))</f>
        <v/>
      </c>
      <c r="AZ48" s="31">
        <f>IF(AND($AL48=1,$U48&lt;&gt;""),IF(AND(N($U48)&gt;=TODAY(),N($U48)&lt;=TODAY()+Board!$B$41),1,0),0)</f>
        <v/>
      </c>
    </row>
    <row r="49">
      <c r="A49" s="29" t="n"/>
      <c r="B49" s="29" t="n"/>
      <c r="C49" s="29" t="n"/>
      <c r="D49" s="29" t="n"/>
      <c r="E49" s="29" t="n"/>
      <c r="F49" s="29" t="n"/>
      <c r="G49" s="29" t="n"/>
      <c r="H49" s="30" t="n"/>
      <c r="I49" s="30" t="n"/>
      <c r="J49" s="19" t="n"/>
      <c r="K49" s="19" t="n"/>
      <c r="L49" s="26" t="n"/>
      <c r="M49" s="31">
        <f>IF($A49="","",IF($D49="","Not read",IF($Q49=0,"Not counted",IF(MAX($X49,$Y49)=3,"■ Red",IF(MAX($X49,$Y49)=2,"◧ Amber",IF(MAX($X49,$Y49)=1,"□ On track","Not read"))))))</f>
        <v/>
      </c>
      <c r="N49" s="31">
        <f>IF(OR($A49="",$B49&lt;&gt;"Program"),"","■ "&amp;COUNTIFS($C$6:$C$305,$A49,$M$6:$M$305,"■ Red")&amp;" Red, ◧ "&amp;COUNTIFS($C$6:$C$305,$A49,$M$6:$M$305,"◧ Amber")&amp;" Amber")</f>
        <v/>
      </c>
      <c r="O49" s="32">
        <f>IF(OR($A49="",$E49=""),"",COUNTIFS($E$6:$E$305,$E49,$D$6:$D$305,"Active")+COUNTIFS($E$6:$E$305,$E49,$D$6:$D$305,"Paused"))</f>
        <v/>
      </c>
      <c r="P49" s="31">
        <f>IF($A49="","",IF($AE49=0,"○ Clear",IF($AA49=1,"△ No owner",IF($AC49=1,"△ Check Sits under",IF($AC49=2,"△ Outside the portfolio",IF($AB49=1,"△ No sponsor","△ No variance note"))))&amp;IF($AE49&gt;1," (+"&amp;($AE49-1)&amp;" more)","")))</f>
        <v/>
      </c>
      <c r="Q49" s="31">
        <f>IF(AND($A49&lt;&gt;"",OR($D49="Active",$D49="Paused")),1,0)</f>
        <v/>
      </c>
      <c r="R49" s="31">
        <f>IFERROR(INDEX($A$6:$A$305,MATCH(42,$S$6:$S$305,0)),"")</f>
        <v/>
      </c>
      <c r="S49" s="31">
        <f>IF(AND($A49&lt;&gt;"",$B49="Program"),COUNTIFS($B$6:$B49,"Program",$A$6:$A49,"&lt;&gt;"),"")</f>
        <v/>
      </c>
      <c r="T49" s="33">
        <f>IF(AND($A49&lt;&gt;"",$B49="Program"),SUMPRODUCT(MAX(($C$6:$C$305=$A49)*($B$6:$B$305="Project")*($D$6:$D$305&lt;&gt;"Proposed")*$I$6:$I$305)),0)</f>
        <v/>
      </c>
      <c r="U49" s="33">
        <f>IF($I49&lt;&gt;"",$I49,IF($T49&gt;0,$T49,""))</f>
        <v/>
      </c>
      <c r="V49" s="31">
        <f>IF(AND($A49&lt;&gt;"",$B49="Program"),SUMIFS($J$6:$J$305,$C$6:$C$305,$A49,$B$6:$B$305,"Project",$D$6:$D$305,"&lt;&gt;Proposed"),0)</f>
        <v/>
      </c>
      <c r="W49" s="31">
        <f>IF(AND($A49&lt;&gt;"",$B49="Program"),COUNTIFS($C$6:$C$305,$A49,$B$6:$B$305,"Project",$D$6:$D$305,"&lt;&gt;Proposed")-COUNTIFS($C$6:$C$305,$A49,$B$6:$B$305,"Project",$D$6:$D$305,"&lt;&gt;Proposed",$J$6:$J$305,"&gt;=0"),0)</f>
        <v/>
      </c>
      <c r="X49" s="31">
        <f>IF(OR($Q49=0,$H49=""),0,IF(AND($B49="Project",$H49&lt;TODAY()),3,IF($U49="",0,IF($U49&lt;=$H49,1,IF(NETWORKDAYS($H49,$U49)-1&gt;IF($B49="Program",Portfolio!$B$16,Portfolio!$B$15),3,2)))))</f>
        <v/>
      </c>
      <c r="Y49" s="31">
        <f>IF(OR($Q49=0,$K49="",$K49=0),0,IF(AND($B49="Project",$J49=""),0,IF(IF($B49="Program",$V49,$J49)&gt;$K49*(1+Portfolio!$B$17),3,IF(IF($B49="Program",$V49,$J49)&gt;$K49,2,IF(AND($B49="Program",OR($W49&gt;0,$V49=0)),0,1)))))</f>
        <v/>
      </c>
      <c r="Z49" s="31">
        <f>IF($A49="",0,IF($C49="Portfolio",1,IF(AND($B49="Project",$C49&lt;&gt;"",$C49&lt;&gt;"Outside the portfolio"),IFERROR(IF(AND(INDEX($B$6:$B$305,MATCH($C49,$A$6:$A$305,0))="Program",INDEX($C$6:$C$305,MATCH($C49,$A$6:$A$305,0))="Portfolio"),1,0),0),0)))</f>
        <v/>
      </c>
      <c r="AA49" s="31">
        <f>IF(AND($A49&lt;&gt;"",$E49="",OR($Q49=1,$D49="Proposed")),1,0)</f>
        <v/>
      </c>
      <c r="AB49" s="31">
        <f>IF(AND($A49&lt;&gt;"",$B49="Program",$F49="",$Q49=1),1,0)</f>
        <v/>
      </c>
      <c r="AC49" s="31">
        <f>IF(OR($A49="",$D49="Completed",$D49="Terminated"),0,IF($C49="",1,IF($C49="Portfolio",0,IF($C49="Outside the portfolio",IF($Q49=1,2,0),IF($B49="Project",IF(IFERROR(INDEX($B$6:$B$305,MATCH($C49,$A$6:$A$305,0)),"")="Program",0,1),1)))))</f>
        <v/>
      </c>
      <c r="AD49" s="31">
        <f>IF(AND($A49&lt;&gt;"",OR($M49="■ Red",$M49="◧ Amber"),$L49=""),1,0)</f>
        <v/>
      </c>
      <c r="AE49" s="31">
        <f>$AA49+$AB49+IF($AC49&gt;0,1,0)+$AD49</f>
        <v/>
      </c>
      <c r="AJ49" s="14" t="n"/>
      <c r="AK49" s="29" t="n"/>
      <c r="AL49" s="31">
        <f>IF(AND($Q49=1,$Z49=1),1,0)</f>
        <v/>
      </c>
      <c r="AM49" s="31">
        <f>IF(AND($AL49=1,$AJ49&lt;&gt;""),MAX(0,TODAY()-$AJ49),"")</f>
        <v/>
      </c>
      <c r="AN49" s="31">
        <f>IF(OR($AL49=0,COUNT($AJ$6:$AJ$305)=0),0,IF($AJ49="",1,IF(TODAY()-$AJ49&gt;Board!$B$40,1,0)))</f>
        <v/>
      </c>
      <c r="AO49" s="31">
        <f>IF($AL49=0,0,IF($M49="■ Red",3,IF($M49="◧ Amber",2,IF($M49="□ On track",1,0))))</f>
        <v/>
      </c>
      <c r="AP49" s="31">
        <f>IF($AL49=0,0,IF($AK49="Will not hold",3,IF($AK49="At risk",2,IF($AK49="Will hold",1,0))))</f>
        <v/>
      </c>
      <c r="AQ49" s="31">
        <f>IF($AL49=0,"",IF($AO49=3,0,IF($AO49=2,1,IF(AND($AP49&gt;=2,$AP49&gt;$AO49),2,""))))</f>
        <v/>
      </c>
      <c r="AR49" s="31">
        <f>IF($AQ49="","",$AQ49*1000+49)</f>
        <v/>
      </c>
      <c r="AS49" s="31">
        <f>IF(AND($AL49=1,$AO49&gt;=2,$AP49&gt;=1,$AP49&lt;$AO49),1,0)</f>
        <v/>
      </c>
      <c r="AT49" s="31">
        <f>IF(AND($AL49=1,$AO49&gt;=2,$AP49=0),1,0)</f>
        <v/>
      </c>
      <c r="AU49" s="31">
        <f>IF(AND($AL49=1,$U49&lt;&gt;"",$U49&lt;TODAY()),1,0)</f>
        <v/>
      </c>
      <c r="AV49" s="31">
        <f>IF(OR($A49="",$AJ49="",Portfolio!$B$10=""),0,IF($AJ49&lt;=Portfolio!$B$10,0,IF(AND($D49="Completed",$Z49=1),1,IF(AND($D49="Terminated",$Z49=1),2,IF(AND($Q49=1,$Z49=0),3,0)))))</f>
        <v/>
      </c>
      <c r="AW49" s="31">
        <f>IF($AV49&gt;0,COUNTIF($AV$6:$AV49,"&gt;0"),"")</f>
        <v/>
      </c>
      <c r="AX49" s="31">
        <f>IF($AL49=0,"",IF(AND($B49="Project",$H49&lt;&gt;"",$H49&lt;TODAY()),"Planned finish "&amp;TEXT($H49,"d mmm")&amp;" has passed",IF($X49&gt;=2,(NETWORKDAYS($H49,$U49)-1)&amp;" working days past plan","")))</f>
        <v/>
      </c>
      <c r="AY49" s="31">
        <f>IF($AL49=0,"",IF($Y49&gt;=2,"Over budget by "&amp;TEXT(IF($B49="Program",$V49,$J49)-$K49,"#,##0"),""))</f>
        <v/>
      </c>
      <c r="AZ49" s="31">
        <f>IF(AND($AL49=1,$U49&lt;&gt;""),IF(AND(N($U49)&gt;=TODAY(),N($U49)&lt;=TODAY()+Board!$B$41),1,0),0)</f>
        <v/>
      </c>
    </row>
    <row r="50">
      <c r="A50" s="29" t="n"/>
      <c r="B50" s="29" t="n"/>
      <c r="C50" s="29" t="n"/>
      <c r="D50" s="29" t="n"/>
      <c r="E50" s="29" t="n"/>
      <c r="F50" s="29" t="n"/>
      <c r="G50" s="29" t="n"/>
      <c r="H50" s="30" t="n"/>
      <c r="I50" s="30" t="n"/>
      <c r="J50" s="19" t="n"/>
      <c r="K50" s="19" t="n"/>
      <c r="L50" s="26" t="n"/>
      <c r="M50" s="31">
        <f>IF($A50="","",IF($D50="","Not read",IF($Q50=0,"Not counted",IF(MAX($X50,$Y50)=3,"■ Red",IF(MAX($X50,$Y50)=2,"◧ Amber",IF(MAX($X50,$Y50)=1,"□ On track","Not read"))))))</f>
        <v/>
      </c>
      <c r="N50" s="31">
        <f>IF(OR($A50="",$B50&lt;&gt;"Program"),"","■ "&amp;COUNTIFS($C$6:$C$305,$A50,$M$6:$M$305,"■ Red")&amp;" Red, ◧ "&amp;COUNTIFS($C$6:$C$305,$A50,$M$6:$M$305,"◧ Amber")&amp;" Amber")</f>
        <v/>
      </c>
      <c r="O50" s="32">
        <f>IF(OR($A50="",$E50=""),"",COUNTIFS($E$6:$E$305,$E50,$D$6:$D$305,"Active")+COUNTIFS($E$6:$E$305,$E50,$D$6:$D$305,"Paused"))</f>
        <v/>
      </c>
      <c r="P50" s="31">
        <f>IF($A50="","",IF($AE50=0,"○ Clear",IF($AA50=1,"△ No owner",IF($AC50=1,"△ Check Sits under",IF($AC50=2,"△ Outside the portfolio",IF($AB50=1,"△ No sponsor","△ No variance note"))))&amp;IF($AE50&gt;1," (+"&amp;($AE50-1)&amp;" more)","")))</f>
        <v/>
      </c>
      <c r="Q50" s="31">
        <f>IF(AND($A50&lt;&gt;"",OR($D50="Active",$D50="Paused")),1,0)</f>
        <v/>
      </c>
      <c r="R50" s="31">
        <f>IFERROR(INDEX($A$6:$A$305,MATCH(43,$S$6:$S$305,0)),"")</f>
        <v/>
      </c>
      <c r="S50" s="31">
        <f>IF(AND($A50&lt;&gt;"",$B50="Program"),COUNTIFS($B$6:$B50,"Program",$A$6:$A50,"&lt;&gt;"),"")</f>
        <v/>
      </c>
      <c r="T50" s="33">
        <f>IF(AND($A50&lt;&gt;"",$B50="Program"),SUMPRODUCT(MAX(($C$6:$C$305=$A50)*($B$6:$B$305="Project")*($D$6:$D$305&lt;&gt;"Proposed")*$I$6:$I$305)),0)</f>
        <v/>
      </c>
      <c r="U50" s="33">
        <f>IF($I50&lt;&gt;"",$I50,IF($T50&gt;0,$T50,""))</f>
        <v/>
      </c>
      <c r="V50" s="31">
        <f>IF(AND($A50&lt;&gt;"",$B50="Program"),SUMIFS($J$6:$J$305,$C$6:$C$305,$A50,$B$6:$B$305,"Project",$D$6:$D$305,"&lt;&gt;Proposed"),0)</f>
        <v/>
      </c>
      <c r="W50" s="31">
        <f>IF(AND($A50&lt;&gt;"",$B50="Program"),COUNTIFS($C$6:$C$305,$A50,$B$6:$B$305,"Project",$D$6:$D$305,"&lt;&gt;Proposed")-COUNTIFS($C$6:$C$305,$A50,$B$6:$B$305,"Project",$D$6:$D$305,"&lt;&gt;Proposed",$J$6:$J$305,"&gt;=0"),0)</f>
        <v/>
      </c>
      <c r="X50" s="31">
        <f>IF(OR($Q50=0,$H50=""),0,IF(AND($B50="Project",$H50&lt;TODAY()),3,IF($U50="",0,IF($U50&lt;=$H50,1,IF(NETWORKDAYS($H50,$U50)-1&gt;IF($B50="Program",Portfolio!$B$16,Portfolio!$B$15),3,2)))))</f>
        <v/>
      </c>
      <c r="Y50" s="31">
        <f>IF(OR($Q50=0,$K50="",$K50=0),0,IF(AND($B50="Project",$J50=""),0,IF(IF($B50="Program",$V50,$J50)&gt;$K50*(1+Portfolio!$B$17),3,IF(IF($B50="Program",$V50,$J50)&gt;$K50,2,IF(AND($B50="Program",OR($W50&gt;0,$V50=0)),0,1)))))</f>
        <v/>
      </c>
      <c r="Z50" s="31">
        <f>IF($A50="",0,IF($C50="Portfolio",1,IF(AND($B50="Project",$C50&lt;&gt;"",$C50&lt;&gt;"Outside the portfolio"),IFERROR(IF(AND(INDEX($B$6:$B$305,MATCH($C50,$A$6:$A$305,0))="Program",INDEX($C$6:$C$305,MATCH($C50,$A$6:$A$305,0))="Portfolio"),1,0),0),0)))</f>
        <v/>
      </c>
      <c r="AA50" s="31">
        <f>IF(AND($A50&lt;&gt;"",$E50="",OR($Q50=1,$D50="Proposed")),1,0)</f>
        <v/>
      </c>
      <c r="AB50" s="31">
        <f>IF(AND($A50&lt;&gt;"",$B50="Program",$F50="",$Q50=1),1,0)</f>
        <v/>
      </c>
      <c r="AC50" s="31">
        <f>IF(OR($A50="",$D50="Completed",$D50="Terminated"),0,IF($C50="",1,IF($C50="Portfolio",0,IF($C50="Outside the portfolio",IF($Q50=1,2,0),IF($B50="Project",IF(IFERROR(INDEX($B$6:$B$305,MATCH($C50,$A$6:$A$305,0)),"")="Program",0,1),1)))))</f>
        <v/>
      </c>
      <c r="AD50" s="31">
        <f>IF(AND($A50&lt;&gt;"",OR($M50="■ Red",$M50="◧ Amber"),$L50=""),1,0)</f>
        <v/>
      </c>
      <c r="AE50" s="31">
        <f>$AA50+$AB50+IF($AC50&gt;0,1,0)+$AD50</f>
        <v/>
      </c>
      <c r="AJ50" s="14" t="n"/>
      <c r="AK50" s="29" t="n"/>
      <c r="AL50" s="31">
        <f>IF(AND($Q50=1,$Z50=1),1,0)</f>
        <v/>
      </c>
      <c r="AM50" s="31">
        <f>IF(AND($AL50=1,$AJ50&lt;&gt;""),MAX(0,TODAY()-$AJ50),"")</f>
        <v/>
      </c>
      <c r="AN50" s="31">
        <f>IF(OR($AL50=0,COUNT($AJ$6:$AJ$305)=0),0,IF($AJ50="",1,IF(TODAY()-$AJ50&gt;Board!$B$40,1,0)))</f>
        <v/>
      </c>
      <c r="AO50" s="31">
        <f>IF($AL50=0,0,IF($M50="■ Red",3,IF($M50="◧ Amber",2,IF($M50="□ On track",1,0))))</f>
        <v/>
      </c>
      <c r="AP50" s="31">
        <f>IF($AL50=0,0,IF($AK50="Will not hold",3,IF($AK50="At risk",2,IF($AK50="Will hold",1,0))))</f>
        <v/>
      </c>
      <c r="AQ50" s="31">
        <f>IF($AL50=0,"",IF($AO50=3,0,IF($AO50=2,1,IF(AND($AP50&gt;=2,$AP50&gt;$AO50),2,""))))</f>
        <v/>
      </c>
      <c r="AR50" s="31">
        <f>IF($AQ50="","",$AQ50*1000+50)</f>
        <v/>
      </c>
      <c r="AS50" s="31">
        <f>IF(AND($AL50=1,$AO50&gt;=2,$AP50&gt;=1,$AP50&lt;$AO50),1,0)</f>
        <v/>
      </c>
      <c r="AT50" s="31">
        <f>IF(AND($AL50=1,$AO50&gt;=2,$AP50=0),1,0)</f>
        <v/>
      </c>
      <c r="AU50" s="31">
        <f>IF(AND($AL50=1,$U50&lt;&gt;"",$U50&lt;TODAY()),1,0)</f>
        <v/>
      </c>
      <c r="AV50" s="31">
        <f>IF(OR($A50="",$AJ50="",Portfolio!$B$10=""),0,IF($AJ50&lt;=Portfolio!$B$10,0,IF(AND($D50="Completed",$Z50=1),1,IF(AND($D50="Terminated",$Z50=1),2,IF(AND($Q50=1,$Z50=0),3,0)))))</f>
        <v/>
      </c>
      <c r="AW50" s="31">
        <f>IF($AV50&gt;0,COUNTIF($AV$6:$AV50,"&gt;0"),"")</f>
        <v/>
      </c>
      <c r="AX50" s="31">
        <f>IF($AL50=0,"",IF(AND($B50="Project",$H50&lt;&gt;"",$H50&lt;TODAY()),"Planned finish "&amp;TEXT($H50,"d mmm")&amp;" has passed",IF($X50&gt;=2,(NETWORKDAYS($H50,$U50)-1)&amp;" working days past plan","")))</f>
        <v/>
      </c>
      <c r="AY50" s="31">
        <f>IF($AL50=0,"",IF($Y50&gt;=2,"Over budget by "&amp;TEXT(IF($B50="Program",$V50,$J50)-$K50,"#,##0"),""))</f>
        <v/>
      </c>
      <c r="AZ50" s="31">
        <f>IF(AND($AL50=1,$U50&lt;&gt;""),IF(AND(N($U50)&gt;=TODAY(),N($U50)&lt;=TODAY()+Board!$B$41),1,0),0)</f>
        <v/>
      </c>
    </row>
    <row r="51">
      <c r="A51" s="29" t="n"/>
      <c r="B51" s="29" t="n"/>
      <c r="C51" s="29" t="n"/>
      <c r="D51" s="29" t="n"/>
      <c r="E51" s="29" t="n"/>
      <c r="F51" s="29" t="n"/>
      <c r="G51" s="29" t="n"/>
      <c r="H51" s="30" t="n"/>
      <c r="I51" s="30" t="n"/>
      <c r="J51" s="19" t="n"/>
      <c r="K51" s="19" t="n"/>
      <c r="L51" s="26" t="n"/>
      <c r="M51" s="31">
        <f>IF($A51="","",IF($D51="","Not read",IF($Q51=0,"Not counted",IF(MAX($X51,$Y51)=3,"■ Red",IF(MAX($X51,$Y51)=2,"◧ Amber",IF(MAX($X51,$Y51)=1,"□ On track","Not read"))))))</f>
        <v/>
      </c>
      <c r="N51" s="31">
        <f>IF(OR($A51="",$B51&lt;&gt;"Program"),"","■ "&amp;COUNTIFS($C$6:$C$305,$A51,$M$6:$M$305,"■ Red")&amp;" Red, ◧ "&amp;COUNTIFS($C$6:$C$305,$A51,$M$6:$M$305,"◧ Amber")&amp;" Amber")</f>
        <v/>
      </c>
      <c r="O51" s="32">
        <f>IF(OR($A51="",$E51=""),"",COUNTIFS($E$6:$E$305,$E51,$D$6:$D$305,"Active")+COUNTIFS($E$6:$E$305,$E51,$D$6:$D$305,"Paused"))</f>
        <v/>
      </c>
      <c r="P51" s="31">
        <f>IF($A51="","",IF($AE51=0,"○ Clear",IF($AA51=1,"△ No owner",IF($AC51=1,"△ Check Sits under",IF($AC51=2,"△ Outside the portfolio",IF($AB51=1,"△ No sponsor","△ No variance note"))))&amp;IF($AE51&gt;1," (+"&amp;($AE51-1)&amp;" more)","")))</f>
        <v/>
      </c>
      <c r="Q51" s="31">
        <f>IF(AND($A51&lt;&gt;"",OR($D51="Active",$D51="Paused")),1,0)</f>
        <v/>
      </c>
      <c r="R51" s="31">
        <f>IFERROR(INDEX($A$6:$A$305,MATCH(44,$S$6:$S$305,0)),"")</f>
        <v/>
      </c>
      <c r="S51" s="31">
        <f>IF(AND($A51&lt;&gt;"",$B51="Program"),COUNTIFS($B$6:$B51,"Program",$A$6:$A51,"&lt;&gt;"),"")</f>
        <v/>
      </c>
      <c r="T51" s="33">
        <f>IF(AND($A51&lt;&gt;"",$B51="Program"),SUMPRODUCT(MAX(($C$6:$C$305=$A51)*($B$6:$B$305="Project")*($D$6:$D$305&lt;&gt;"Proposed")*$I$6:$I$305)),0)</f>
        <v/>
      </c>
      <c r="U51" s="33">
        <f>IF($I51&lt;&gt;"",$I51,IF($T51&gt;0,$T51,""))</f>
        <v/>
      </c>
      <c r="V51" s="31">
        <f>IF(AND($A51&lt;&gt;"",$B51="Program"),SUMIFS($J$6:$J$305,$C$6:$C$305,$A51,$B$6:$B$305,"Project",$D$6:$D$305,"&lt;&gt;Proposed"),0)</f>
        <v/>
      </c>
      <c r="W51" s="31">
        <f>IF(AND($A51&lt;&gt;"",$B51="Program"),COUNTIFS($C$6:$C$305,$A51,$B$6:$B$305,"Project",$D$6:$D$305,"&lt;&gt;Proposed")-COUNTIFS($C$6:$C$305,$A51,$B$6:$B$305,"Project",$D$6:$D$305,"&lt;&gt;Proposed",$J$6:$J$305,"&gt;=0"),0)</f>
        <v/>
      </c>
      <c r="X51" s="31">
        <f>IF(OR($Q51=0,$H51=""),0,IF(AND($B51="Project",$H51&lt;TODAY()),3,IF($U51="",0,IF($U51&lt;=$H51,1,IF(NETWORKDAYS($H51,$U51)-1&gt;IF($B51="Program",Portfolio!$B$16,Portfolio!$B$15),3,2)))))</f>
        <v/>
      </c>
      <c r="Y51" s="31">
        <f>IF(OR($Q51=0,$K51="",$K51=0),0,IF(AND($B51="Project",$J51=""),0,IF(IF($B51="Program",$V51,$J51)&gt;$K51*(1+Portfolio!$B$17),3,IF(IF($B51="Program",$V51,$J51)&gt;$K51,2,IF(AND($B51="Program",OR($W51&gt;0,$V51=0)),0,1)))))</f>
        <v/>
      </c>
      <c r="Z51" s="31">
        <f>IF($A51="",0,IF($C51="Portfolio",1,IF(AND($B51="Project",$C51&lt;&gt;"",$C51&lt;&gt;"Outside the portfolio"),IFERROR(IF(AND(INDEX($B$6:$B$305,MATCH($C51,$A$6:$A$305,0))="Program",INDEX($C$6:$C$305,MATCH($C51,$A$6:$A$305,0))="Portfolio"),1,0),0),0)))</f>
        <v/>
      </c>
      <c r="AA51" s="31">
        <f>IF(AND($A51&lt;&gt;"",$E51="",OR($Q51=1,$D51="Proposed")),1,0)</f>
        <v/>
      </c>
      <c r="AB51" s="31">
        <f>IF(AND($A51&lt;&gt;"",$B51="Program",$F51="",$Q51=1),1,0)</f>
        <v/>
      </c>
      <c r="AC51" s="31">
        <f>IF(OR($A51="",$D51="Completed",$D51="Terminated"),0,IF($C51="",1,IF($C51="Portfolio",0,IF($C51="Outside the portfolio",IF($Q51=1,2,0),IF($B51="Project",IF(IFERROR(INDEX($B$6:$B$305,MATCH($C51,$A$6:$A$305,0)),"")="Program",0,1),1)))))</f>
        <v/>
      </c>
      <c r="AD51" s="31">
        <f>IF(AND($A51&lt;&gt;"",OR($M51="■ Red",$M51="◧ Amber"),$L51=""),1,0)</f>
        <v/>
      </c>
      <c r="AE51" s="31">
        <f>$AA51+$AB51+IF($AC51&gt;0,1,0)+$AD51</f>
        <v/>
      </c>
      <c r="AJ51" s="14" t="n"/>
      <c r="AK51" s="29" t="n"/>
      <c r="AL51" s="31">
        <f>IF(AND($Q51=1,$Z51=1),1,0)</f>
        <v/>
      </c>
      <c r="AM51" s="31">
        <f>IF(AND($AL51=1,$AJ51&lt;&gt;""),MAX(0,TODAY()-$AJ51),"")</f>
        <v/>
      </c>
      <c r="AN51" s="31">
        <f>IF(OR($AL51=0,COUNT($AJ$6:$AJ$305)=0),0,IF($AJ51="",1,IF(TODAY()-$AJ51&gt;Board!$B$40,1,0)))</f>
        <v/>
      </c>
      <c r="AO51" s="31">
        <f>IF($AL51=0,0,IF($M51="■ Red",3,IF($M51="◧ Amber",2,IF($M51="□ On track",1,0))))</f>
        <v/>
      </c>
      <c r="AP51" s="31">
        <f>IF($AL51=0,0,IF($AK51="Will not hold",3,IF($AK51="At risk",2,IF($AK51="Will hold",1,0))))</f>
        <v/>
      </c>
      <c r="AQ51" s="31">
        <f>IF($AL51=0,"",IF($AO51=3,0,IF($AO51=2,1,IF(AND($AP51&gt;=2,$AP51&gt;$AO51),2,""))))</f>
        <v/>
      </c>
      <c r="AR51" s="31">
        <f>IF($AQ51="","",$AQ51*1000+51)</f>
        <v/>
      </c>
      <c r="AS51" s="31">
        <f>IF(AND($AL51=1,$AO51&gt;=2,$AP51&gt;=1,$AP51&lt;$AO51),1,0)</f>
        <v/>
      </c>
      <c r="AT51" s="31">
        <f>IF(AND($AL51=1,$AO51&gt;=2,$AP51=0),1,0)</f>
        <v/>
      </c>
      <c r="AU51" s="31">
        <f>IF(AND($AL51=1,$U51&lt;&gt;"",$U51&lt;TODAY()),1,0)</f>
        <v/>
      </c>
      <c r="AV51" s="31">
        <f>IF(OR($A51="",$AJ51="",Portfolio!$B$10=""),0,IF($AJ51&lt;=Portfolio!$B$10,0,IF(AND($D51="Completed",$Z51=1),1,IF(AND($D51="Terminated",$Z51=1),2,IF(AND($Q51=1,$Z51=0),3,0)))))</f>
        <v/>
      </c>
      <c r="AW51" s="31">
        <f>IF($AV51&gt;0,COUNTIF($AV$6:$AV51,"&gt;0"),"")</f>
        <v/>
      </c>
      <c r="AX51" s="31">
        <f>IF($AL51=0,"",IF(AND($B51="Project",$H51&lt;&gt;"",$H51&lt;TODAY()),"Planned finish "&amp;TEXT($H51,"d mmm")&amp;" has passed",IF($X51&gt;=2,(NETWORKDAYS($H51,$U51)-1)&amp;" working days past plan","")))</f>
        <v/>
      </c>
      <c r="AY51" s="31">
        <f>IF($AL51=0,"",IF($Y51&gt;=2,"Over budget by "&amp;TEXT(IF($B51="Program",$V51,$J51)-$K51,"#,##0"),""))</f>
        <v/>
      </c>
      <c r="AZ51" s="31">
        <f>IF(AND($AL51=1,$U51&lt;&gt;""),IF(AND(N($U51)&gt;=TODAY(),N($U51)&lt;=TODAY()+Board!$B$41),1,0),0)</f>
        <v/>
      </c>
    </row>
    <row r="52">
      <c r="A52" s="29" t="n"/>
      <c r="B52" s="29" t="n"/>
      <c r="C52" s="29" t="n"/>
      <c r="D52" s="29" t="n"/>
      <c r="E52" s="29" t="n"/>
      <c r="F52" s="29" t="n"/>
      <c r="G52" s="29" t="n"/>
      <c r="H52" s="30" t="n"/>
      <c r="I52" s="30" t="n"/>
      <c r="J52" s="19" t="n"/>
      <c r="K52" s="19" t="n"/>
      <c r="L52" s="26" t="n"/>
      <c r="M52" s="31">
        <f>IF($A52="","",IF($D52="","Not read",IF($Q52=0,"Not counted",IF(MAX($X52,$Y52)=3,"■ Red",IF(MAX($X52,$Y52)=2,"◧ Amber",IF(MAX($X52,$Y52)=1,"□ On track","Not read"))))))</f>
        <v/>
      </c>
      <c r="N52" s="31">
        <f>IF(OR($A52="",$B52&lt;&gt;"Program"),"","■ "&amp;COUNTIFS($C$6:$C$305,$A52,$M$6:$M$305,"■ Red")&amp;" Red, ◧ "&amp;COUNTIFS($C$6:$C$305,$A52,$M$6:$M$305,"◧ Amber")&amp;" Amber")</f>
        <v/>
      </c>
      <c r="O52" s="32">
        <f>IF(OR($A52="",$E52=""),"",COUNTIFS($E$6:$E$305,$E52,$D$6:$D$305,"Active")+COUNTIFS($E$6:$E$305,$E52,$D$6:$D$305,"Paused"))</f>
        <v/>
      </c>
      <c r="P52" s="31">
        <f>IF($A52="","",IF($AE52=0,"○ Clear",IF($AA52=1,"△ No owner",IF($AC52=1,"△ Check Sits under",IF($AC52=2,"△ Outside the portfolio",IF($AB52=1,"△ No sponsor","△ No variance note"))))&amp;IF($AE52&gt;1," (+"&amp;($AE52-1)&amp;" more)","")))</f>
        <v/>
      </c>
      <c r="Q52" s="31">
        <f>IF(AND($A52&lt;&gt;"",OR($D52="Active",$D52="Paused")),1,0)</f>
        <v/>
      </c>
      <c r="R52" s="31">
        <f>IFERROR(INDEX($A$6:$A$305,MATCH(45,$S$6:$S$305,0)),"")</f>
        <v/>
      </c>
      <c r="S52" s="31">
        <f>IF(AND($A52&lt;&gt;"",$B52="Program"),COUNTIFS($B$6:$B52,"Program",$A$6:$A52,"&lt;&gt;"),"")</f>
        <v/>
      </c>
      <c r="T52" s="33">
        <f>IF(AND($A52&lt;&gt;"",$B52="Program"),SUMPRODUCT(MAX(($C$6:$C$305=$A52)*($B$6:$B$305="Project")*($D$6:$D$305&lt;&gt;"Proposed")*$I$6:$I$305)),0)</f>
        <v/>
      </c>
      <c r="U52" s="33">
        <f>IF($I52&lt;&gt;"",$I52,IF($T52&gt;0,$T52,""))</f>
        <v/>
      </c>
      <c r="V52" s="31">
        <f>IF(AND($A52&lt;&gt;"",$B52="Program"),SUMIFS($J$6:$J$305,$C$6:$C$305,$A52,$B$6:$B$305,"Project",$D$6:$D$305,"&lt;&gt;Proposed"),0)</f>
        <v/>
      </c>
      <c r="W52" s="31">
        <f>IF(AND($A52&lt;&gt;"",$B52="Program"),COUNTIFS($C$6:$C$305,$A52,$B$6:$B$305,"Project",$D$6:$D$305,"&lt;&gt;Proposed")-COUNTIFS($C$6:$C$305,$A52,$B$6:$B$305,"Project",$D$6:$D$305,"&lt;&gt;Proposed",$J$6:$J$305,"&gt;=0"),0)</f>
        <v/>
      </c>
      <c r="X52" s="31">
        <f>IF(OR($Q52=0,$H52=""),0,IF(AND($B52="Project",$H52&lt;TODAY()),3,IF($U52="",0,IF($U52&lt;=$H52,1,IF(NETWORKDAYS($H52,$U52)-1&gt;IF($B52="Program",Portfolio!$B$16,Portfolio!$B$15),3,2)))))</f>
        <v/>
      </c>
      <c r="Y52" s="31">
        <f>IF(OR($Q52=0,$K52="",$K52=0),0,IF(AND($B52="Project",$J52=""),0,IF(IF($B52="Program",$V52,$J52)&gt;$K52*(1+Portfolio!$B$17),3,IF(IF($B52="Program",$V52,$J52)&gt;$K52,2,IF(AND($B52="Program",OR($W52&gt;0,$V52=0)),0,1)))))</f>
        <v/>
      </c>
      <c r="Z52" s="31">
        <f>IF($A52="",0,IF($C52="Portfolio",1,IF(AND($B52="Project",$C52&lt;&gt;"",$C52&lt;&gt;"Outside the portfolio"),IFERROR(IF(AND(INDEX($B$6:$B$305,MATCH($C52,$A$6:$A$305,0))="Program",INDEX($C$6:$C$305,MATCH($C52,$A$6:$A$305,0))="Portfolio"),1,0),0),0)))</f>
        <v/>
      </c>
      <c r="AA52" s="31">
        <f>IF(AND($A52&lt;&gt;"",$E52="",OR($Q52=1,$D52="Proposed")),1,0)</f>
        <v/>
      </c>
      <c r="AB52" s="31">
        <f>IF(AND($A52&lt;&gt;"",$B52="Program",$F52="",$Q52=1),1,0)</f>
        <v/>
      </c>
      <c r="AC52" s="31">
        <f>IF(OR($A52="",$D52="Completed",$D52="Terminated"),0,IF($C52="",1,IF($C52="Portfolio",0,IF($C52="Outside the portfolio",IF($Q52=1,2,0),IF($B52="Project",IF(IFERROR(INDEX($B$6:$B$305,MATCH($C52,$A$6:$A$305,0)),"")="Program",0,1),1)))))</f>
        <v/>
      </c>
      <c r="AD52" s="31">
        <f>IF(AND($A52&lt;&gt;"",OR($M52="■ Red",$M52="◧ Amber"),$L52=""),1,0)</f>
        <v/>
      </c>
      <c r="AE52" s="31">
        <f>$AA52+$AB52+IF($AC52&gt;0,1,0)+$AD52</f>
        <v/>
      </c>
      <c r="AJ52" s="14" t="n"/>
      <c r="AK52" s="29" t="n"/>
      <c r="AL52" s="31">
        <f>IF(AND($Q52=1,$Z52=1),1,0)</f>
        <v/>
      </c>
      <c r="AM52" s="31">
        <f>IF(AND($AL52=1,$AJ52&lt;&gt;""),MAX(0,TODAY()-$AJ52),"")</f>
        <v/>
      </c>
      <c r="AN52" s="31">
        <f>IF(OR($AL52=0,COUNT($AJ$6:$AJ$305)=0),0,IF($AJ52="",1,IF(TODAY()-$AJ52&gt;Board!$B$40,1,0)))</f>
        <v/>
      </c>
      <c r="AO52" s="31">
        <f>IF($AL52=0,0,IF($M52="■ Red",3,IF($M52="◧ Amber",2,IF($M52="□ On track",1,0))))</f>
        <v/>
      </c>
      <c r="AP52" s="31">
        <f>IF($AL52=0,0,IF($AK52="Will not hold",3,IF($AK52="At risk",2,IF($AK52="Will hold",1,0))))</f>
        <v/>
      </c>
      <c r="AQ52" s="31">
        <f>IF($AL52=0,"",IF($AO52=3,0,IF($AO52=2,1,IF(AND($AP52&gt;=2,$AP52&gt;$AO52),2,""))))</f>
        <v/>
      </c>
      <c r="AR52" s="31">
        <f>IF($AQ52="","",$AQ52*1000+52)</f>
        <v/>
      </c>
      <c r="AS52" s="31">
        <f>IF(AND($AL52=1,$AO52&gt;=2,$AP52&gt;=1,$AP52&lt;$AO52),1,0)</f>
        <v/>
      </c>
      <c r="AT52" s="31">
        <f>IF(AND($AL52=1,$AO52&gt;=2,$AP52=0),1,0)</f>
        <v/>
      </c>
      <c r="AU52" s="31">
        <f>IF(AND($AL52=1,$U52&lt;&gt;"",$U52&lt;TODAY()),1,0)</f>
        <v/>
      </c>
      <c r="AV52" s="31">
        <f>IF(OR($A52="",$AJ52="",Portfolio!$B$10=""),0,IF($AJ52&lt;=Portfolio!$B$10,0,IF(AND($D52="Completed",$Z52=1),1,IF(AND($D52="Terminated",$Z52=1),2,IF(AND($Q52=1,$Z52=0),3,0)))))</f>
        <v/>
      </c>
      <c r="AW52" s="31">
        <f>IF($AV52&gt;0,COUNTIF($AV$6:$AV52,"&gt;0"),"")</f>
        <v/>
      </c>
      <c r="AX52" s="31">
        <f>IF($AL52=0,"",IF(AND($B52="Project",$H52&lt;&gt;"",$H52&lt;TODAY()),"Planned finish "&amp;TEXT($H52,"d mmm")&amp;" has passed",IF($X52&gt;=2,(NETWORKDAYS($H52,$U52)-1)&amp;" working days past plan","")))</f>
        <v/>
      </c>
      <c r="AY52" s="31">
        <f>IF($AL52=0,"",IF($Y52&gt;=2,"Over budget by "&amp;TEXT(IF($B52="Program",$V52,$J52)-$K52,"#,##0"),""))</f>
        <v/>
      </c>
      <c r="AZ52" s="31">
        <f>IF(AND($AL52=1,$U52&lt;&gt;""),IF(AND(N($U52)&gt;=TODAY(),N($U52)&lt;=TODAY()+Board!$B$41),1,0),0)</f>
        <v/>
      </c>
    </row>
    <row r="53">
      <c r="A53" s="29" t="n"/>
      <c r="B53" s="29" t="n"/>
      <c r="C53" s="29" t="n"/>
      <c r="D53" s="29" t="n"/>
      <c r="E53" s="29" t="n"/>
      <c r="F53" s="29" t="n"/>
      <c r="G53" s="29" t="n"/>
      <c r="H53" s="30" t="n"/>
      <c r="I53" s="30" t="n"/>
      <c r="J53" s="19" t="n"/>
      <c r="K53" s="19" t="n"/>
      <c r="L53" s="26" t="n"/>
      <c r="M53" s="31">
        <f>IF($A53="","",IF($D53="","Not read",IF($Q53=0,"Not counted",IF(MAX($X53,$Y53)=3,"■ Red",IF(MAX($X53,$Y53)=2,"◧ Amber",IF(MAX($X53,$Y53)=1,"□ On track","Not read"))))))</f>
        <v/>
      </c>
      <c r="N53" s="31">
        <f>IF(OR($A53="",$B53&lt;&gt;"Program"),"","■ "&amp;COUNTIFS($C$6:$C$305,$A53,$M$6:$M$305,"■ Red")&amp;" Red, ◧ "&amp;COUNTIFS($C$6:$C$305,$A53,$M$6:$M$305,"◧ Amber")&amp;" Amber")</f>
        <v/>
      </c>
      <c r="O53" s="32">
        <f>IF(OR($A53="",$E53=""),"",COUNTIFS($E$6:$E$305,$E53,$D$6:$D$305,"Active")+COUNTIFS($E$6:$E$305,$E53,$D$6:$D$305,"Paused"))</f>
        <v/>
      </c>
      <c r="P53" s="31">
        <f>IF($A53="","",IF($AE53=0,"○ Clear",IF($AA53=1,"△ No owner",IF($AC53=1,"△ Check Sits under",IF($AC53=2,"△ Outside the portfolio",IF($AB53=1,"△ No sponsor","△ No variance note"))))&amp;IF($AE53&gt;1," (+"&amp;($AE53-1)&amp;" more)","")))</f>
        <v/>
      </c>
      <c r="Q53" s="31">
        <f>IF(AND($A53&lt;&gt;"",OR($D53="Active",$D53="Paused")),1,0)</f>
        <v/>
      </c>
      <c r="R53" s="31">
        <f>IFERROR(INDEX($A$6:$A$305,MATCH(46,$S$6:$S$305,0)),"")</f>
        <v/>
      </c>
      <c r="S53" s="31">
        <f>IF(AND($A53&lt;&gt;"",$B53="Program"),COUNTIFS($B$6:$B53,"Program",$A$6:$A53,"&lt;&gt;"),"")</f>
        <v/>
      </c>
      <c r="T53" s="33">
        <f>IF(AND($A53&lt;&gt;"",$B53="Program"),SUMPRODUCT(MAX(($C$6:$C$305=$A53)*($B$6:$B$305="Project")*($D$6:$D$305&lt;&gt;"Proposed")*$I$6:$I$305)),0)</f>
        <v/>
      </c>
      <c r="U53" s="33">
        <f>IF($I53&lt;&gt;"",$I53,IF($T53&gt;0,$T53,""))</f>
        <v/>
      </c>
      <c r="V53" s="31">
        <f>IF(AND($A53&lt;&gt;"",$B53="Program"),SUMIFS($J$6:$J$305,$C$6:$C$305,$A53,$B$6:$B$305,"Project",$D$6:$D$305,"&lt;&gt;Proposed"),0)</f>
        <v/>
      </c>
      <c r="W53" s="31">
        <f>IF(AND($A53&lt;&gt;"",$B53="Program"),COUNTIFS($C$6:$C$305,$A53,$B$6:$B$305,"Project",$D$6:$D$305,"&lt;&gt;Proposed")-COUNTIFS($C$6:$C$305,$A53,$B$6:$B$305,"Project",$D$6:$D$305,"&lt;&gt;Proposed",$J$6:$J$305,"&gt;=0"),0)</f>
        <v/>
      </c>
      <c r="X53" s="31">
        <f>IF(OR($Q53=0,$H53=""),0,IF(AND($B53="Project",$H53&lt;TODAY()),3,IF($U53="",0,IF($U53&lt;=$H53,1,IF(NETWORKDAYS($H53,$U53)-1&gt;IF($B53="Program",Portfolio!$B$16,Portfolio!$B$15),3,2)))))</f>
        <v/>
      </c>
      <c r="Y53" s="31">
        <f>IF(OR($Q53=0,$K53="",$K53=0),0,IF(AND($B53="Project",$J53=""),0,IF(IF($B53="Program",$V53,$J53)&gt;$K53*(1+Portfolio!$B$17),3,IF(IF($B53="Program",$V53,$J53)&gt;$K53,2,IF(AND($B53="Program",OR($W53&gt;0,$V53=0)),0,1)))))</f>
        <v/>
      </c>
      <c r="Z53" s="31">
        <f>IF($A53="",0,IF($C53="Portfolio",1,IF(AND($B53="Project",$C53&lt;&gt;"",$C53&lt;&gt;"Outside the portfolio"),IFERROR(IF(AND(INDEX($B$6:$B$305,MATCH($C53,$A$6:$A$305,0))="Program",INDEX($C$6:$C$305,MATCH($C53,$A$6:$A$305,0))="Portfolio"),1,0),0),0)))</f>
        <v/>
      </c>
      <c r="AA53" s="31">
        <f>IF(AND($A53&lt;&gt;"",$E53="",OR($Q53=1,$D53="Proposed")),1,0)</f>
        <v/>
      </c>
      <c r="AB53" s="31">
        <f>IF(AND($A53&lt;&gt;"",$B53="Program",$F53="",$Q53=1),1,0)</f>
        <v/>
      </c>
      <c r="AC53" s="31">
        <f>IF(OR($A53="",$D53="Completed",$D53="Terminated"),0,IF($C53="",1,IF($C53="Portfolio",0,IF($C53="Outside the portfolio",IF($Q53=1,2,0),IF($B53="Project",IF(IFERROR(INDEX($B$6:$B$305,MATCH($C53,$A$6:$A$305,0)),"")="Program",0,1),1)))))</f>
        <v/>
      </c>
      <c r="AD53" s="31">
        <f>IF(AND($A53&lt;&gt;"",OR($M53="■ Red",$M53="◧ Amber"),$L53=""),1,0)</f>
        <v/>
      </c>
      <c r="AE53" s="31">
        <f>$AA53+$AB53+IF($AC53&gt;0,1,0)+$AD53</f>
        <v/>
      </c>
      <c r="AJ53" s="14" t="n"/>
      <c r="AK53" s="29" t="n"/>
      <c r="AL53" s="31">
        <f>IF(AND($Q53=1,$Z53=1),1,0)</f>
        <v/>
      </c>
      <c r="AM53" s="31">
        <f>IF(AND($AL53=1,$AJ53&lt;&gt;""),MAX(0,TODAY()-$AJ53),"")</f>
        <v/>
      </c>
      <c r="AN53" s="31">
        <f>IF(OR($AL53=0,COUNT($AJ$6:$AJ$305)=0),0,IF($AJ53="",1,IF(TODAY()-$AJ53&gt;Board!$B$40,1,0)))</f>
        <v/>
      </c>
      <c r="AO53" s="31">
        <f>IF($AL53=0,0,IF($M53="■ Red",3,IF($M53="◧ Amber",2,IF($M53="□ On track",1,0))))</f>
        <v/>
      </c>
      <c r="AP53" s="31">
        <f>IF($AL53=0,0,IF($AK53="Will not hold",3,IF($AK53="At risk",2,IF($AK53="Will hold",1,0))))</f>
        <v/>
      </c>
      <c r="AQ53" s="31">
        <f>IF($AL53=0,"",IF($AO53=3,0,IF($AO53=2,1,IF(AND($AP53&gt;=2,$AP53&gt;$AO53),2,""))))</f>
        <v/>
      </c>
      <c r="AR53" s="31">
        <f>IF($AQ53="","",$AQ53*1000+53)</f>
        <v/>
      </c>
      <c r="AS53" s="31">
        <f>IF(AND($AL53=1,$AO53&gt;=2,$AP53&gt;=1,$AP53&lt;$AO53),1,0)</f>
        <v/>
      </c>
      <c r="AT53" s="31">
        <f>IF(AND($AL53=1,$AO53&gt;=2,$AP53=0),1,0)</f>
        <v/>
      </c>
      <c r="AU53" s="31">
        <f>IF(AND($AL53=1,$U53&lt;&gt;"",$U53&lt;TODAY()),1,0)</f>
        <v/>
      </c>
      <c r="AV53" s="31">
        <f>IF(OR($A53="",$AJ53="",Portfolio!$B$10=""),0,IF($AJ53&lt;=Portfolio!$B$10,0,IF(AND($D53="Completed",$Z53=1),1,IF(AND($D53="Terminated",$Z53=1),2,IF(AND($Q53=1,$Z53=0),3,0)))))</f>
        <v/>
      </c>
      <c r="AW53" s="31">
        <f>IF($AV53&gt;0,COUNTIF($AV$6:$AV53,"&gt;0"),"")</f>
        <v/>
      </c>
      <c r="AX53" s="31">
        <f>IF($AL53=0,"",IF(AND($B53="Project",$H53&lt;&gt;"",$H53&lt;TODAY()),"Planned finish "&amp;TEXT($H53,"d mmm")&amp;" has passed",IF($X53&gt;=2,(NETWORKDAYS($H53,$U53)-1)&amp;" working days past plan","")))</f>
        <v/>
      </c>
      <c r="AY53" s="31">
        <f>IF($AL53=0,"",IF($Y53&gt;=2,"Over budget by "&amp;TEXT(IF($B53="Program",$V53,$J53)-$K53,"#,##0"),""))</f>
        <v/>
      </c>
      <c r="AZ53" s="31">
        <f>IF(AND($AL53=1,$U53&lt;&gt;""),IF(AND(N($U53)&gt;=TODAY(),N($U53)&lt;=TODAY()+Board!$B$41),1,0),0)</f>
        <v/>
      </c>
    </row>
    <row r="54">
      <c r="A54" s="29" t="n"/>
      <c r="B54" s="29" t="n"/>
      <c r="C54" s="29" t="n"/>
      <c r="D54" s="29" t="n"/>
      <c r="E54" s="29" t="n"/>
      <c r="F54" s="29" t="n"/>
      <c r="G54" s="29" t="n"/>
      <c r="H54" s="30" t="n"/>
      <c r="I54" s="30" t="n"/>
      <c r="J54" s="19" t="n"/>
      <c r="K54" s="19" t="n"/>
      <c r="L54" s="26" t="n"/>
      <c r="M54" s="31">
        <f>IF($A54="","",IF($D54="","Not read",IF($Q54=0,"Not counted",IF(MAX($X54,$Y54)=3,"■ Red",IF(MAX($X54,$Y54)=2,"◧ Amber",IF(MAX($X54,$Y54)=1,"□ On track","Not read"))))))</f>
        <v/>
      </c>
      <c r="N54" s="31">
        <f>IF(OR($A54="",$B54&lt;&gt;"Program"),"","■ "&amp;COUNTIFS($C$6:$C$305,$A54,$M$6:$M$305,"■ Red")&amp;" Red, ◧ "&amp;COUNTIFS($C$6:$C$305,$A54,$M$6:$M$305,"◧ Amber")&amp;" Amber")</f>
        <v/>
      </c>
      <c r="O54" s="32">
        <f>IF(OR($A54="",$E54=""),"",COUNTIFS($E$6:$E$305,$E54,$D$6:$D$305,"Active")+COUNTIFS($E$6:$E$305,$E54,$D$6:$D$305,"Paused"))</f>
        <v/>
      </c>
      <c r="P54" s="31">
        <f>IF($A54="","",IF($AE54=0,"○ Clear",IF($AA54=1,"△ No owner",IF($AC54=1,"△ Check Sits under",IF($AC54=2,"△ Outside the portfolio",IF($AB54=1,"△ No sponsor","△ No variance note"))))&amp;IF($AE54&gt;1," (+"&amp;($AE54-1)&amp;" more)","")))</f>
        <v/>
      </c>
      <c r="Q54" s="31">
        <f>IF(AND($A54&lt;&gt;"",OR($D54="Active",$D54="Paused")),1,0)</f>
        <v/>
      </c>
      <c r="R54" s="31">
        <f>IFERROR(INDEX($A$6:$A$305,MATCH(47,$S$6:$S$305,0)),"")</f>
        <v/>
      </c>
      <c r="S54" s="31">
        <f>IF(AND($A54&lt;&gt;"",$B54="Program"),COUNTIFS($B$6:$B54,"Program",$A$6:$A54,"&lt;&gt;"),"")</f>
        <v/>
      </c>
      <c r="T54" s="33">
        <f>IF(AND($A54&lt;&gt;"",$B54="Program"),SUMPRODUCT(MAX(($C$6:$C$305=$A54)*($B$6:$B$305="Project")*($D$6:$D$305&lt;&gt;"Proposed")*$I$6:$I$305)),0)</f>
        <v/>
      </c>
      <c r="U54" s="33">
        <f>IF($I54&lt;&gt;"",$I54,IF($T54&gt;0,$T54,""))</f>
        <v/>
      </c>
      <c r="V54" s="31">
        <f>IF(AND($A54&lt;&gt;"",$B54="Program"),SUMIFS($J$6:$J$305,$C$6:$C$305,$A54,$B$6:$B$305,"Project",$D$6:$D$305,"&lt;&gt;Proposed"),0)</f>
        <v/>
      </c>
      <c r="W54" s="31">
        <f>IF(AND($A54&lt;&gt;"",$B54="Program"),COUNTIFS($C$6:$C$305,$A54,$B$6:$B$305,"Project",$D$6:$D$305,"&lt;&gt;Proposed")-COUNTIFS($C$6:$C$305,$A54,$B$6:$B$305,"Project",$D$6:$D$305,"&lt;&gt;Proposed",$J$6:$J$305,"&gt;=0"),0)</f>
        <v/>
      </c>
      <c r="X54" s="31">
        <f>IF(OR($Q54=0,$H54=""),0,IF(AND($B54="Project",$H54&lt;TODAY()),3,IF($U54="",0,IF($U54&lt;=$H54,1,IF(NETWORKDAYS($H54,$U54)-1&gt;IF($B54="Program",Portfolio!$B$16,Portfolio!$B$15),3,2)))))</f>
        <v/>
      </c>
      <c r="Y54" s="31">
        <f>IF(OR($Q54=0,$K54="",$K54=0),0,IF(AND($B54="Project",$J54=""),0,IF(IF($B54="Program",$V54,$J54)&gt;$K54*(1+Portfolio!$B$17),3,IF(IF($B54="Program",$V54,$J54)&gt;$K54,2,IF(AND($B54="Program",OR($W54&gt;0,$V54=0)),0,1)))))</f>
        <v/>
      </c>
      <c r="Z54" s="31">
        <f>IF($A54="",0,IF($C54="Portfolio",1,IF(AND($B54="Project",$C54&lt;&gt;"",$C54&lt;&gt;"Outside the portfolio"),IFERROR(IF(AND(INDEX($B$6:$B$305,MATCH($C54,$A$6:$A$305,0))="Program",INDEX($C$6:$C$305,MATCH($C54,$A$6:$A$305,0))="Portfolio"),1,0),0),0)))</f>
        <v/>
      </c>
      <c r="AA54" s="31">
        <f>IF(AND($A54&lt;&gt;"",$E54="",OR($Q54=1,$D54="Proposed")),1,0)</f>
        <v/>
      </c>
      <c r="AB54" s="31">
        <f>IF(AND($A54&lt;&gt;"",$B54="Program",$F54="",$Q54=1),1,0)</f>
        <v/>
      </c>
      <c r="AC54" s="31">
        <f>IF(OR($A54="",$D54="Completed",$D54="Terminated"),0,IF($C54="",1,IF($C54="Portfolio",0,IF($C54="Outside the portfolio",IF($Q54=1,2,0),IF($B54="Project",IF(IFERROR(INDEX($B$6:$B$305,MATCH($C54,$A$6:$A$305,0)),"")="Program",0,1),1)))))</f>
        <v/>
      </c>
      <c r="AD54" s="31">
        <f>IF(AND($A54&lt;&gt;"",OR($M54="■ Red",$M54="◧ Amber"),$L54=""),1,0)</f>
        <v/>
      </c>
      <c r="AE54" s="31">
        <f>$AA54+$AB54+IF($AC54&gt;0,1,0)+$AD54</f>
        <v/>
      </c>
      <c r="AJ54" s="14" t="n"/>
      <c r="AK54" s="29" t="n"/>
      <c r="AL54" s="31">
        <f>IF(AND($Q54=1,$Z54=1),1,0)</f>
        <v/>
      </c>
      <c r="AM54" s="31">
        <f>IF(AND($AL54=1,$AJ54&lt;&gt;""),MAX(0,TODAY()-$AJ54),"")</f>
        <v/>
      </c>
      <c r="AN54" s="31">
        <f>IF(OR($AL54=0,COUNT($AJ$6:$AJ$305)=0),0,IF($AJ54="",1,IF(TODAY()-$AJ54&gt;Board!$B$40,1,0)))</f>
        <v/>
      </c>
      <c r="AO54" s="31">
        <f>IF($AL54=0,0,IF($M54="■ Red",3,IF($M54="◧ Amber",2,IF($M54="□ On track",1,0))))</f>
        <v/>
      </c>
      <c r="AP54" s="31">
        <f>IF($AL54=0,0,IF($AK54="Will not hold",3,IF($AK54="At risk",2,IF($AK54="Will hold",1,0))))</f>
        <v/>
      </c>
      <c r="AQ54" s="31">
        <f>IF($AL54=0,"",IF($AO54=3,0,IF($AO54=2,1,IF(AND($AP54&gt;=2,$AP54&gt;$AO54),2,""))))</f>
        <v/>
      </c>
      <c r="AR54" s="31">
        <f>IF($AQ54="","",$AQ54*1000+54)</f>
        <v/>
      </c>
      <c r="AS54" s="31">
        <f>IF(AND($AL54=1,$AO54&gt;=2,$AP54&gt;=1,$AP54&lt;$AO54),1,0)</f>
        <v/>
      </c>
      <c r="AT54" s="31">
        <f>IF(AND($AL54=1,$AO54&gt;=2,$AP54=0),1,0)</f>
        <v/>
      </c>
      <c r="AU54" s="31">
        <f>IF(AND($AL54=1,$U54&lt;&gt;"",$U54&lt;TODAY()),1,0)</f>
        <v/>
      </c>
      <c r="AV54" s="31">
        <f>IF(OR($A54="",$AJ54="",Portfolio!$B$10=""),0,IF($AJ54&lt;=Portfolio!$B$10,0,IF(AND($D54="Completed",$Z54=1),1,IF(AND($D54="Terminated",$Z54=1),2,IF(AND($Q54=1,$Z54=0),3,0)))))</f>
        <v/>
      </c>
      <c r="AW54" s="31">
        <f>IF($AV54&gt;0,COUNTIF($AV$6:$AV54,"&gt;0"),"")</f>
        <v/>
      </c>
      <c r="AX54" s="31">
        <f>IF($AL54=0,"",IF(AND($B54="Project",$H54&lt;&gt;"",$H54&lt;TODAY()),"Planned finish "&amp;TEXT($H54,"d mmm")&amp;" has passed",IF($X54&gt;=2,(NETWORKDAYS($H54,$U54)-1)&amp;" working days past plan","")))</f>
        <v/>
      </c>
      <c r="AY54" s="31">
        <f>IF($AL54=0,"",IF($Y54&gt;=2,"Over budget by "&amp;TEXT(IF($B54="Program",$V54,$J54)-$K54,"#,##0"),""))</f>
        <v/>
      </c>
      <c r="AZ54" s="31">
        <f>IF(AND($AL54=1,$U54&lt;&gt;""),IF(AND(N($U54)&gt;=TODAY(),N($U54)&lt;=TODAY()+Board!$B$41),1,0),0)</f>
        <v/>
      </c>
    </row>
    <row r="55">
      <c r="A55" s="29" t="n"/>
      <c r="B55" s="29" t="n"/>
      <c r="C55" s="29" t="n"/>
      <c r="D55" s="29" t="n"/>
      <c r="E55" s="29" t="n"/>
      <c r="F55" s="29" t="n"/>
      <c r="G55" s="29" t="n"/>
      <c r="H55" s="30" t="n"/>
      <c r="I55" s="30" t="n"/>
      <c r="J55" s="19" t="n"/>
      <c r="K55" s="19" t="n"/>
      <c r="L55" s="26" t="n"/>
      <c r="M55" s="31">
        <f>IF($A55="","",IF($D55="","Not read",IF($Q55=0,"Not counted",IF(MAX($X55,$Y55)=3,"■ Red",IF(MAX($X55,$Y55)=2,"◧ Amber",IF(MAX($X55,$Y55)=1,"□ On track","Not read"))))))</f>
        <v/>
      </c>
      <c r="N55" s="31">
        <f>IF(OR($A55="",$B55&lt;&gt;"Program"),"","■ "&amp;COUNTIFS($C$6:$C$305,$A55,$M$6:$M$305,"■ Red")&amp;" Red, ◧ "&amp;COUNTIFS($C$6:$C$305,$A55,$M$6:$M$305,"◧ Amber")&amp;" Amber")</f>
        <v/>
      </c>
      <c r="O55" s="32">
        <f>IF(OR($A55="",$E55=""),"",COUNTIFS($E$6:$E$305,$E55,$D$6:$D$305,"Active")+COUNTIFS($E$6:$E$305,$E55,$D$6:$D$305,"Paused"))</f>
        <v/>
      </c>
      <c r="P55" s="31">
        <f>IF($A55="","",IF($AE55=0,"○ Clear",IF($AA55=1,"△ No owner",IF($AC55=1,"△ Check Sits under",IF($AC55=2,"△ Outside the portfolio",IF($AB55=1,"△ No sponsor","△ No variance note"))))&amp;IF($AE55&gt;1," (+"&amp;($AE55-1)&amp;" more)","")))</f>
        <v/>
      </c>
      <c r="Q55" s="31">
        <f>IF(AND($A55&lt;&gt;"",OR($D55="Active",$D55="Paused")),1,0)</f>
        <v/>
      </c>
      <c r="R55" s="31">
        <f>IFERROR(INDEX($A$6:$A$305,MATCH(48,$S$6:$S$305,0)),"")</f>
        <v/>
      </c>
      <c r="S55" s="31">
        <f>IF(AND($A55&lt;&gt;"",$B55="Program"),COUNTIFS($B$6:$B55,"Program",$A$6:$A55,"&lt;&gt;"),"")</f>
        <v/>
      </c>
      <c r="T55" s="33">
        <f>IF(AND($A55&lt;&gt;"",$B55="Program"),SUMPRODUCT(MAX(($C$6:$C$305=$A55)*($B$6:$B$305="Project")*($D$6:$D$305&lt;&gt;"Proposed")*$I$6:$I$305)),0)</f>
        <v/>
      </c>
      <c r="U55" s="33">
        <f>IF($I55&lt;&gt;"",$I55,IF($T55&gt;0,$T55,""))</f>
        <v/>
      </c>
      <c r="V55" s="31">
        <f>IF(AND($A55&lt;&gt;"",$B55="Program"),SUMIFS($J$6:$J$305,$C$6:$C$305,$A55,$B$6:$B$305,"Project",$D$6:$D$305,"&lt;&gt;Proposed"),0)</f>
        <v/>
      </c>
      <c r="W55" s="31">
        <f>IF(AND($A55&lt;&gt;"",$B55="Program"),COUNTIFS($C$6:$C$305,$A55,$B$6:$B$305,"Project",$D$6:$D$305,"&lt;&gt;Proposed")-COUNTIFS($C$6:$C$305,$A55,$B$6:$B$305,"Project",$D$6:$D$305,"&lt;&gt;Proposed",$J$6:$J$305,"&gt;=0"),0)</f>
        <v/>
      </c>
      <c r="X55" s="31">
        <f>IF(OR($Q55=0,$H55=""),0,IF(AND($B55="Project",$H55&lt;TODAY()),3,IF($U55="",0,IF($U55&lt;=$H55,1,IF(NETWORKDAYS($H55,$U55)-1&gt;IF($B55="Program",Portfolio!$B$16,Portfolio!$B$15),3,2)))))</f>
        <v/>
      </c>
      <c r="Y55" s="31">
        <f>IF(OR($Q55=0,$K55="",$K55=0),0,IF(AND($B55="Project",$J55=""),0,IF(IF($B55="Program",$V55,$J55)&gt;$K55*(1+Portfolio!$B$17),3,IF(IF($B55="Program",$V55,$J55)&gt;$K55,2,IF(AND($B55="Program",OR($W55&gt;0,$V55=0)),0,1)))))</f>
        <v/>
      </c>
      <c r="Z55" s="31">
        <f>IF($A55="",0,IF($C55="Portfolio",1,IF(AND($B55="Project",$C55&lt;&gt;"",$C55&lt;&gt;"Outside the portfolio"),IFERROR(IF(AND(INDEX($B$6:$B$305,MATCH($C55,$A$6:$A$305,0))="Program",INDEX($C$6:$C$305,MATCH($C55,$A$6:$A$305,0))="Portfolio"),1,0),0),0)))</f>
        <v/>
      </c>
      <c r="AA55" s="31">
        <f>IF(AND($A55&lt;&gt;"",$E55="",OR($Q55=1,$D55="Proposed")),1,0)</f>
        <v/>
      </c>
      <c r="AB55" s="31">
        <f>IF(AND($A55&lt;&gt;"",$B55="Program",$F55="",$Q55=1),1,0)</f>
        <v/>
      </c>
      <c r="AC55" s="31">
        <f>IF(OR($A55="",$D55="Completed",$D55="Terminated"),0,IF($C55="",1,IF($C55="Portfolio",0,IF($C55="Outside the portfolio",IF($Q55=1,2,0),IF($B55="Project",IF(IFERROR(INDEX($B$6:$B$305,MATCH($C55,$A$6:$A$305,0)),"")="Program",0,1),1)))))</f>
        <v/>
      </c>
      <c r="AD55" s="31">
        <f>IF(AND($A55&lt;&gt;"",OR($M55="■ Red",$M55="◧ Amber"),$L55=""),1,0)</f>
        <v/>
      </c>
      <c r="AE55" s="31">
        <f>$AA55+$AB55+IF($AC55&gt;0,1,0)+$AD55</f>
        <v/>
      </c>
      <c r="AJ55" s="14" t="n"/>
      <c r="AK55" s="29" t="n"/>
      <c r="AL55" s="31">
        <f>IF(AND($Q55=1,$Z55=1),1,0)</f>
        <v/>
      </c>
      <c r="AM55" s="31">
        <f>IF(AND($AL55=1,$AJ55&lt;&gt;""),MAX(0,TODAY()-$AJ55),"")</f>
        <v/>
      </c>
      <c r="AN55" s="31">
        <f>IF(OR($AL55=0,COUNT($AJ$6:$AJ$305)=0),0,IF($AJ55="",1,IF(TODAY()-$AJ55&gt;Board!$B$40,1,0)))</f>
        <v/>
      </c>
      <c r="AO55" s="31">
        <f>IF($AL55=0,0,IF($M55="■ Red",3,IF($M55="◧ Amber",2,IF($M55="□ On track",1,0))))</f>
        <v/>
      </c>
      <c r="AP55" s="31">
        <f>IF($AL55=0,0,IF($AK55="Will not hold",3,IF($AK55="At risk",2,IF($AK55="Will hold",1,0))))</f>
        <v/>
      </c>
      <c r="AQ55" s="31">
        <f>IF($AL55=0,"",IF($AO55=3,0,IF($AO55=2,1,IF(AND($AP55&gt;=2,$AP55&gt;$AO55),2,""))))</f>
        <v/>
      </c>
      <c r="AR55" s="31">
        <f>IF($AQ55="","",$AQ55*1000+55)</f>
        <v/>
      </c>
      <c r="AS55" s="31">
        <f>IF(AND($AL55=1,$AO55&gt;=2,$AP55&gt;=1,$AP55&lt;$AO55),1,0)</f>
        <v/>
      </c>
      <c r="AT55" s="31">
        <f>IF(AND($AL55=1,$AO55&gt;=2,$AP55=0),1,0)</f>
        <v/>
      </c>
      <c r="AU55" s="31">
        <f>IF(AND($AL55=1,$U55&lt;&gt;"",$U55&lt;TODAY()),1,0)</f>
        <v/>
      </c>
      <c r="AV55" s="31">
        <f>IF(OR($A55="",$AJ55="",Portfolio!$B$10=""),0,IF($AJ55&lt;=Portfolio!$B$10,0,IF(AND($D55="Completed",$Z55=1),1,IF(AND($D55="Terminated",$Z55=1),2,IF(AND($Q55=1,$Z55=0),3,0)))))</f>
        <v/>
      </c>
      <c r="AW55" s="31">
        <f>IF($AV55&gt;0,COUNTIF($AV$6:$AV55,"&gt;0"),"")</f>
        <v/>
      </c>
      <c r="AX55" s="31">
        <f>IF($AL55=0,"",IF(AND($B55="Project",$H55&lt;&gt;"",$H55&lt;TODAY()),"Planned finish "&amp;TEXT($H55,"d mmm")&amp;" has passed",IF($X55&gt;=2,(NETWORKDAYS($H55,$U55)-1)&amp;" working days past plan","")))</f>
        <v/>
      </c>
      <c r="AY55" s="31">
        <f>IF($AL55=0,"",IF($Y55&gt;=2,"Over budget by "&amp;TEXT(IF($B55="Program",$V55,$J55)-$K55,"#,##0"),""))</f>
        <v/>
      </c>
      <c r="AZ55" s="31">
        <f>IF(AND($AL55=1,$U55&lt;&gt;""),IF(AND(N($U55)&gt;=TODAY(),N($U55)&lt;=TODAY()+Board!$B$41),1,0),0)</f>
        <v/>
      </c>
    </row>
    <row r="56">
      <c r="A56" s="29" t="n"/>
      <c r="B56" s="29" t="n"/>
      <c r="C56" s="29" t="n"/>
      <c r="D56" s="29" t="n"/>
      <c r="E56" s="29" t="n"/>
      <c r="F56" s="29" t="n"/>
      <c r="G56" s="29" t="n"/>
      <c r="H56" s="30" t="n"/>
      <c r="I56" s="30" t="n"/>
      <c r="J56" s="19" t="n"/>
      <c r="K56" s="19" t="n"/>
      <c r="L56" s="26" t="n"/>
      <c r="M56" s="31">
        <f>IF($A56="","",IF($D56="","Not read",IF($Q56=0,"Not counted",IF(MAX($X56,$Y56)=3,"■ Red",IF(MAX($X56,$Y56)=2,"◧ Amber",IF(MAX($X56,$Y56)=1,"□ On track","Not read"))))))</f>
        <v/>
      </c>
      <c r="N56" s="31">
        <f>IF(OR($A56="",$B56&lt;&gt;"Program"),"","■ "&amp;COUNTIFS($C$6:$C$305,$A56,$M$6:$M$305,"■ Red")&amp;" Red, ◧ "&amp;COUNTIFS($C$6:$C$305,$A56,$M$6:$M$305,"◧ Amber")&amp;" Amber")</f>
        <v/>
      </c>
      <c r="O56" s="32">
        <f>IF(OR($A56="",$E56=""),"",COUNTIFS($E$6:$E$305,$E56,$D$6:$D$305,"Active")+COUNTIFS($E$6:$E$305,$E56,$D$6:$D$305,"Paused"))</f>
        <v/>
      </c>
      <c r="P56" s="31">
        <f>IF($A56="","",IF($AE56=0,"○ Clear",IF($AA56=1,"△ No owner",IF($AC56=1,"△ Check Sits under",IF($AC56=2,"△ Outside the portfolio",IF($AB56=1,"△ No sponsor","△ No variance note"))))&amp;IF($AE56&gt;1," (+"&amp;($AE56-1)&amp;" more)","")))</f>
        <v/>
      </c>
      <c r="Q56" s="31">
        <f>IF(AND($A56&lt;&gt;"",OR($D56="Active",$D56="Paused")),1,0)</f>
        <v/>
      </c>
      <c r="R56" s="31">
        <f>IFERROR(INDEX($A$6:$A$305,MATCH(49,$S$6:$S$305,0)),"")</f>
        <v/>
      </c>
      <c r="S56" s="31">
        <f>IF(AND($A56&lt;&gt;"",$B56="Program"),COUNTIFS($B$6:$B56,"Program",$A$6:$A56,"&lt;&gt;"),"")</f>
        <v/>
      </c>
      <c r="T56" s="33">
        <f>IF(AND($A56&lt;&gt;"",$B56="Program"),SUMPRODUCT(MAX(($C$6:$C$305=$A56)*($B$6:$B$305="Project")*($D$6:$D$305&lt;&gt;"Proposed")*$I$6:$I$305)),0)</f>
        <v/>
      </c>
      <c r="U56" s="33">
        <f>IF($I56&lt;&gt;"",$I56,IF($T56&gt;0,$T56,""))</f>
        <v/>
      </c>
      <c r="V56" s="31">
        <f>IF(AND($A56&lt;&gt;"",$B56="Program"),SUMIFS($J$6:$J$305,$C$6:$C$305,$A56,$B$6:$B$305,"Project",$D$6:$D$305,"&lt;&gt;Proposed"),0)</f>
        <v/>
      </c>
      <c r="W56" s="31">
        <f>IF(AND($A56&lt;&gt;"",$B56="Program"),COUNTIFS($C$6:$C$305,$A56,$B$6:$B$305,"Project",$D$6:$D$305,"&lt;&gt;Proposed")-COUNTIFS($C$6:$C$305,$A56,$B$6:$B$305,"Project",$D$6:$D$305,"&lt;&gt;Proposed",$J$6:$J$305,"&gt;=0"),0)</f>
        <v/>
      </c>
      <c r="X56" s="31">
        <f>IF(OR($Q56=0,$H56=""),0,IF(AND($B56="Project",$H56&lt;TODAY()),3,IF($U56="",0,IF($U56&lt;=$H56,1,IF(NETWORKDAYS($H56,$U56)-1&gt;IF($B56="Program",Portfolio!$B$16,Portfolio!$B$15),3,2)))))</f>
        <v/>
      </c>
      <c r="Y56" s="31">
        <f>IF(OR($Q56=0,$K56="",$K56=0),0,IF(AND($B56="Project",$J56=""),0,IF(IF($B56="Program",$V56,$J56)&gt;$K56*(1+Portfolio!$B$17),3,IF(IF($B56="Program",$V56,$J56)&gt;$K56,2,IF(AND($B56="Program",OR($W56&gt;0,$V56=0)),0,1)))))</f>
        <v/>
      </c>
      <c r="Z56" s="31">
        <f>IF($A56="",0,IF($C56="Portfolio",1,IF(AND($B56="Project",$C56&lt;&gt;"",$C56&lt;&gt;"Outside the portfolio"),IFERROR(IF(AND(INDEX($B$6:$B$305,MATCH($C56,$A$6:$A$305,0))="Program",INDEX($C$6:$C$305,MATCH($C56,$A$6:$A$305,0))="Portfolio"),1,0),0),0)))</f>
        <v/>
      </c>
      <c r="AA56" s="31">
        <f>IF(AND($A56&lt;&gt;"",$E56="",OR($Q56=1,$D56="Proposed")),1,0)</f>
        <v/>
      </c>
      <c r="AB56" s="31">
        <f>IF(AND($A56&lt;&gt;"",$B56="Program",$F56="",$Q56=1),1,0)</f>
        <v/>
      </c>
      <c r="AC56" s="31">
        <f>IF(OR($A56="",$D56="Completed",$D56="Terminated"),0,IF($C56="",1,IF($C56="Portfolio",0,IF($C56="Outside the portfolio",IF($Q56=1,2,0),IF($B56="Project",IF(IFERROR(INDEX($B$6:$B$305,MATCH($C56,$A$6:$A$305,0)),"")="Program",0,1),1)))))</f>
        <v/>
      </c>
      <c r="AD56" s="31">
        <f>IF(AND($A56&lt;&gt;"",OR($M56="■ Red",$M56="◧ Amber"),$L56=""),1,0)</f>
        <v/>
      </c>
      <c r="AE56" s="31">
        <f>$AA56+$AB56+IF($AC56&gt;0,1,0)+$AD56</f>
        <v/>
      </c>
      <c r="AJ56" s="14" t="n"/>
      <c r="AK56" s="29" t="n"/>
      <c r="AL56" s="31">
        <f>IF(AND($Q56=1,$Z56=1),1,0)</f>
        <v/>
      </c>
      <c r="AM56" s="31">
        <f>IF(AND($AL56=1,$AJ56&lt;&gt;""),MAX(0,TODAY()-$AJ56),"")</f>
        <v/>
      </c>
      <c r="AN56" s="31">
        <f>IF(OR($AL56=0,COUNT($AJ$6:$AJ$305)=0),0,IF($AJ56="",1,IF(TODAY()-$AJ56&gt;Board!$B$40,1,0)))</f>
        <v/>
      </c>
      <c r="AO56" s="31">
        <f>IF($AL56=0,0,IF($M56="■ Red",3,IF($M56="◧ Amber",2,IF($M56="□ On track",1,0))))</f>
        <v/>
      </c>
      <c r="AP56" s="31">
        <f>IF($AL56=0,0,IF($AK56="Will not hold",3,IF($AK56="At risk",2,IF($AK56="Will hold",1,0))))</f>
        <v/>
      </c>
      <c r="AQ56" s="31">
        <f>IF($AL56=0,"",IF($AO56=3,0,IF($AO56=2,1,IF(AND($AP56&gt;=2,$AP56&gt;$AO56),2,""))))</f>
        <v/>
      </c>
      <c r="AR56" s="31">
        <f>IF($AQ56="","",$AQ56*1000+56)</f>
        <v/>
      </c>
      <c r="AS56" s="31">
        <f>IF(AND($AL56=1,$AO56&gt;=2,$AP56&gt;=1,$AP56&lt;$AO56),1,0)</f>
        <v/>
      </c>
      <c r="AT56" s="31">
        <f>IF(AND($AL56=1,$AO56&gt;=2,$AP56=0),1,0)</f>
        <v/>
      </c>
      <c r="AU56" s="31">
        <f>IF(AND($AL56=1,$U56&lt;&gt;"",$U56&lt;TODAY()),1,0)</f>
        <v/>
      </c>
      <c r="AV56" s="31">
        <f>IF(OR($A56="",$AJ56="",Portfolio!$B$10=""),0,IF($AJ56&lt;=Portfolio!$B$10,0,IF(AND($D56="Completed",$Z56=1),1,IF(AND($D56="Terminated",$Z56=1),2,IF(AND($Q56=1,$Z56=0),3,0)))))</f>
        <v/>
      </c>
      <c r="AW56" s="31">
        <f>IF($AV56&gt;0,COUNTIF($AV$6:$AV56,"&gt;0"),"")</f>
        <v/>
      </c>
      <c r="AX56" s="31">
        <f>IF($AL56=0,"",IF(AND($B56="Project",$H56&lt;&gt;"",$H56&lt;TODAY()),"Planned finish "&amp;TEXT($H56,"d mmm")&amp;" has passed",IF($X56&gt;=2,(NETWORKDAYS($H56,$U56)-1)&amp;" working days past plan","")))</f>
        <v/>
      </c>
      <c r="AY56" s="31">
        <f>IF($AL56=0,"",IF($Y56&gt;=2,"Over budget by "&amp;TEXT(IF($B56="Program",$V56,$J56)-$K56,"#,##0"),""))</f>
        <v/>
      </c>
      <c r="AZ56" s="31">
        <f>IF(AND($AL56=1,$U56&lt;&gt;""),IF(AND(N($U56)&gt;=TODAY(),N($U56)&lt;=TODAY()+Board!$B$41),1,0),0)</f>
        <v/>
      </c>
    </row>
    <row r="57">
      <c r="A57" s="29" t="n"/>
      <c r="B57" s="29" t="n"/>
      <c r="C57" s="29" t="n"/>
      <c r="D57" s="29" t="n"/>
      <c r="E57" s="29" t="n"/>
      <c r="F57" s="29" t="n"/>
      <c r="G57" s="29" t="n"/>
      <c r="H57" s="30" t="n"/>
      <c r="I57" s="30" t="n"/>
      <c r="J57" s="19" t="n"/>
      <c r="K57" s="19" t="n"/>
      <c r="L57" s="26" t="n"/>
      <c r="M57" s="31">
        <f>IF($A57="","",IF($D57="","Not read",IF($Q57=0,"Not counted",IF(MAX($X57,$Y57)=3,"■ Red",IF(MAX($X57,$Y57)=2,"◧ Amber",IF(MAX($X57,$Y57)=1,"□ On track","Not read"))))))</f>
        <v/>
      </c>
      <c r="N57" s="31">
        <f>IF(OR($A57="",$B57&lt;&gt;"Program"),"","■ "&amp;COUNTIFS($C$6:$C$305,$A57,$M$6:$M$305,"■ Red")&amp;" Red, ◧ "&amp;COUNTIFS($C$6:$C$305,$A57,$M$6:$M$305,"◧ Amber")&amp;" Amber")</f>
        <v/>
      </c>
      <c r="O57" s="32">
        <f>IF(OR($A57="",$E57=""),"",COUNTIFS($E$6:$E$305,$E57,$D$6:$D$305,"Active")+COUNTIFS($E$6:$E$305,$E57,$D$6:$D$305,"Paused"))</f>
        <v/>
      </c>
      <c r="P57" s="31">
        <f>IF($A57="","",IF($AE57=0,"○ Clear",IF($AA57=1,"△ No owner",IF($AC57=1,"△ Check Sits under",IF($AC57=2,"△ Outside the portfolio",IF($AB57=1,"△ No sponsor","△ No variance note"))))&amp;IF($AE57&gt;1," (+"&amp;($AE57-1)&amp;" more)","")))</f>
        <v/>
      </c>
      <c r="Q57" s="31">
        <f>IF(AND($A57&lt;&gt;"",OR($D57="Active",$D57="Paused")),1,0)</f>
        <v/>
      </c>
      <c r="R57" s="31">
        <f>IFERROR(INDEX($A$6:$A$305,MATCH(50,$S$6:$S$305,0)),"")</f>
        <v/>
      </c>
      <c r="S57" s="31">
        <f>IF(AND($A57&lt;&gt;"",$B57="Program"),COUNTIFS($B$6:$B57,"Program",$A$6:$A57,"&lt;&gt;"),"")</f>
        <v/>
      </c>
      <c r="T57" s="33">
        <f>IF(AND($A57&lt;&gt;"",$B57="Program"),SUMPRODUCT(MAX(($C$6:$C$305=$A57)*($B$6:$B$305="Project")*($D$6:$D$305&lt;&gt;"Proposed")*$I$6:$I$305)),0)</f>
        <v/>
      </c>
      <c r="U57" s="33">
        <f>IF($I57&lt;&gt;"",$I57,IF($T57&gt;0,$T57,""))</f>
        <v/>
      </c>
      <c r="V57" s="31">
        <f>IF(AND($A57&lt;&gt;"",$B57="Program"),SUMIFS($J$6:$J$305,$C$6:$C$305,$A57,$B$6:$B$305,"Project",$D$6:$D$305,"&lt;&gt;Proposed"),0)</f>
        <v/>
      </c>
      <c r="W57" s="31">
        <f>IF(AND($A57&lt;&gt;"",$B57="Program"),COUNTIFS($C$6:$C$305,$A57,$B$6:$B$305,"Project",$D$6:$D$305,"&lt;&gt;Proposed")-COUNTIFS($C$6:$C$305,$A57,$B$6:$B$305,"Project",$D$6:$D$305,"&lt;&gt;Proposed",$J$6:$J$305,"&gt;=0"),0)</f>
        <v/>
      </c>
      <c r="X57" s="31">
        <f>IF(OR($Q57=0,$H57=""),0,IF(AND($B57="Project",$H57&lt;TODAY()),3,IF($U57="",0,IF($U57&lt;=$H57,1,IF(NETWORKDAYS($H57,$U57)-1&gt;IF($B57="Program",Portfolio!$B$16,Portfolio!$B$15),3,2)))))</f>
        <v/>
      </c>
      <c r="Y57" s="31">
        <f>IF(OR($Q57=0,$K57="",$K57=0),0,IF(AND($B57="Project",$J57=""),0,IF(IF($B57="Program",$V57,$J57)&gt;$K57*(1+Portfolio!$B$17),3,IF(IF($B57="Program",$V57,$J57)&gt;$K57,2,IF(AND($B57="Program",OR($W57&gt;0,$V57=0)),0,1)))))</f>
        <v/>
      </c>
      <c r="Z57" s="31">
        <f>IF($A57="",0,IF($C57="Portfolio",1,IF(AND($B57="Project",$C57&lt;&gt;"",$C57&lt;&gt;"Outside the portfolio"),IFERROR(IF(AND(INDEX($B$6:$B$305,MATCH($C57,$A$6:$A$305,0))="Program",INDEX($C$6:$C$305,MATCH($C57,$A$6:$A$305,0))="Portfolio"),1,0),0),0)))</f>
        <v/>
      </c>
      <c r="AA57" s="31">
        <f>IF(AND($A57&lt;&gt;"",$E57="",OR($Q57=1,$D57="Proposed")),1,0)</f>
        <v/>
      </c>
      <c r="AB57" s="31">
        <f>IF(AND($A57&lt;&gt;"",$B57="Program",$F57="",$Q57=1),1,0)</f>
        <v/>
      </c>
      <c r="AC57" s="31">
        <f>IF(OR($A57="",$D57="Completed",$D57="Terminated"),0,IF($C57="",1,IF($C57="Portfolio",0,IF($C57="Outside the portfolio",IF($Q57=1,2,0),IF($B57="Project",IF(IFERROR(INDEX($B$6:$B$305,MATCH($C57,$A$6:$A$305,0)),"")="Program",0,1),1)))))</f>
        <v/>
      </c>
      <c r="AD57" s="31">
        <f>IF(AND($A57&lt;&gt;"",OR($M57="■ Red",$M57="◧ Amber"),$L57=""),1,0)</f>
        <v/>
      </c>
      <c r="AE57" s="31">
        <f>$AA57+$AB57+IF($AC57&gt;0,1,0)+$AD57</f>
        <v/>
      </c>
      <c r="AJ57" s="14" t="n"/>
      <c r="AK57" s="29" t="n"/>
      <c r="AL57" s="31">
        <f>IF(AND($Q57=1,$Z57=1),1,0)</f>
        <v/>
      </c>
      <c r="AM57" s="31">
        <f>IF(AND($AL57=1,$AJ57&lt;&gt;""),MAX(0,TODAY()-$AJ57),"")</f>
        <v/>
      </c>
      <c r="AN57" s="31">
        <f>IF(OR($AL57=0,COUNT($AJ$6:$AJ$305)=0),0,IF($AJ57="",1,IF(TODAY()-$AJ57&gt;Board!$B$40,1,0)))</f>
        <v/>
      </c>
      <c r="AO57" s="31">
        <f>IF($AL57=0,0,IF($M57="■ Red",3,IF($M57="◧ Amber",2,IF($M57="□ On track",1,0))))</f>
        <v/>
      </c>
      <c r="AP57" s="31">
        <f>IF($AL57=0,0,IF($AK57="Will not hold",3,IF($AK57="At risk",2,IF($AK57="Will hold",1,0))))</f>
        <v/>
      </c>
      <c r="AQ57" s="31">
        <f>IF($AL57=0,"",IF($AO57=3,0,IF($AO57=2,1,IF(AND($AP57&gt;=2,$AP57&gt;$AO57),2,""))))</f>
        <v/>
      </c>
      <c r="AR57" s="31">
        <f>IF($AQ57="","",$AQ57*1000+57)</f>
        <v/>
      </c>
      <c r="AS57" s="31">
        <f>IF(AND($AL57=1,$AO57&gt;=2,$AP57&gt;=1,$AP57&lt;$AO57),1,0)</f>
        <v/>
      </c>
      <c r="AT57" s="31">
        <f>IF(AND($AL57=1,$AO57&gt;=2,$AP57=0),1,0)</f>
        <v/>
      </c>
      <c r="AU57" s="31">
        <f>IF(AND($AL57=1,$U57&lt;&gt;"",$U57&lt;TODAY()),1,0)</f>
        <v/>
      </c>
      <c r="AV57" s="31">
        <f>IF(OR($A57="",$AJ57="",Portfolio!$B$10=""),0,IF($AJ57&lt;=Portfolio!$B$10,0,IF(AND($D57="Completed",$Z57=1),1,IF(AND($D57="Terminated",$Z57=1),2,IF(AND($Q57=1,$Z57=0),3,0)))))</f>
        <v/>
      </c>
      <c r="AW57" s="31">
        <f>IF($AV57&gt;0,COUNTIF($AV$6:$AV57,"&gt;0"),"")</f>
        <v/>
      </c>
      <c r="AX57" s="31">
        <f>IF($AL57=0,"",IF(AND($B57="Project",$H57&lt;&gt;"",$H57&lt;TODAY()),"Planned finish "&amp;TEXT($H57,"d mmm")&amp;" has passed",IF($X57&gt;=2,(NETWORKDAYS($H57,$U57)-1)&amp;" working days past plan","")))</f>
        <v/>
      </c>
      <c r="AY57" s="31">
        <f>IF($AL57=0,"",IF($Y57&gt;=2,"Over budget by "&amp;TEXT(IF($B57="Program",$V57,$J57)-$K57,"#,##0"),""))</f>
        <v/>
      </c>
      <c r="AZ57" s="31">
        <f>IF(AND($AL57=1,$U57&lt;&gt;""),IF(AND(N($U57)&gt;=TODAY(),N($U57)&lt;=TODAY()+Board!$B$41),1,0),0)</f>
        <v/>
      </c>
    </row>
    <row r="58">
      <c r="A58" s="29" t="n"/>
      <c r="B58" s="29" t="n"/>
      <c r="C58" s="29" t="n"/>
      <c r="D58" s="29" t="n"/>
      <c r="E58" s="29" t="n"/>
      <c r="F58" s="29" t="n"/>
      <c r="G58" s="29" t="n"/>
      <c r="H58" s="30" t="n"/>
      <c r="I58" s="30" t="n"/>
      <c r="J58" s="19" t="n"/>
      <c r="K58" s="19" t="n"/>
      <c r="L58" s="26" t="n"/>
      <c r="M58" s="31">
        <f>IF($A58="","",IF($D58="","Not read",IF($Q58=0,"Not counted",IF(MAX($X58,$Y58)=3,"■ Red",IF(MAX($X58,$Y58)=2,"◧ Amber",IF(MAX($X58,$Y58)=1,"□ On track","Not read"))))))</f>
        <v/>
      </c>
      <c r="N58" s="31">
        <f>IF(OR($A58="",$B58&lt;&gt;"Program"),"","■ "&amp;COUNTIFS($C$6:$C$305,$A58,$M$6:$M$305,"■ Red")&amp;" Red, ◧ "&amp;COUNTIFS($C$6:$C$305,$A58,$M$6:$M$305,"◧ Amber")&amp;" Amber")</f>
        <v/>
      </c>
      <c r="O58" s="32">
        <f>IF(OR($A58="",$E58=""),"",COUNTIFS($E$6:$E$305,$E58,$D$6:$D$305,"Active")+COUNTIFS($E$6:$E$305,$E58,$D$6:$D$305,"Paused"))</f>
        <v/>
      </c>
      <c r="P58" s="31">
        <f>IF($A58="","",IF($AE58=0,"○ Clear",IF($AA58=1,"△ No owner",IF($AC58=1,"△ Check Sits under",IF($AC58=2,"△ Outside the portfolio",IF($AB58=1,"△ No sponsor","△ No variance note"))))&amp;IF($AE58&gt;1," (+"&amp;($AE58-1)&amp;" more)","")))</f>
        <v/>
      </c>
      <c r="Q58" s="31">
        <f>IF(AND($A58&lt;&gt;"",OR($D58="Active",$D58="Paused")),1,0)</f>
        <v/>
      </c>
      <c r="R58" s="31">
        <f>IFERROR(INDEX($A$6:$A$305,MATCH(51,$S$6:$S$305,0)),"")</f>
        <v/>
      </c>
      <c r="S58" s="31">
        <f>IF(AND($A58&lt;&gt;"",$B58="Program"),COUNTIFS($B$6:$B58,"Program",$A$6:$A58,"&lt;&gt;"),"")</f>
        <v/>
      </c>
      <c r="T58" s="33">
        <f>IF(AND($A58&lt;&gt;"",$B58="Program"),SUMPRODUCT(MAX(($C$6:$C$305=$A58)*($B$6:$B$305="Project")*($D$6:$D$305&lt;&gt;"Proposed")*$I$6:$I$305)),0)</f>
        <v/>
      </c>
      <c r="U58" s="33">
        <f>IF($I58&lt;&gt;"",$I58,IF($T58&gt;0,$T58,""))</f>
        <v/>
      </c>
      <c r="V58" s="31">
        <f>IF(AND($A58&lt;&gt;"",$B58="Program"),SUMIFS($J$6:$J$305,$C$6:$C$305,$A58,$B$6:$B$305,"Project",$D$6:$D$305,"&lt;&gt;Proposed"),0)</f>
        <v/>
      </c>
      <c r="W58" s="31">
        <f>IF(AND($A58&lt;&gt;"",$B58="Program"),COUNTIFS($C$6:$C$305,$A58,$B$6:$B$305,"Project",$D$6:$D$305,"&lt;&gt;Proposed")-COUNTIFS($C$6:$C$305,$A58,$B$6:$B$305,"Project",$D$6:$D$305,"&lt;&gt;Proposed",$J$6:$J$305,"&gt;=0"),0)</f>
        <v/>
      </c>
      <c r="X58" s="31">
        <f>IF(OR($Q58=0,$H58=""),0,IF(AND($B58="Project",$H58&lt;TODAY()),3,IF($U58="",0,IF($U58&lt;=$H58,1,IF(NETWORKDAYS($H58,$U58)-1&gt;IF($B58="Program",Portfolio!$B$16,Portfolio!$B$15),3,2)))))</f>
        <v/>
      </c>
      <c r="Y58" s="31">
        <f>IF(OR($Q58=0,$K58="",$K58=0),0,IF(AND($B58="Project",$J58=""),0,IF(IF($B58="Program",$V58,$J58)&gt;$K58*(1+Portfolio!$B$17),3,IF(IF($B58="Program",$V58,$J58)&gt;$K58,2,IF(AND($B58="Program",OR($W58&gt;0,$V58=0)),0,1)))))</f>
        <v/>
      </c>
      <c r="Z58" s="31">
        <f>IF($A58="",0,IF($C58="Portfolio",1,IF(AND($B58="Project",$C58&lt;&gt;"",$C58&lt;&gt;"Outside the portfolio"),IFERROR(IF(AND(INDEX($B$6:$B$305,MATCH($C58,$A$6:$A$305,0))="Program",INDEX($C$6:$C$305,MATCH($C58,$A$6:$A$305,0))="Portfolio"),1,0),0),0)))</f>
        <v/>
      </c>
      <c r="AA58" s="31">
        <f>IF(AND($A58&lt;&gt;"",$E58="",OR($Q58=1,$D58="Proposed")),1,0)</f>
        <v/>
      </c>
      <c r="AB58" s="31">
        <f>IF(AND($A58&lt;&gt;"",$B58="Program",$F58="",$Q58=1),1,0)</f>
        <v/>
      </c>
      <c r="AC58" s="31">
        <f>IF(OR($A58="",$D58="Completed",$D58="Terminated"),0,IF($C58="",1,IF($C58="Portfolio",0,IF($C58="Outside the portfolio",IF($Q58=1,2,0),IF($B58="Project",IF(IFERROR(INDEX($B$6:$B$305,MATCH($C58,$A$6:$A$305,0)),"")="Program",0,1),1)))))</f>
        <v/>
      </c>
      <c r="AD58" s="31">
        <f>IF(AND($A58&lt;&gt;"",OR($M58="■ Red",$M58="◧ Amber"),$L58=""),1,0)</f>
        <v/>
      </c>
      <c r="AE58" s="31">
        <f>$AA58+$AB58+IF($AC58&gt;0,1,0)+$AD58</f>
        <v/>
      </c>
      <c r="AJ58" s="14" t="n"/>
      <c r="AK58" s="29" t="n"/>
      <c r="AL58" s="31">
        <f>IF(AND($Q58=1,$Z58=1),1,0)</f>
        <v/>
      </c>
      <c r="AM58" s="31">
        <f>IF(AND($AL58=1,$AJ58&lt;&gt;""),MAX(0,TODAY()-$AJ58),"")</f>
        <v/>
      </c>
      <c r="AN58" s="31">
        <f>IF(OR($AL58=0,COUNT($AJ$6:$AJ$305)=0),0,IF($AJ58="",1,IF(TODAY()-$AJ58&gt;Board!$B$40,1,0)))</f>
        <v/>
      </c>
      <c r="AO58" s="31">
        <f>IF($AL58=0,0,IF($M58="■ Red",3,IF($M58="◧ Amber",2,IF($M58="□ On track",1,0))))</f>
        <v/>
      </c>
      <c r="AP58" s="31">
        <f>IF($AL58=0,0,IF($AK58="Will not hold",3,IF($AK58="At risk",2,IF($AK58="Will hold",1,0))))</f>
        <v/>
      </c>
      <c r="AQ58" s="31">
        <f>IF($AL58=0,"",IF($AO58=3,0,IF($AO58=2,1,IF(AND($AP58&gt;=2,$AP58&gt;$AO58),2,""))))</f>
        <v/>
      </c>
      <c r="AR58" s="31">
        <f>IF($AQ58="","",$AQ58*1000+58)</f>
        <v/>
      </c>
      <c r="AS58" s="31">
        <f>IF(AND($AL58=1,$AO58&gt;=2,$AP58&gt;=1,$AP58&lt;$AO58),1,0)</f>
        <v/>
      </c>
      <c r="AT58" s="31">
        <f>IF(AND($AL58=1,$AO58&gt;=2,$AP58=0),1,0)</f>
        <v/>
      </c>
      <c r="AU58" s="31">
        <f>IF(AND($AL58=1,$U58&lt;&gt;"",$U58&lt;TODAY()),1,0)</f>
        <v/>
      </c>
      <c r="AV58" s="31">
        <f>IF(OR($A58="",$AJ58="",Portfolio!$B$10=""),0,IF($AJ58&lt;=Portfolio!$B$10,0,IF(AND($D58="Completed",$Z58=1),1,IF(AND($D58="Terminated",$Z58=1),2,IF(AND($Q58=1,$Z58=0),3,0)))))</f>
        <v/>
      </c>
      <c r="AW58" s="31">
        <f>IF($AV58&gt;0,COUNTIF($AV$6:$AV58,"&gt;0"),"")</f>
        <v/>
      </c>
      <c r="AX58" s="31">
        <f>IF($AL58=0,"",IF(AND($B58="Project",$H58&lt;&gt;"",$H58&lt;TODAY()),"Planned finish "&amp;TEXT($H58,"d mmm")&amp;" has passed",IF($X58&gt;=2,(NETWORKDAYS($H58,$U58)-1)&amp;" working days past plan","")))</f>
        <v/>
      </c>
      <c r="AY58" s="31">
        <f>IF($AL58=0,"",IF($Y58&gt;=2,"Over budget by "&amp;TEXT(IF($B58="Program",$V58,$J58)-$K58,"#,##0"),""))</f>
        <v/>
      </c>
      <c r="AZ58" s="31">
        <f>IF(AND($AL58=1,$U58&lt;&gt;""),IF(AND(N($U58)&gt;=TODAY(),N($U58)&lt;=TODAY()+Board!$B$41),1,0),0)</f>
        <v/>
      </c>
    </row>
    <row r="59">
      <c r="A59" s="29" t="n"/>
      <c r="B59" s="29" t="n"/>
      <c r="C59" s="29" t="n"/>
      <c r="D59" s="29" t="n"/>
      <c r="E59" s="29" t="n"/>
      <c r="F59" s="29" t="n"/>
      <c r="G59" s="29" t="n"/>
      <c r="H59" s="30" t="n"/>
      <c r="I59" s="30" t="n"/>
      <c r="J59" s="19" t="n"/>
      <c r="K59" s="19" t="n"/>
      <c r="L59" s="26" t="n"/>
      <c r="M59" s="31">
        <f>IF($A59="","",IF($D59="","Not read",IF($Q59=0,"Not counted",IF(MAX($X59,$Y59)=3,"■ Red",IF(MAX($X59,$Y59)=2,"◧ Amber",IF(MAX($X59,$Y59)=1,"□ On track","Not read"))))))</f>
        <v/>
      </c>
      <c r="N59" s="31">
        <f>IF(OR($A59="",$B59&lt;&gt;"Program"),"","■ "&amp;COUNTIFS($C$6:$C$305,$A59,$M$6:$M$305,"■ Red")&amp;" Red, ◧ "&amp;COUNTIFS($C$6:$C$305,$A59,$M$6:$M$305,"◧ Amber")&amp;" Amber")</f>
        <v/>
      </c>
      <c r="O59" s="32">
        <f>IF(OR($A59="",$E59=""),"",COUNTIFS($E$6:$E$305,$E59,$D$6:$D$305,"Active")+COUNTIFS($E$6:$E$305,$E59,$D$6:$D$305,"Paused"))</f>
        <v/>
      </c>
      <c r="P59" s="31">
        <f>IF($A59="","",IF($AE59=0,"○ Clear",IF($AA59=1,"△ No owner",IF($AC59=1,"△ Check Sits under",IF($AC59=2,"△ Outside the portfolio",IF($AB59=1,"△ No sponsor","△ No variance note"))))&amp;IF($AE59&gt;1," (+"&amp;($AE59-1)&amp;" more)","")))</f>
        <v/>
      </c>
      <c r="Q59" s="31">
        <f>IF(AND($A59&lt;&gt;"",OR($D59="Active",$D59="Paused")),1,0)</f>
        <v/>
      </c>
      <c r="R59" s="31">
        <f>IFERROR(INDEX($A$6:$A$305,MATCH(52,$S$6:$S$305,0)),"")</f>
        <v/>
      </c>
      <c r="S59" s="31">
        <f>IF(AND($A59&lt;&gt;"",$B59="Program"),COUNTIFS($B$6:$B59,"Program",$A$6:$A59,"&lt;&gt;"),"")</f>
        <v/>
      </c>
      <c r="T59" s="33">
        <f>IF(AND($A59&lt;&gt;"",$B59="Program"),SUMPRODUCT(MAX(($C$6:$C$305=$A59)*($B$6:$B$305="Project")*($D$6:$D$305&lt;&gt;"Proposed")*$I$6:$I$305)),0)</f>
        <v/>
      </c>
      <c r="U59" s="33">
        <f>IF($I59&lt;&gt;"",$I59,IF($T59&gt;0,$T59,""))</f>
        <v/>
      </c>
      <c r="V59" s="31">
        <f>IF(AND($A59&lt;&gt;"",$B59="Program"),SUMIFS($J$6:$J$305,$C$6:$C$305,$A59,$B$6:$B$305,"Project",$D$6:$D$305,"&lt;&gt;Proposed"),0)</f>
        <v/>
      </c>
      <c r="W59" s="31">
        <f>IF(AND($A59&lt;&gt;"",$B59="Program"),COUNTIFS($C$6:$C$305,$A59,$B$6:$B$305,"Project",$D$6:$D$305,"&lt;&gt;Proposed")-COUNTIFS($C$6:$C$305,$A59,$B$6:$B$305,"Project",$D$6:$D$305,"&lt;&gt;Proposed",$J$6:$J$305,"&gt;=0"),0)</f>
        <v/>
      </c>
      <c r="X59" s="31">
        <f>IF(OR($Q59=0,$H59=""),0,IF(AND($B59="Project",$H59&lt;TODAY()),3,IF($U59="",0,IF($U59&lt;=$H59,1,IF(NETWORKDAYS($H59,$U59)-1&gt;IF($B59="Program",Portfolio!$B$16,Portfolio!$B$15),3,2)))))</f>
        <v/>
      </c>
      <c r="Y59" s="31">
        <f>IF(OR($Q59=0,$K59="",$K59=0),0,IF(AND($B59="Project",$J59=""),0,IF(IF($B59="Program",$V59,$J59)&gt;$K59*(1+Portfolio!$B$17),3,IF(IF($B59="Program",$V59,$J59)&gt;$K59,2,IF(AND($B59="Program",OR($W59&gt;0,$V59=0)),0,1)))))</f>
        <v/>
      </c>
      <c r="Z59" s="31">
        <f>IF($A59="",0,IF($C59="Portfolio",1,IF(AND($B59="Project",$C59&lt;&gt;"",$C59&lt;&gt;"Outside the portfolio"),IFERROR(IF(AND(INDEX($B$6:$B$305,MATCH($C59,$A$6:$A$305,0))="Program",INDEX($C$6:$C$305,MATCH($C59,$A$6:$A$305,0))="Portfolio"),1,0),0),0)))</f>
        <v/>
      </c>
      <c r="AA59" s="31">
        <f>IF(AND($A59&lt;&gt;"",$E59="",OR($Q59=1,$D59="Proposed")),1,0)</f>
        <v/>
      </c>
      <c r="AB59" s="31">
        <f>IF(AND($A59&lt;&gt;"",$B59="Program",$F59="",$Q59=1),1,0)</f>
        <v/>
      </c>
      <c r="AC59" s="31">
        <f>IF(OR($A59="",$D59="Completed",$D59="Terminated"),0,IF($C59="",1,IF($C59="Portfolio",0,IF($C59="Outside the portfolio",IF($Q59=1,2,0),IF($B59="Project",IF(IFERROR(INDEX($B$6:$B$305,MATCH($C59,$A$6:$A$305,0)),"")="Program",0,1),1)))))</f>
        <v/>
      </c>
      <c r="AD59" s="31">
        <f>IF(AND($A59&lt;&gt;"",OR($M59="■ Red",$M59="◧ Amber"),$L59=""),1,0)</f>
        <v/>
      </c>
      <c r="AE59" s="31">
        <f>$AA59+$AB59+IF($AC59&gt;0,1,0)+$AD59</f>
        <v/>
      </c>
      <c r="AJ59" s="14" t="n"/>
      <c r="AK59" s="29" t="n"/>
      <c r="AL59" s="31">
        <f>IF(AND($Q59=1,$Z59=1),1,0)</f>
        <v/>
      </c>
      <c r="AM59" s="31">
        <f>IF(AND($AL59=1,$AJ59&lt;&gt;""),MAX(0,TODAY()-$AJ59),"")</f>
        <v/>
      </c>
      <c r="AN59" s="31">
        <f>IF(OR($AL59=0,COUNT($AJ$6:$AJ$305)=0),0,IF($AJ59="",1,IF(TODAY()-$AJ59&gt;Board!$B$40,1,0)))</f>
        <v/>
      </c>
      <c r="AO59" s="31">
        <f>IF($AL59=0,0,IF($M59="■ Red",3,IF($M59="◧ Amber",2,IF($M59="□ On track",1,0))))</f>
        <v/>
      </c>
      <c r="AP59" s="31">
        <f>IF($AL59=0,0,IF($AK59="Will not hold",3,IF($AK59="At risk",2,IF($AK59="Will hold",1,0))))</f>
        <v/>
      </c>
      <c r="AQ59" s="31">
        <f>IF($AL59=0,"",IF($AO59=3,0,IF($AO59=2,1,IF(AND($AP59&gt;=2,$AP59&gt;$AO59),2,""))))</f>
        <v/>
      </c>
      <c r="AR59" s="31">
        <f>IF($AQ59="","",$AQ59*1000+59)</f>
        <v/>
      </c>
      <c r="AS59" s="31">
        <f>IF(AND($AL59=1,$AO59&gt;=2,$AP59&gt;=1,$AP59&lt;$AO59),1,0)</f>
        <v/>
      </c>
      <c r="AT59" s="31">
        <f>IF(AND($AL59=1,$AO59&gt;=2,$AP59=0),1,0)</f>
        <v/>
      </c>
      <c r="AU59" s="31">
        <f>IF(AND($AL59=1,$U59&lt;&gt;"",$U59&lt;TODAY()),1,0)</f>
        <v/>
      </c>
      <c r="AV59" s="31">
        <f>IF(OR($A59="",$AJ59="",Portfolio!$B$10=""),0,IF($AJ59&lt;=Portfolio!$B$10,0,IF(AND($D59="Completed",$Z59=1),1,IF(AND($D59="Terminated",$Z59=1),2,IF(AND($Q59=1,$Z59=0),3,0)))))</f>
        <v/>
      </c>
      <c r="AW59" s="31">
        <f>IF($AV59&gt;0,COUNTIF($AV$6:$AV59,"&gt;0"),"")</f>
        <v/>
      </c>
      <c r="AX59" s="31">
        <f>IF($AL59=0,"",IF(AND($B59="Project",$H59&lt;&gt;"",$H59&lt;TODAY()),"Planned finish "&amp;TEXT($H59,"d mmm")&amp;" has passed",IF($X59&gt;=2,(NETWORKDAYS($H59,$U59)-1)&amp;" working days past plan","")))</f>
        <v/>
      </c>
      <c r="AY59" s="31">
        <f>IF($AL59=0,"",IF($Y59&gt;=2,"Over budget by "&amp;TEXT(IF($B59="Program",$V59,$J59)-$K59,"#,##0"),""))</f>
        <v/>
      </c>
      <c r="AZ59" s="31">
        <f>IF(AND($AL59=1,$U59&lt;&gt;""),IF(AND(N($U59)&gt;=TODAY(),N($U59)&lt;=TODAY()+Board!$B$41),1,0),0)</f>
        <v/>
      </c>
    </row>
    <row r="60">
      <c r="A60" s="29" t="n"/>
      <c r="B60" s="29" t="n"/>
      <c r="C60" s="29" t="n"/>
      <c r="D60" s="29" t="n"/>
      <c r="E60" s="29" t="n"/>
      <c r="F60" s="29" t="n"/>
      <c r="G60" s="29" t="n"/>
      <c r="H60" s="30" t="n"/>
      <c r="I60" s="30" t="n"/>
      <c r="J60" s="19" t="n"/>
      <c r="K60" s="19" t="n"/>
      <c r="L60" s="26" t="n"/>
      <c r="M60" s="31">
        <f>IF($A60="","",IF($D60="","Not read",IF($Q60=0,"Not counted",IF(MAX($X60,$Y60)=3,"■ Red",IF(MAX($X60,$Y60)=2,"◧ Amber",IF(MAX($X60,$Y60)=1,"□ On track","Not read"))))))</f>
        <v/>
      </c>
      <c r="N60" s="31">
        <f>IF(OR($A60="",$B60&lt;&gt;"Program"),"","■ "&amp;COUNTIFS($C$6:$C$305,$A60,$M$6:$M$305,"■ Red")&amp;" Red, ◧ "&amp;COUNTIFS($C$6:$C$305,$A60,$M$6:$M$305,"◧ Amber")&amp;" Amber")</f>
        <v/>
      </c>
      <c r="O60" s="32">
        <f>IF(OR($A60="",$E60=""),"",COUNTIFS($E$6:$E$305,$E60,$D$6:$D$305,"Active")+COUNTIFS($E$6:$E$305,$E60,$D$6:$D$305,"Paused"))</f>
        <v/>
      </c>
      <c r="P60" s="31">
        <f>IF($A60="","",IF($AE60=0,"○ Clear",IF($AA60=1,"△ No owner",IF($AC60=1,"△ Check Sits under",IF($AC60=2,"△ Outside the portfolio",IF($AB60=1,"△ No sponsor","△ No variance note"))))&amp;IF($AE60&gt;1," (+"&amp;($AE60-1)&amp;" more)","")))</f>
        <v/>
      </c>
      <c r="Q60" s="31">
        <f>IF(AND($A60&lt;&gt;"",OR($D60="Active",$D60="Paused")),1,0)</f>
        <v/>
      </c>
      <c r="R60" s="31">
        <f>IFERROR(INDEX($A$6:$A$305,MATCH(53,$S$6:$S$305,0)),"")</f>
        <v/>
      </c>
      <c r="S60" s="31">
        <f>IF(AND($A60&lt;&gt;"",$B60="Program"),COUNTIFS($B$6:$B60,"Program",$A$6:$A60,"&lt;&gt;"),"")</f>
        <v/>
      </c>
      <c r="T60" s="33">
        <f>IF(AND($A60&lt;&gt;"",$B60="Program"),SUMPRODUCT(MAX(($C$6:$C$305=$A60)*($B$6:$B$305="Project")*($D$6:$D$305&lt;&gt;"Proposed")*$I$6:$I$305)),0)</f>
        <v/>
      </c>
      <c r="U60" s="33">
        <f>IF($I60&lt;&gt;"",$I60,IF($T60&gt;0,$T60,""))</f>
        <v/>
      </c>
      <c r="V60" s="31">
        <f>IF(AND($A60&lt;&gt;"",$B60="Program"),SUMIFS($J$6:$J$305,$C$6:$C$305,$A60,$B$6:$B$305,"Project",$D$6:$D$305,"&lt;&gt;Proposed"),0)</f>
        <v/>
      </c>
      <c r="W60" s="31">
        <f>IF(AND($A60&lt;&gt;"",$B60="Program"),COUNTIFS($C$6:$C$305,$A60,$B$6:$B$305,"Project",$D$6:$D$305,"&lt;&gt;Proposed")-COUNTIFS($C$6:$C$305,$A60,$B$6:$B$305,"Project",$D$6:$D$305,"&lt;&gt;Proposed",$J$6:$J$305,"&gt;=0"),0)</f>
        <v/>
      </c>
      <c r="X60" s="31">
        <f>IF(OR($Q60=0,$H60=""),0,IF(AND($B60="Project",$H60&lt;TODAY()),3,IF($U60="",0,IF($U60&lt;=$H60,1,IF(NETWORKDAYS($H60,$U60)-1&gt;IF($B60="Program",Portfolio!$B$16,Portfolio!$B$15),3,2)))))</f>
        <v/>
      </c>
      <c r="Y60" s="31">
        <f>IF(OR($Q60=0,$K60="",$K60=0),0,IF(AND($B60="Project",$J60=""),0,IF(IF($B60="Program",$V60,$J60)&gt;$K60*(1+Portfolio!$B$17),3,IF(IF($B60="Program",$V60,$J60)&gt;$K60,2,IF(AND($B60="Program",OR($W60&gt;0,$V60=0)),0,1)))))</f>
        <v/>
      </c>
      <c r="Z60" s="31">
        <f>IF($A60="",0,IF($C60="Portfolio",1,IF(AND($B60="Project",$C60&lt;&gt;"",$C60&lt;&gt;"Outside the portfolio"),IFERROR(IF(AND(INDEX($B$6:$B$305,MATCH($C60,$A$6:$A$305,0))="Program",INDEX($C$6:$C$305,MATCH($C60,$A$6:$A$305,0))="Portfolio"),1,0),0),0)))</f>
        <v/>
      </c>
      <c r="AA60" s="31">
        <f>IF(AND($A60&lt;&gt;"",$E60="",OR($Q60=1,$D60="Proposed")),1,0)</f>
        <v/>
      </c>
      <c r="AB60" s="31">
        <f>IF(AND($A60&lt;&gt;"",$B60="Program",$F60="",$Q60=1),1,0)</f>
        <v/>
      </c>
      <c r="AC60" s="31">
        <f>IF(OR($A60="",$D60="Completed",$D60="Terminated"),0,IF($C60="",1,IF($C60="Portfolio",0,IF($C60="Outside the portfolio",IF($Q60=1,2,0),IF($B60="Project",IF(IFERROR(INDEX($B$6:$B$305,MATCH($C60,$A$6:$A$305,0)),"")="Program",0,1),1)))))</f>
        <v/>
      </c>
      <c r="AD60" s="31">
        <f>IF(AND($A60&lt;&gt;"",OR($M60="■ Red",$M60="◧ Amber"),$L60=""),1,0)</f>
        <v/>
      </c>
      <c r="AE60" s="31">
        <f>$AA60+$AB60+IF($AC60&gt;0,1,0)+$AD60</f>
        <v/>
      </c>
      <c r="AJ60" s="14" t="n"/>
      <c r="AK60" s="29" t="n"/>
      <c r="AL60" s="31">
        <f>IF(AND($Q60=1,$Z60=1),1,0)</f>
        <v/>
      </c>
      <c r="AM60" s="31">
        <f>IF(AND($AL60=1,$AJ60&lt;&gt;""),MAX(0,TODAY()-$AJ60),"")</f>
        <v/>
      </c>
      <c r="AN60" s="31">
        <f>IF(OR($AL60=0,COUNT($AJ$6:$AJ$305)=0),0,IF($AJ60="",1,IF(TODAY()-$AJ60&gt;Board!$B$40,1,0)))</f>
        <v/>
      </c>
      <c r="AO60" s="31">
        <f>IF($AL60=0,0,IF($M60="■ Red",3,IF($M60="◧ Amber",2,IF($M60="□ On track",1,0))))</f>
        <v/>
      </c>
      <c r="AP60" s="31">
        <f>IF($AL60=0,0,IF($AK60="Will not hold",3,IF($AK60="At risk",2,IF($AK60="Will hold",1,0))))</f>
        <v/>
      </c>
      <c r="AQ60" s="31">
        <f>IF($AL60=0,"",IF($AO60=3,0,IF($AO60=2,1,IF(AND($AP60&gt;=2,$AP60&gt;$AO60),2,""))))</f>
        <v/>
      </c>
      <c r="AR60" s="31">
        <f>IF($AQ60="","",$AQ60*1000+60)</f>
        <v/>
      </c>
      <c r="AS60" s="31">
        <f>IF(AND($AL60=1,$AO60&gt;=2,$AP60&gt;=1,$AP60&lt;$AO60),1,0)</f>
        <v/>
      </c>
      <c r="AT60" s="31">
        <f>IF(AND($AL60=1,$AO60&gt;=2,$AP60=0),1,0)</f>
        <v/>
      </c>
      <c r="AU60" s="31">
        <f>IF(AND($AL60=1,$U60&lt;&gt;"",$U60&lt;TODAY()),1,0)</f>
        <v/>
      </c>
      <c r="AV60" s="31">
        <f>IF(OR($A60="",$AJ60="",Portfolio!$B$10=""),0,IF($AJ60&lt;=Portfolio!$B$10,0,IF(AND($D60="Completed",$Z60=1),1,IF(AND($D60="Terminated",$Z60=1),2,IF(AND($Q60=1,$Z60=0),3,0)))))</f>
        <v/>
      </c>
      <c r="AW60" s="31">
        <f>IF($AV60&gt;0,COUNTIF($AV$6:$AV60,"&gt;0"),"")</f>
        <v/>
      </c>
      <c r="AX60" s="31">
        <f>IF($AL60=0,"",IF(AND($B60="Project",$H60&lt;&gt;"",$H60&lt;TODAY()),"Planned finish "&amp;TEXT($H60,"d mmm")&amp;" has passed",IF($X60&gt;=2,(NETWORKDAYS($H60,$U60)-1)&amp;" working days past plan","")))</f>
        <v/>
      </c>
      <c r="AY60" s="31">
        <f>IF($AL60=0,"",IF($Y60&gt;=2,"Over budget by "&amp;TEXT(IF($B60="Program",$V60,$J60)-$K60,"#,##0"),""))</f>
        <v/>
      </c>
      <c r="AZ60" s="31">
        <f>IF(AND($AL60=1,$U60&lt;&gt;""),IF(AND(N($U60)&gt;=TODAY(),N($U60)&lt;=TODAY()+Board!$B$41),1,0),0)</f>
        <v/>
      </c>
    </row>
    <row r="61">
      <c r="A61" s="29" t="n"/>
      <c r="B61" s="29" t="n"/>
      <c r="C61" s="29" t="n"/>
      <c r="D61" s="29" t="n"/>
      <c r="E61" s="29" t="n"/>
      <c r="F61" s="29" t="n"/>
      <c r="G61" s="29" t="n"/>
      <c r="H61" s="30" t="n"/>
      <c r="I61" s="30" t="n"/>
      <c r="J61" s="19" t="n"/>
      <c r="K61" s="19" t="n"/>
      <c r="L61" s="26" t="n"/>
      <c r="M61" s="31">
        <f>IF($A61="","",IF($D61="","Not read",IF($Q61=0,"Not counted",IF(MAX($X61,$Y61)=3,"■ Red",IF(MAX($X61,$Y61)=2,"◧ Amber",IF(MAX($X61,$Y61)=1,"□ On track","Not read"))))))</f>
        <v/>
      </c>
      <c r="N61" s="31">
        <f>IF(OR($A61="",$B61&lt;&gt;"Program"),"","■ "&amp;COUNTIFS($C$6:$C$305,$A61,$M$6:$M$305,"■ Red")&amp;" Red, ◧ "&amp;COUNTIFS($C$6:$C$305,$A61,$M$6:$M$305,"◧ Amber")&amp;" Amber")</f>
        <v/>
      </c>
      <c r="O61" s="32">
        <f>IF(OR($A61="",$E61=""),"",COUNTIFS($E$6:$E$305,$E61,$D$6:$D$305,"Active")+COUNTIFS($E$6:$E$305,$E61,$D$6:$D$305,"Paused"))</f>
        <v/>
      </c>
      <c r="P61" s="31">
        <f>IF($A61="","",IF($AE61=0,"○ Clear",IF($AA61=1,"△ No owner",IF($AC61=1,"△ Check Sits under",IF($AC61=2,"△ Outside the portfolio",IF($AB61=1,"△ No sponsor","△ No variance note"))))&amp;IF($AE61&gt;1," (+"&amp;($AE61-1)&amp;" more)","")))</f>
        <v/>
      </c>
      <c r="Q61" s="31">
        <f>IF(AND($A61&lt;&gt;"",OR($D61="Active",$D61="Paused")),1,0)</f>
        <v/>
      </c>
      <c r="R61" s="31">
        <f>IFERROR(INDEX($A$6:$A$305,MATCH(54,$S$6:$S$305,0)),"")</f>
        <v/>
      </c>
      <c r="S61" s="31">
        <f>IF(AND($A61&lt;&gt;"",$B61="Program"),COUNTIFS($B$6:$B61,"Program",$A$6:$A61,"&lt;&gt;"),"")</f>
        <v/>
      </c>
      <c r="T61" s="33">
        <f>IF(AND($A61&lt;&gt;"",$B61="Program"),SUMPRODUCT(MAX(($C$6:$C$305=$A61)*($B$6:$B$305="Project")*($D$6:$D$305&lt;&gt;"Proposed")*$I$6:$I$305)),0)</f>
        <v/>
      </c>
      <c r="U61" s="33">
        <f>IF($I61&lt;&gt;"",$I61,IF($T61&gt;0,$T61,""))</f>
        <v/>
      </c>
      <c r="V61" s="31">
        <f>IF(AND($A61&lt;&gt;"",$B61="Program"),SUMIFS($J$6:$J$305,$C$6:$C$305,$A61,$B$6:$B$305,"Project",$D$6:$D$305,"&lt;&gt;Proposed"),0)</f>
        <v/>
      </c>
      <c r="W61" s="31">
        <f>IF(AND($A61&lt;&gt;"",$B61="Program"),COUNTIFS($C$6:$C$305,$A61,$B$6:$B$305,"Project",$D$6:$D$305,"&lt;&gt;Proposed")-COUNTIFS($C$6:$C$305,$A61,$B$6:$B$305,"Project",$D$6:$D$305,"&lt;&gt;Proposed",$J$6:$J$305,"&gt;=0"),0)</f>
        <v/>
      </c>
      <c r="X61" s="31">
        <f>IF(OR($Q61=0,$H61=""),0,IF(AND($B61="Project",$H61&lt;TODAY()),3,IF($U61="",0,IF($U61&lt;=$H61,1,IF(NETWORKDAYS($H61,$U61)-1&gt;IF($B61="Program",Portfolio!$B$16,Portfolio!$B$15),3,2)))))</f>
        <v/>
      </c>
      <c r="Y61" s="31">
        <f>IF(OR($Q61=0,$K61="",$K61=0),0,IF(AND($B61="Project",$J61=""),0,IF(IF($B61="Program",$V61,$J61)&gt;$K61*(1+Portfolio!$B$17),3,IF(IF($B61="Program",$V61,$J61)&gt;$K61,2,IF(AND($B61="Program",OR($W61&gt;0,$V61=0)),0,1)))))</f>
        <v/>
      </c>
      <c r="Z61" s="31">
        <f>IF($A61="",0,IF($C61="Portfolio",1,IF(AND($B61="Project",$C61&lt;&gt;"",$C61&lt;&gt;"Outside the portfolio"),IFERROR(IF(AND(INDEX($B$6:$B$305,MATCH($C61,$A$6:$A$305,0))="Program",INDEX($C$6:$C$305,MATCH($C61,$A$6:$A$305,0))="Portfolio"),1,0),0),0)))</f>
        <v/>
      </c>
      <c r="AA61" s="31">
        <f>IF(AND($A61&lt;&gt;"",$E61="",OR($Q61=1,$D61="Proposed")),1,0)</f>
        <v/>
      </c>
      <c r="AB61" s="31">
        <f>IF(AND($A61&lt;&gt;"",$B61="Program",$F61="",$Q61=1),1,0)</f>
        <v/>
      </c>
      <c r="AC61" s="31">
        <f>IF(OR($A61="",$D61="Completed",$D61="Terminated"),0,IF($C61="",1,IF($C61="Portfolio",0,IF($C61="Outside the portfolio",IF($Q61=1,2,0),IF($B61="Project",IF(IFERROR(INDEX($B$6:$B$305,MATCH($C61,$A$6:$A$305,0)),"")="Program",0,1),1)))))</f>
        <v/>
      </c>
      <c r="AD61" s="31">
        <f>IF(AND($A61&lt;&gt;"",OR($M61="■ Red",$M61="◧ Amber"),$L61=""),1,0)</f>
        <v/>
      </c>
      <c r="AE61" s="31">
        <f>$AA61+$AB61+IF($AC61&gt;0,1,0)+$AD61</f>
        <v/>
      </c>
      <c r="AJ61" s="14" t="n"/>
      <c r="AK61" s="29" t="n"/>
      <c r="AL61" s="31">
        <f>IF(AND($Q61=1,$Z61=1),1,0)</f>
        <v/>
      </c>
      <c r="AM61" s="31">
        <f>IF(AND($AL61=1,$AJ61&lt;&gt;""),MAX(0,TODAY()-$AJ61),"")</f>
        <v/>
      </c>
      <c r="AN61" s="31">
        <f>IF(OR($AL61=0,COUNT($AJ$6:$AJ$305)=0),0,IF($AJ61="",1,IF(TODAY()-$AJ61&gt;Board!$B$40,1,0)))</f>
        <v/>
      </c>
      <c r="AO61" s="31">
        <f>IF($AL61=0,0,IF($M61="■ Red",3,IF($M61="◧ Amber",2,IF($M61="□ On track",1,0))))</f>
        <v/>
      </c>
      <c r="AP61" s="31">
        <f>IF($AL61=0,0,IF($AK61="Will not hold",3,IF($AK61="At risk",2,IF($AK61="Will hold",1,0))))</f>
        <v/>
      </c>
      <c r="AQ61" s="31">
        <f>IF($AL61=0,"",IF($AO61=3,0,IF($AO61=2,1,IF(AND($AP61&gt;=2,$AP61&gt;$AO61),2,""))))</f>
        <v/>
      </c>
      <c r="AR61" s="31">
        <f>IF($AQ61="","",$AQ61*1000+61)</f>
        <v/>
      </c>
      <c r="AS61" s="31">
        <f>IF(AND($AL61=1,$AO61&gt;=2,$AP61&gt;=1,$AP61&lt;$AO61),1,0)</f>
        <v/>
      </c>
      <c r="AT61" s="31">
        <f>IF(AND($AL61=1,$AO61&gt;=2,$AP61=0),1,0)</f>
        <v/>
      </c>
      <c r="AU61" s="31">
        <f>IF(AND($AL61=1,$U61&lt;&gt;"",$U61&lt;TODAY()),1,0)</f>
        <v/>
      </c>
      <c r="AV61" s="31">
        <f>IF(OR($A61="",$AJ61="",Portfolio!$B$10=""),0,IF($AJ61&lt;=Portfolio!$B$10,0,IF(AND($D61="Completed",$Z61=1),1,IF(AND($D61="Terminated",$Z61=1),2,IF(AND($Q61=1,$Z61=0),3,0)))))</f>
        <v/>
      </c>
      <c r="AW61" s="31">
        <f>IF($AV61&gt;0,COUNTIF($AV$6:$AV61,"&gt;0"),"")</f>
        <v/>
      </c>
      <c r="AX61" s="31">
        <f>IF($AL61=0,"",IF(AND($B61="Project",$H61&lt;&gt;"",$H61&lt;TODAY()),"Planned finish "&amp;TEXT($H61,"d mmm")&amp;" has passed",IF($X61&gt;=2,(NETWORKDAYS($H61,$U61)-1)&amp;" working days past plan","")))</f>
        <v/>
      </c>
      <c r="AY61" s="31">
        <f>IF($AL61=0,"",IF($Y61&gt;=2,"Over budget by "&amp;TEXT(IF($B61="Program",$V61,$J61)-$K61,"#,##0"),""))</f>
        <v/>
      </c>
      <c r="AZ61" s="31">
        <f>IF(AND($AL61=1,$U61&lt;&gt;""),IF(AND(N($U61)&gt;=TODAY(),N($U61)&lt;=TODAY()+Board!$B$41),1,0),0)</f>
        <v/>
      </c>
    </row>
    <row r="62">
      <c r="A62" s="29" t="n"/>
      <c r="B62" s="29" t="n"/>
      <c r="C62" s="29" t="n"/>
      <c r="D62" s="29" t="n"/>
      <c r="E62" s="29" t="n"/>
      <c r="F62" s="29" t="n"/>
      <c r="G62" s="29" t="n"/>
      <c r="H62" s="30" t="n"/>
      <c r="I62" s="30" t="n"/>
      <c r="J62" s="19" t="n"/>
      <c r="K62" s="19" t="n"/>
      <c r="L62" s="26" t="n"/>
      <c r="M62" s="31">
        <f>IF($A62="","",IF($D62="","Not read",IF($Q62=0,"Not counted",IF(MAX($X62,$Y62)=3,"■ Red",IF(MAX($X62,$Y62)=2,"◧ Amber",IF(MAX($X62,$Y62)=1,"□ On track","Not read"))))))</f>
        <v/>
      </c>
      <c r="N62" s="31">
        <f>IF(OR($A62="",$B62&lt;&gt;"Program"),"","■ "&amp;COUNTIFS($C$6:$C$305,$A62,$M$6:$M$305,"■ Red")&amp;" Red, ◧ "&amp;COUNTIFS($C$6:$C$305,$A62,$M$6:$M$305,"◧ Amber")&amp;" Amber")</f>
        <v/>
      </c>
      <c r="O62" s="32">
        <f>IF(OR($A62="",$E62=""),"",COUNTIFS($E$6:$E$305,$E62,$D$6:$D$305,"Active")+COUNTIFS($E$6:$E$305,$E62,$D$6:$D$305,"Paused"))</f>
        <v/>
      </c>
      <c r="P62" s="31">
        <f>IF($A62="","",IF($AE62=0,"○ Clear",IF($AA62=1,"△ No owner",IF($AC62=1,"△ Check Sits under",IF($AC62=2,"△ Outside the portfolio",IF($AB62=1,"△ No sponsor","△ No variance note"))))&amp;IF($AE62&gt;1," (+"&amp;($AE62-1)&amp;" more)","")))</f>
        <v/>
      </c>
      <c r="Q62" s="31">
        <f>IF(AND($A62&lt;&gt;"",OR($D62="Active",$D62="Paused")),1,0)</f>
        <v/>
      </c>
      <c r="R62" s="31">
        <f>IFERROR(INDEX($A$6:$A$305,MATCH(55,$S$6:$S$305,0)),"")</f>
        <v/>
      </c>
      <c r="S62" s="31">
        <f>IF(AND($A62&lt;&gt;"",$B62="Program"),COUNTIFS($B$6:$B62,"Program",$A$6:$A62,"&lt;&gt;"),"")</f>
        <v/>
      </c>
      <c r="T62" s="33">
        <f>IF(AND($A62&lt;&gt;"",$B62="Program"),SUMPRODUCT(MAX(($C$6:$C$305=$A62)*($B$6:$B$305="Project")*($D$6:$D$305&lt;&gt;"Proposed")*$I$6:$I$305)),0)</f>
        <v/>
      </c>
      <c r="U62" s="33">
        <f>IF($I62&lt;&gt;"",$I62,IF($T62&gt;0,$T62,""))</f>
        <v/>
      </c>
      <c r="V62" s="31">
        <f>IF(AND($A62&lt;&gt;"",$B62="Program"),SUMIFS($J$6:$J$305,$C$6:$C$305,$A62,$B$6:$B$305,"Project",$D$6:$D$305,"&lt;&gt;Proposed"),0)</f>
        <v/>
      </c>
      <c r="W62" s="31">
        <f>IF(AND($A62&lt;&gt;"",$B62="Program"),COUNTIFS($C$6:$C$305,$A62,$B$6:$B$305,"Project",$D$6:$D$305,"&lt;&gt;Proposed")-COUNTIFS($C$6:$C$305,$A62,$B$6:$B$305,"Project",$D$6:$D$305,"&lt;&gt;Proposed",$J$6:$J$305,"&gt;=0"),0)</f>
        <v/>
      </c>
      <c r="X62" s="31">
        <f>IF(OR($Q62=0,$H62=""),0,IF(AND($B62="Project",$H62&lt;TODAY()),3,IF($U62="",0,IF($U62&lt;=$H62,1,IF(NETWORKDAYS($H62,$U62)-1&gt;IF($B62="Program",Portfolio!$B$16,Portfolio!$B$15),3,2)))))</f>
        <v/>
      </c>
      <c r="Y62" s="31">
        <f>IF(OR($Q62=0,$K62="",$K62=0),0,IF(AND($B62="Project",$J62=""),0,IF(IF($B62="Program",$V62,$J62)&gt;$K62*(1+Portfolio!$B$17),3,IF(IF($B62="Program",$V62,$J62)&gt;$K62,2,IF(AND($B62="Program",OR($W62&gt;0,$V62=0)),0,1)))))</f>
        <v/>
      </c>
      <c r="Z62" s="31">
        <f>IF($A62="",0,IF($C62="Portfolio",1,IF(AND($B62="Project",$C62&lt;&gt;"",$C62&lt;&gt;"Outside the portfolio"),IFERROR(IF(AND(INDEX($B$6:$B$305,MATCH($C62,$A$6:$A$305,0))="Program",INDEX($C$6:$C$305,MATCH($C62,$A$6:$A$305,0))="Portfolio"),1,0),0),0)))</f>
        <v/>
      </c>
      <c r="AA62" s="31">
        <f>IF(AND($A62&lt;&gt;"",$E62="",OR($Q62=1,$D62="Proposed")),1,0)</f>
        <v/>
      </c>
      <c r="AB62" s="31">
        <f>IF(AND($A62&lt;&gt;"",$B62="Program",$F62="",$Q62=1),1,0)</f>
        <v/>
      </c>
      <c r="AC62" s="31">
        <f>IF(OR($A62="",$D62="Completed",$D62="Terminated"),0,IF($C62="",1,IF($C62="Portfolio",0,IF($C62="Outside the portfolio",IF($Q62=1,2,0),IF($B62="Project",IF(IFERROR(INDEX($B$6:$B$305,MATCH($C62,$A$6:$A$305,0)),"")="Program",0,1),1)))))</f>
        <v/>
      </c>
      <c r="AD62" s="31">
        <f>IF(AND($A62&lt;&gt;"",OR($M62="■ Red",$M62="◧ Amber"),$L62=""),1,0)</f>
        <v/>
      </c>
      <c r="AE62" s="31">
        <f>$AA62+$AB62+IF($AC62&gt;0,1,0)+$AD62</f>
        <v/>
      </c>
      <c r="AJ62" s="14" t="n"/>
      <c r="AK62" s="29" t="n"/>
      <c r="AL62" s="31">
        <f>IF(AND($Q62=1,$Z62=1),1,0)</f>
        <v/>
      </c>
      <c r="AM62" s="31">
        <f>IF(AND($AL62=1,$AJ62&lt;&gt;""),MAX(0,TODAY()-$AJ62),"")</f>
        <v/>
      </c>
      <c r="AN62" s="31">
        <f>IF(OR($AL62=0,COUNT($AJ$6:$AJ$305)=0),0,IF($AJ62="",1,IF(TODAY()-$AJ62&gt;Board!$B$40,1,0)))</f>
        <v/>
      </c>
      <c r="AO62" s="31">
        <f>IF($AL62=0,0,IF($M62="■ Red",3,IF($M62="◧ Amber",2,IF($M62="□ On track",1,0))))</f>
        <v/>
      </c>
      <c r="AP62" s="31">
        <f>IF($AL62=0,0,IF($AK62="Will not hold",3,IF($AK62="At risk",2,IF($AK62="Will hold",1,0))))</f>
        <v/>
      </c>
      <c r="AQ62" s="31">
        <f>IF($AL62=0,"",IF($AO62=3,0,IF($AO62=2,1,IF(AND($AP62&gt;=2,$AP62&gt;$AO62),2,""))))</f>
        <v/>
      </c>
      <c r="AR62" s="31">
        <f>IF($AQ62="","",$AQ62*1000+62)</f>
        <v/>
      </c>
      <c r="AS62" s="31">
        <f>IF(AND($AL62=1,$AO62&gt;=2,$AP62&gt;=1,$AP62&lt;$AO62),1,0)</f>
        <v/>
      </c>
      <c r="AT62" s="31">
        <f>IF(AND($AL62=1,$AO62&gt;=2,$AP62=0),1,0)</f>
        <v/>
      </c>
      <c r="AU62" s="31">
        <f>IF(AND($AL62=1,$U62&lt;&gt;"",$U62&lt;TODAY()),1,0)</f>
        <v/>
      </c>
      <c r="AV62" s="31">
        <f>IF(OR($A62="",$AJ62="",Portfolio!$B$10=""),0,IF($AJ62&lt;=Portfolio!$B$10,0,IF(AND($D62="Completed",$Z62=1),1,IF(AND($D62="Terminated",$Z62=1),2,IF(AND($Q62=1,$Z62=0),3,0)))))</f>
        <v/>
      </c>
      <c r="AW62" s="31">
        <f>IF($AV62&gt;0,COUNTIF($AV$6:$AV62,"&gt;0"),"")</f>
        <v/>
      </c>
      <c r="AX62" s="31">
        <f>IF($AL62=0,"",IF(AND($B62="Project",$H62&lt;&gt;"",$H62&lt;TODAY()),"Planned finish "&amp;TEXT($H62,"d mmm")&amp;" has passed",IF($X62&gt;=2,(NETWORKDAYS($H62,$U62)-1)&amp;" working days past plan","")))</f>
        <v/>
      </c>
      <c r="AY62" s="31">
        <f>IF($AL62=0,"",IF($Y62&gt;=2,"Over budget by "&amp;TEXT(IF($B62="Program",$V62,$J62)-$K62,"#,##0"),""))</f>
        <v/>
      </c>
      <c r="AZ62" s="31">
        <f>IF(AND($AL62=1,$U62&lt;&gt;""),IF(AND(N($U62)&gt;=TODAY(),N($U62)&lt;=TODAY()+Board!$B$41),1,0),0)</f>
        <v/>
      </c>
    </row>
    <row r="63">
      <c r="A63" s="29" t="n"/>
      <c r="B63" s="29" t="n"/>
      <c r="C63" s="29" t="n"/>
      <c r="D63" s="29" t="n"/>
      <c r="E63" s="29" t="n"/>
      <c r="F63" s="29" t="n"/>
      <c r="G63" s="29" t="n"/>
      <c r="H63" s="30" t="n"/>
      <c r="I63" s="30" t="n"/>
      <c r="J63" s="19" t="n"/>
      <c r="K63" s="19" t="n"/>
      <c r="L63" s="26" t="n"/>
      <c r="M63" s="31">
        <f>IF($A63="","",IF($D63="","Not read",IF($Q63=0,"Not counted",IF(MAX($X63,$Y63)=3,"■ Red",IF(MAX($X63,$Y63)=2,"◧ Amber",IF(MAX($X63,$Y63)=1,"□ On track","Not read"))))))</f>
        <v/>
      </c>
      <c r="N63" s="31">
        <f>IF(OR($A63="",$B63&lt;&gt;"Program"),"","■ "&amp;COUNTIFS($C$6:$C$305,$A63,$M$6:$M$305,"■ Red")&amp;" Red, ◧ "&amp;COUNTIFS($C$6:$C$305,$A63,$M$6:$M$305,"◧ Amber")&amp;" Amber")</f>
        <v/>
      </c>
      <c r="O63" s="32">
        <f>IF(OR($A63="",$E63=""),"",COUNTIFS($E$6:$E$305,$E63,$D$6:$D$305,"Active")+COUNTIFS($E$6:$E$305,$E63,$D$6:$D$305,"Paused"))</f>
        <v/>
      </c>
      <c r="P63" s="31">
        <f>IF($A63="","",IF($AE63=0,"○ Clear",IF($AA63=1,"△ No owner",IF($AC63=1,"△ Check Sits under",IF($AC63=2,"△ Outside the portfolio",IF($AB63=1,"△ No sponsor","△ No variance note"))))&amp;IF($AE63&gt;1," (+"&amp;($AE63-1)&amp;" more)","")))</f>
        <v/>
      </c>
      <c r="Q63" s="31">
        <f>IF(AND($A63&lt;&gt;"",OR($D63="Active",$D63="Paused")),1,0)</f>
        <v/>
      </c>
      <c r="R63" s="31">
        <f>IFERROR(INDEX($A$6:$A$305,MATCH(56,$S$6:$S$305,0)),"")</f>
        <v/>
      </c>
      <c r="S63" s="31">
        <f>IF(AND($A63&lt;&gt;"",$B63="Program"),COUNTIFS($B$6:$B63,"Program",$A$6:$A63,"&lt;&gt;"),"")</f>
        <v/>
      </c>
      <c r="T63" s="33">
        <f>IF(AND($A63&lt;&gt;"",$B63="Program"),SUMPRODUCT(MAX(($C$6:$C$305=$A63)*($B$6:$B$305="Project")*($D$6:$D$305&lt;&gt;"Proposed")*$I$6:$I$305)),0)</f>
        <v/>
      </c>
      <c r="U63" s="33">
        <f>IF($I63&lt;&gt;"",$I63,IF($T63&gt;0,$T63,""))</f>
        <v/>
      </c>
      <c r="V63" s="31">
        <f>IF(AND($A63&lt;&gt;"",$B63="Program"),SUMIFS($J$6:$J$305,$C$6:$C$305,$A63,$B$6:$B$305,"Project",$D$6:$D$305,"&lt;&gt;Proposed"),0)</f>
        <v/>
      </c>
      <c r="W63" s="31">
        <f>IF(AND($A63&lt;&gt;"",$B63="Program"),COUNTIFS($C$6:$C$305,$A63,$B$6:$B$305,"Project",$D$6:$D$305,"&lt;&gt;Proposed")-COUNTIFS($C$6:$C$305,$A63,$B$6:$B$305,"Project",$D$6:$D$305,"&lt;&gt;Proposed",$J$6:$J$305,"&gt;=0"),0)</f>
        <v/>
      </c>
      <c r="X63" s="31">
        <f>IF(OR($Q63=0,$H63=""),0,IF(AND($B63="Project",$H63&lt;TODAY()),3,IF($U63="",0,IF($U63&lt;=$H63,1,IF(NETWORKDAYS($H63,$U63)-1&gt;IF($B63="Program",Portfolio!$B$16,Portfolio!$B$15),3,2)))))</f>
        <v/>
      </c>
      <c r="Y63" s="31">
        <f>IF(OR($Q63=0,$K63="",$K63=0),0,IF(AND($B63="Project",$J63=""),0,IF(IF($B63="Program",$V63,$J63)&gt;$K63*(1+Portfolio!$B$17),3,IF(IF($B63="Program",$V63,$J63)&gt;$K63,2,IF(AND($B63="Program",OR($W63&gt;0,$V63=0)),0,1)))))</f>
        <v/>
      </c>
      <c r="Z63" s="31">
        <f>IF($A63="",0,IF($C63="Portfolio",1,IF(AND($B63="Project",$C63&lt;&gt;"",$C63&lt;&gt;"Outside the portfolio"),IFERROR(IF(AND(INDEX($B$6:$B$305,MATCH($C63,$A$6:$A$305,0))="Program",INDEX($C$6:$C$305,MATCH($C63,$A$6:$A$305,0))="Portfolio"),1,0),0),0)))</f>
        <v/>
      </c>
      <c r="AA63" s="31">
        <f>IF(AND($A63&lt;&gt;"",$E63="",OR($Q63=1,$D63="Proposed")),1,0)</f>
        <v/>
      </c>
      <c r="AB63" s="31">
        <f>IF(AND($A63&lt;&gt;"",$B63="Program",$F63="",$Q63=1),1,0)</f>
        <v/>
      </c>
      <c r="AC63" s="31">
        <f>IF(OR($A63="",$D63="Completed",$D63="Terminated"),0,IF($C63="",1,IF($C63="Portfolio",0,IF($C63="Outside the portfolio",IF($Q63=1,2,0),IF($B63="Project",IF(IFERROR(INDEX($B$6:$B$305,MATCH($C63,$A$6:$A$305,0)),"")="Program",0,1),1)))))</f>
        <v/>
      </c>
      <c r="AD63" s="31">
        <f>IF(AND($A63&lt;&gt;"",OR($M63="■ Red",$M63="◧ Amber"),$L63=""),1,0)</f>
        <v/>
      </c>
      <c r="AE63" s="31">
        <f>$AA63+$AB63+IF($AC63&gt;0,1,0)+$AD63</f>
        <v/>
      </c>
      <c r="AJ63" s="14" t="n"/>
      <c r="AK63" s="29" t="n"/>
      <c r="AL63" s="31">
        <f>IF(AND($Q63=1,$Z63=1),1,0)</f>
        <v/>
      </c>
      <c r="AM63" s="31">
        <f>IF(AND($AL63=1,$AJ63&lt;&gt;""),MAX(0,TODAY()-$AJ63),"")</f>
        <v/>
      </c>
      <c r="AN63" s="31">
        <f>IF(OR($AL63=0,COUNT($AJ$6:$AJ$305)=0),0,IF($AJ63="",1,IF(TODAY()-$AJ63&gt;Board!$B$40,1,0)))</f>
        <v/>
      </c>
      <c r="AO63" s="31">
        <f>IF($AL63=0,0,IF($M63="■ Red",3,IF($M63="◧ Amber",2,IF($M63="□ On track",1,0))))</f>
        <v/>
      </c>
      <c r="AP63" s="31">
        <f>IF($AL63=0,0,IF($AK63="Will not hold",3,IF($AK63="At risk",2,IF($AK63="Will hold",1,0))))</f>
        <v/>
      </c>
      <c r="AQ63" s="31">
        <f>IF($AL63=0,"",IF($AO63=3,0,IF($AO63=2,1,IF(AND($AP63&gt;=2,$AP63&gt;$AO63),2,""))))</f>
        <v/>
      </c>
      <c r="AR63" s="31">
        <f>IF($AQ63="","",$AQ63*1000+63)</f>
        <v/>
      </c>
      <c r="AS63" s="31">
        <f>IF(AND($AL63=1,$AO63&gt;=2,$AP63&gt;=1,$AP63&lt;$AO63),1,0)</f>
        <v/>
      </c>
      <c r="AT63" s="31">
        <f>IF(AND($AL63=1,$AO63&gt;=2,$AP63=0),1,0)</f>
        <v/>
      </c>
      <c r="AU63" s="31">
        <f>IF(AND($AL63=1,$U63&lt;&gt;"",$U63&lt;TODAY()),1,0)</f>
        <v/>
      </c>
      <c r="AV63" s="31">
        <f>IF(OR($A63="",$AJ63="",Portfolio!$B$10=""),0,IF($AJ63&lt;=Portfolio!$B$10,0,IF(AND($D63="Completed",$Z63=1),1,IF(AND($D63="Terminated",$Z63=1),2,IF(AND($Q63=1,$Z63=0),3,0)))))</f>
        <v/>
      </c>
      <c r="AW63" s="31">
        <f>IF($AV63&gt;0,COUNTIF($AV$6:$AV63,"&gt;0"),"")</f>
        <v/>
      </c>
      <c r="AX63" s="31">
        <f>IF($AL63=0,"",IF(AND($B63="Project",$H63&lt;&gt;"",$H63&lt;TODAY()),"Planned finish "&amp;TEXT($H63,"d mmm")&amp;" has passed",IF($X63&gt;=2,(NETWORKDAYS($H63,$U63)-1)&amp;" working days past plan","")))</f>
        <v/>
      </c>
      <c r="AY63" s="31">
        <f>IF($AL63=0,"",IF($Y63&gt;=2,"Over budget by "&amp;TEXT(IF($B63="Program",$V63,$J63)-$K63,"#,##0"),""))</f>
        <v/>
      </c>
      <c r="AZ63" s="31">
        <f>IF(AND($AL63=1,$U63&lt;&gt;""),IF(AND(N($U63)&gt;=TODAY(),N($U63)&lt;=TODAY()+Board!$B$41),1,0),0)</f>
        <v/>
      </c>
    </row>
    <row r="64">
      <c r="A64" s="29" t="n"/>
      <c r="B64" s="29" t="n"/>
      <c r="C64" s="29" t="n"/>
      <c r="D64" s="29" t="n"/>
      <c r="E64" s="29" t="n"/>
      <c r="F64" s="29" t="n"/>
      <c r="G64" s="29" t="n"/>
      <c r="H64" s="30" t="n"/>
      <c r="I64" s="30" t="n"/>
      <c r="J64" s="19" t="n"/>
      <c r="K64" s="19" t="n"/>
      <c r="L64" s="26" t="n"/>
      <c r="M64" s="31">
        <f>IF($A64="","",IF($D64="","Not read",IF($Q64=0,"Not counted",IF(MAX($X64,$Y64)=3,"■ Red",IF(MAX($X64,$Y64)=2,"◧ Amber",IF(MAX($X64,$Y64)=1,"□ On track","Not read"))))))</f>
        <v/>
      </c>
      <c r="N64" s="31">
        <f>IF(OR($A64="",$B64&lt;&gt;"Program"),"","■ "&amp;COUNTIFS($C$6:$C$305,$A64,$M$6:$M$305,"■ Red")&amp;" Red, ◧ "&amp;COUNTIFS($C$6:$C$305,$A64,$M$6:$M$305,"◧ Amber")&amp;" Amber")</f>
        <v/>
      </c>
      <c r="O64" s="32">
        <f>IF(OR($A64="",$E64=""),"",COUNTIFS($E$6:$E$305,$E64,$D$6:$D$305,"Active")+COUNTIFS($E$6:$E$305,$E64,$D$6:$D$305,"Paused"))</f>
        <v/>
      </c>
      <c r="P64" s="31">
        <f>IF($A64="","",IF($AE64=0,"○ Clear",IF($AA64=1,"△ No owner",IF($AC64=1,"△ Check Sits under",IF($AC64=2,"△ Outside the portfolio",IF($AB64=1,"△ No sponsor","△ No variance note"))))&amp;IF($AE64&gt;1," (+"&amp;($AE64-1)&amp;" more)","")))</f>
        <v/>
      </c>
      <c r="Q64" s="31">
        <f>IF(AND($A64&lt;&gt;"",OR($D64="Active",$D64="Paused")),1,0)</f>
        <v/>
      </c>
      <c r="R64" s="31">
        <f>IFERROR(INDEX($A$6:$A$305,MATCH(57,$S$6:$S$305,0)),"")</f>
        <v/>
      </c>
      <c r="S64" s="31">
        <f>IF(AND($A64&lt;&gt;"",$B64="Program"),COUNTIFS($B$6:$B64,"Program",$A$6:$A64,"&lt;&gt;"),"")</f>
        <v/>
      </c>
      <c r="T64" s="33">
        <f>IF(AND($A64&lt;&gt;"",$B64="Program"),SUMPRODUCT(MAX(($C$6:$C$305=$A64)*($B$6:$B$305="Project")*($D$6:$D$305&lt;&gt;"Proposed")*$I$6:$I$305)),0)</f>
        <v/>
      </c>
      <c r="U64" s="33">
        <f>IF($I64&lt;&gt;"",$I64,IF($T64&gt;0,$T64,""))</f>
        <v/>
      </c>
      <c r="V64" s="31">
        <f>IF(AND($A64&lt;&gt;"",$B64="Program"),SUMIFS($J$6:$J$305,$C$6:$C$305,$A64,$B$6:$B$305,"Project",$D$6:$D$305,"&lt;&gt;Proposed"),0)</f>
        <v/>
      </c>
      <c r="W64" s="31">
        <f>IF(AND($A64&lt;&gt;"",$B64="Program"),COUNTIFS($C$6:$C$305,$A64,$B$6:$B$305,"Project",$D$6:$D$305,"&lt;&gt;Proposed")-COUNTIFS($C$6:$C$305,$A64,$B$6:$B$305,"Project",$D$6:$D$305,"&lt;&gt;Proposed",$J$6:$J$305,"&gt;=0"),0)</f>
        <v/>
      </c>
      <c r="X64" s="31">
        <f>IF(OR($Q64=0,$H64=""),0,IF(AND($B64="Project",$H64&lt;TODAY()),3,IF($U64="",0,IF($U64&lt;=$H64,1,IF(NETWORKDAYS($H64,$U64)-1&gt;IF($B64="Program",Portfolio!$B$16,Portfolio!$B$15),3,2)))))</f>
        <v/>
      </c>
      <c r="Y64" s="31">
        <f>IF(OR($Q64=0,$K64="",$K64=0),0,IF(AND($B64="Project",$J64=""),0,IF(IF($B64="Program",$V64,$J64)&gt;$K64*(1+Portfolio!$B$17),3,IF(IF($B64="Program",$V64,$J64)&gt;$K64,2,IF(AND($B64="Program",OR($W64&gt;0,$V64=0)),0,1)))))</f>
        <v/>
      </c>
      <c r="Z64" s="31">
        <f>IF($A64="",0,IF($C64="Portfolio",1,IF(AND($B64="Project",$C64&lt;&gt;"",$C64&lt;&gt;"Outside the portfolio"),IFERROR(IF(AND(INDEX($B$6:$B$305,MATCH($C64,$A$6:$A$305,0))="Program",INDEX($C$6:$C$305,MATCH($C64,$A$6:$A$305,0))="Portfolio"),1,0),0),0)))</f>
        <v/>
      </c>
      <c r="AA64" s="31">
        <f>IF(AND($A64&lt;&gt;"",$E64="",OR($Q64=1,$D64="Proposed")),1,0)</f>
        <v/>
      </c>
      <c r="AB64" s="31">
        <f>IF(AND($A64&lt;&gt;"",$B64="Program",$F64="",$Q64=1),1,0)</f>
        <v/>
      </c>
      <c r="AC64" s="31">
        <f>IF(OR($A64="",$D64="Completed",$D64="Terminated"),0,IF($C64="",1,IF($C64="Portfolio",0,IF($C64="Outside the portfolio",IF($Q64=1,2,0),IF($B64="Project",IF(IFERROR(INDEX($B$6:$B$305,MATCH($C64,$A$6:$A$305,0)),"")="Program",0,1),1)))))</f>
        <v/>
      </c>
      <c r="AD64" s="31">
        <f>IF(AND($A64&lt;&gt;"",OR($M64="■ Red",$M64="◧ Amber"),$L64=""),1,0)</f>
        <v/>
      </c>
      <c r="AE64" s="31">
        <f>$AA64+$AB64+IF($AC64&gt;0,1,0)+$AD64</f>
        <v/>
      </c>
      <c r="AJ64" s="14" t="n"/>
      <c r="AK64" s="29" t="n"/>
      <c r="AL64" s="31">
        <f>IF(AND($Q64=1,$Z64=1),1,0)</f>
        <v/>
      </c>
      <c r="AM64" s="31">
        <f>IF(AND($AL64=1,$AJ64&lt;&gt;""),MAX(0,TODAY()-$AJ64),"")</f>
        <v/>
      </c>
      <c r="AN64" s="31">
        <f>IF(OR($AL64=0,COUNT($AJ$6:$AJ$305)=0),0,IF($AJ64="",1,IF(TODAY()-$AJ64&gt;Board!$B$40,1,0)))</f>
        <v/>
      </c>
      <c r="AO64" s="31">
        <f>IF($AL64=0,0,IF($M64="■ Red",3,IF($M64="◧ Amber",2,IF($M64="□ On track",1,0))))</f>
        <v/>
      </c>
      <c r="AP64" s="31">
        <f>IF($AL64=0,0,IF($AK64="Will not hold",3,IF($AK64="At risk",2,IF($AK64="Will hold",1,0))))</f>
        <v/>
      </c>
      <c r="AQ64" s="31">
        <f>IF($AL64=0,"",IF($AO64=3,0,IF($AO64=2,1,IF(AND($AP64&gt;=2,$AP64&gt;$AO64),2,""))))</f>
        <v/>
      </c>
      <c r="AR64" s="31">
        <f>IF($AQ64="","",$AQ64*1000+64)</f>
        <v/>
      </c>
      <c r="AS64" s="31">
        <f>IF(AND($AL64=1,$AO64&gt;=2,$AP64&gt;=1,$AP64&lt;$AO64),1,0)</f>
        <v/>
      </c>
      <c r="AT64" s="31">
        <f>IF(AND($AL64=1,$AO64&gt;=2,$AP64=0),1,0)</f>
        <v/>
      </c>
      <c r="AU64" s="31">
        <f>IF(AND($AL64=1,$U64&lt;&gt;"",$U64&lt;TODAY()),1,0)</f>
        <v/>
      </c>
      <c r="AV64" s="31">
        <f>IF(OR($A64="",$AJ64="",Portfolio!$B$10=""),0,IF($AJ64&lt;=Portfolio!$B$10,0,IF(AND($D64="Completed",$Z64=1),1,IF(AND($D64="Terminated",$Z64=1),2,IF(AND($Q64=1,$Z64=0),3,0)))))</f>
        <v/>
      </c>
      <c r="AW64" s="31">
        <f>IF($AV64&gt;0,COUNTIF($AV$6:$AV64,"&gt;0"),"")</f>
        <v/>
      </c>
      <c r="AX64" s="31">
        <f>IF($AL64=0,"",IF(AND($B64="Project",$H64&lt;&gt;"",$H64&lt;TODAY()),"Planned finish "&amp;TEXT($H64,"d mmm")&amp;" has passed",IF($X64&gt;=2,(NETWORKDAYS($H64,$U64)-1)&amp;" working days past plan","")))</f>
        <v/>
      </c>
      <c r="AY64" s="31">
        <f>IF($AL64=0,"",IF($Y64&gt;=2,"Over budget by "&amp;TEXT(IF($B64="Program",$V64,$J64)-$K64,"#,##0"),""))</f>
        <v/>
      </c>
      <c r="AZ64" s="31">
        <f>IF(AND($AL64=1,$U64&lt;&gt;""),IF(AND(N($U64)&gt;=TODAY(),N($U64)&lt;=TODAY()+Board!$B$41),1,0),0)</f>
        <v/>
      </c>
    </row>
    <row r="65">
      <c r="A65" s="29" t="n"/>
      <c r="B65" s="29" t="n"/>
      <c r="C65" s="29" t="n"/>
      <c r="D65" s="29" t="n"/>
      <c r="E65" s="29" t="n"/>
      <c r="F65" s="29" t="n"/>
      <c r="G65" s="29" t="n"/>
      <c r="H65" s="30" t="n"/>
      <c r="I65" s="30" t="n"/>
      <c r="J65" s="19" t="n"/>
      <c r="K65" s="19" t="n"/>
      <c r="L65" s="26" t="n"/>
      <c r="M65" s="31">
        <f>IF($A65="","",IF($D65="","Not read",IF($Q65=0,"Not counted",IF(MAX($X65,$Y65)=3,"■ Red",IF(MAX($X65,$Y65)=2,"◧ Amber",IF(MAX($X65,$Y65)=1,"□ On track","Not read"))))))</f>
        <v/>
      </c>
      <c r="N65" s="31">
        <f>IF(OR($A65="",$B65&lt;&gt;"Program"),"","■ "&amp;COUNTIFS($C$6:$C$305,$A65,$M$6:$M$305,"■ Red")&amp;" Red, ◧ "&amp;COUNTIFS($C$6:$C$305,$A65,$M$6:$M$305,"◧ Amber")&amp;" Amber")</f>
        <v/>
      </c>
      <c r="O65" s="32">
        <f>IF(OR($A65="",$E65=""),"",COUNTIFS($E$6:$E$305,$E65,$D$6:$D$305,"Active")+COUNTIFS($E$6:$E$305,$E65,$D$6:$D$305,"Paused"))</f>
        <v/>
      </c>
      <c r="P65" s="31">
        <f>IF($A65="","",IF($AE65=0,"○ Clear",IF($AA65=1,"△ No owner",IF($AC65=1,"△ Check Sits under",IF($AC65=2,"△ Outside the portfolio",IF($AB65=1,"△ No sponsor","△ No variance note"))))&amp;IF($AE65&gt;1," (+"&amp;($AE65-1)&amp;" more)","")))</f>
        <v/>
      </c>
      <c r="Q65" s="31">
        <f>IF(AND($A65&lt;&gt;"",OR($D65="Active",$D65="Paused")),1,0)</f>
        <v/>
      </c>
      <c r="R65" s="31">
        <f>IFERROR(INDEX($A$6:$A$305,MATCH(58,$S$6:$S$305,0)),"")</f>
        <v/>
      </c>
      <c r="S65" s="31">
        <f>IF(AND($A65&lt;&gt;"",$B65="Program"),COUNTIFS($B$6:$B65,"Program",$A$6:$A65,"&lt;&gt;"),"")</f>
        <v/>
      </c>
      <c r="T65" s="33">
        <f>IF(AND($A65&lt;&gt;"",$B65="Program"),SUMPRODUCT(MAX(($C$6:$C$305=$A65)*($B$6:$B$305="Project")*($D$6:$D$305&lt;&gt;"Proposed")*$I$6:$I$305)),0)</f>
        <v/>
      </c>
      <c r="U65" s="33">
        <f>IF($I65&lt;&gt;"",$I65,IF($T65&gt;0,$T65,""))</f>
        <v/>
      </c>
      <c r="V65" s="31">
        <f>IF(AND($A65&lt;&gt;"",$B65="Program"),SUMIFS($J$6:$J$305,$C$6:$C$305,$A65,$B$6:$B$305,"Project",$D$6:$D$305,"&lt;&gt;Proposed"),0)</f>
        <v/>
      </c>
      <c r="W65" s="31">
        <f>IF(AND($A65&lt;&gt;"",$B65="Program"),COUNTIFS($C$6:$C$305,$A65,$B$6:$B$305,"Project",$D$6:$D$305,"&lt;&gt;Proposed")-COUNTIFS($C$6:$C$305,$A65,$B$6:$B$305,"Project",$D$6:$D$305,"&lt;&gt;Proposed",$J$6:$J$305,"&gt;=0"),0)</f>
        <v/>
      </c>
      <c r="X65" s="31">
        <f>IF(OR($Q65=0,$H65=""),0,IF(AND($B65="Project",$H65&lt;TODAY()),3,IF($U65="",0,IF($U65&lt;=$H65,1,IF(NETWORKDAYS($H65,$U65)-1&gt;IF($B65="Program",Portfolio!$B$16,Portfolio!$B$15),3,2)))))</f>
        <v/>
      </c>
      <c r="Y65" s="31">
        <f>IF(OR($Q65=0,$K65="",$K65=0),0,IF(AND($B65="Project",$J65=""),0,IF(IF($B65="Program",$V65,$J65)&gt;$K65*(1+Portfolio!$B$17),3,IF(IF($B65="Program",$V65,$J65)&gt;$K65,2,IF(AND($B65="Program",OR($W65&gt;0,$V65=0)),0,1)))))</f>
        <v/>
      </c>
      <c r="Z65" s="31">
        <f>IF($A65="",0,IF($C65="Portfolio",1,IF(AND($B65="Project",$C65&lt;&gt;"",$C65&lt;&gt;"Outside the portfolio"),IFERROR(IF(AND(INDEX($B$6:$B$305,MATCH($C65,$A$6:$A$305,0))="Program",INDEX($C$6:$C$305,MATCH($C65,$A$6:$A$305,0))="Portfolio"),1,0),0),0)))</f>
        <v/>
      </c>
      <c r="AA65" s="31">
        <f>IF(AND($A65&lt;&gt;"",$E65="",OR($Q65=1,$D65="Proposed")),1,0)</f>
        <v/>
      </c>
      <c r="AB65" s="31">
        <f>IF(AND($A65&lt;&gt;"",$B65="Program",$F65="",$Q65=1),1,0)</f>
        <v/>
      </c>
      <c r="AC65" s="31">
        <f>IF(OR($A65="",$D65="Completed",$D65="Terminated"),0,IF($C65="",1,IF($C65="Portfolio",0,IF($C65="Outside the portfolio",IF($Q65=1,2,0),IF($B65="Project",IF(IFERROR(INDEX($B$6:$B$305,MATCH($C65,$A$6:$A$305,0)),"")="Program",0,1),1)))))</f>
        <v/>
      </c>
      <c r="AD65" s="31">
        <f>IF(AND($A65&lt;&gt;"",OR($M65="■ Red",$M65="◧ Amber"),$L65=""),1,0)</f>
        <v/>
      </c>
      <c r="AE65" s="31">
        <f>$AA65+$AB65+IF($AC65&gt;0,1,0)+$AD65</f>
        <v/>
      </c>
      <c r="AJ65" s="14" t="n"/>
      <c r="AK65" s="29" t="n"/>
      <c r="AL65" s="31">
        <f>IF(AND($Q65=1,$Z65=1),1,0)</f>
        <v/>
      </c>
      <c r="AM65" s="31">
        <f>IF(AND($AL65=1,$AJ65&lt;&gt;""),MAX(0,TODAY()-$AJ65),"")</f>
        <v/>
      </c>
      <c r="AN65" s="31">
        <f>IF(OR($AL65=0,COUNT($AJ$6:$AJ$305)=0),0,IF($AJ65="",1,IF(TODAY()-$AJ65&gt;Board!$B$40,1,0)))</f>
        <v/>
      </c>
      <c r="AO65" s="31">
        <f>IF($AL65=0,0,IF($M65="■ Red",3,IF($M65="◧ Amber",2,IF($M65="□ On track",1,0))))</f>
        <v/>
      </c>
      <c r="AP65" s="31">
        <f>IF($AL65=0,0,IF($AK65="Will not hold",3,IF($AK65="At risk",2,IF($AK65="Will hold",1,0))))</f>
        <v/>
      </c>
      <c r="AQ65" s="31">
        <f>IF($AL65=0,"",IF($AO65=3,0,IF($AO65=2,1,IF(AND($AP65&gt;=2,$AP65&gt;$AO65),2,""))))</f>
        <v/>
      </c>
      <c r="AR65" s="31">
        <f>IF($AQ65="","",$AQ65*1000+65)</f>
        <v/>
      </c>
      <c r="AS65" s="31">
        <f>IF(AND($AL65=1,$AO65&gt;=2,$AP65&gt;=1,$AP65&lt;$AO65),1,0)</f>
        <v/>
      </c>
      <c r="AT65" s="31">
        <f>IF(AND($AL65=1,$AO65&gt;=2,$AP65=0),1,0)</f>
        <v/>
      </c>
      <c r="AU65" s="31">
        <f>IF(AND($AL65=1,$U65&lt;&gt;"",$U65&lt;TODAY()),1,0)</f>
        <v/>
      </c>
      <c r="AV65" s="31">
        <f>IF(OR($A65="",$AJ65="",Portfolio!$B$10=""),0,IF($AJ65&lt;=Portfolio!$B$10,0,IF(AND($D65="Completed",$Z65=1),1,IF(AND($D65="Terminated",$Z65=1),2,IF(AND($Q65=1,$Z65=0),3,0)))))</f>
        <v/>
      </c>
      <c r="AW65" s="31">
        <f>IF($AV65&gt;0,COUNTIF($AV$6:$AV65,"&gt;0"),"")</f>
        <v/>
      </c>
      <c r="AX65" s="31">
        <f>IF($AL65=0,"",IF(AND($B65="Project",$H65&lt;&gt;"",$H65&lt;TODAY()),"Planned finish "&amp;TEXT($H65,"d mmm")&amp;" has passed",IF($X65&gt;=2,(NETWORKDAYS($H65,$U65)-1)&amp;" working days past plan","")))</f>
        <v/>
      </c>
      <c r="AY65" s="31">
        <f>IF($AL65=0,"",IF($Y65&gt;=2,"Over budget by "&amp;TEXT(IF($B65="Program",$V65,$J65)-$K65,"#,##0"),""))</f>
        <v/>
      </c>
      <c r="AZ65" s="31">
        <f>IF(AND($AL65=1,$U65&lt;&gt;""),IF(AND(N($U65)&gt;=TODAY(),N($U65)&lt;=TODAY()+Board!$B$41),1,0),0)</f>
        <v/>
      </c>
    </row>
    <row r="66">
      <c r="A66" s="29" t="n"/>
      <c r="B66" s="29" t="n"/>
      <c r="C66" s="29" t="n"/>
      <c r="D66" s="29" t="n"/>
      <c r="E66" s="29" t="n"/>
      <c r="F66" s="29" t="n"/>
      <c r="G66" s="29" t="n"/>
      <c r="H66" s="30" t="n"/>
      <c r="I66" s="30" t="n"/>
      <c r="J66" s="19" t="n"/>
      <c r="K66" s="19" t="n"/>
      <c r="L66" s="26" t="n"/>
      <c r="M66" s="31">
        <f>IF($A66="","",IF($D66="","Not read",IF($Q66=0,"Not counted",IF(MAX($X66,$Y66)=3,"■ Red",IF(MAX($X66,$Y66)=2,"◧ Amber",IF(MAX($X66,$Y66)=1,"□ On track","Not read"))))))</f>
        <v/>
      </c>
      <c r="N66" s="31">
        <f>IF(OR($A66="",$B66&lt;&gt;"Program"),"","■ "&amp;COUNTIFS($C$6:$C$305,$A66,$M$6:$M$305,"■ Red")&amp;" Red, ◧ "&amp;COUNTIFS($C$6:$C$305,$A66,$M$6:$M$305,"◧ Amber")&amp;" Amber")</f>
        <v/>
      </c>
      <c r="O66" s="32">
        <f>IF(OR($A66="",$E66=""),"",COUNTIFS($E$6:$E$305,$E66,$D$6:$D$305,"Active")+COUNTIFS($E$6:$E$305,$E66,$D$6:$D$305,"Paused"))</f>
        <v/>
      </c>
      <c r="P66" s="31">
        <f>IF($A66="","",IF($AE66=0,"○ Clear",IF($AA66=1,"△ No owner",IF($AC66=1,"△ Check Sits under",IF($AC66=2,"△ Outside the portfolio",IF($AB66=1,"△ No sponsor","△ No variance note"))))&amp;IF($AE66&gt;1," (+"&amp;($AE66-1)&amp;" more)","")))</f>
        <v/>
      </c>
      <c r="Q66" s="31">
        <f>IF(AND($A66&lt;&gt;"",OR($D66="Active",$D66="Paused")),1,0)</f>
        <v/>
      </c>
      <c r="R66" s="31">
        <f>IFERROR(INDEX($A$6:$A$305,MATCH(59,$S$6:$S$305,0)),"")</f>
        <v/>
      </c>
      <c r="S66" s="31">
        <f>IF(AND($A66&lt;&gt;"",$B66="Program"),COUNTIFS($B$6:$B66,"Program",$A$6:$A66,"&lt;&gt;"),"")</f>
        <v/>
      </c>
      <c r="T66" s="33">
        <f>IF(AND($A66&lt;&gt;"",$B66="Program"),SUMPRODUCT(MAX(($C$6:$C$305=$A66)*($B$6:$B$305="Project")*($D$6:$D$305&lt;&gt;"Proposed")*$I$6:$I$305)),0)</f>
        <v/>
      </c>
      <c r="U66" s="33">
        <f>IF($I66&lt;&gt;"",$I66,IF($T66&gt;0,$T66,""))</f>
        <v/>
      </c>
      <c r="V66" s="31">
        <f>IF(AND($A66&lt;&gt;"",$B66="Program"),SUMIFS($J$6:$J$305,$C$6:$C$305,$A66,$B$6:$B$305,"Project",$D$6:$D$305,"&lt;&gt;Proposed"),0)</f>
        <v/>
      </c>
      <c r="W66" s="31">
        <f>IF(AND($A66&lt;&gt;"",$B66="Program"),COUNTIFS($C$6:$C$305,$A66,$B$6:$B$305,"Project",$D$6:$D$305,"&lt;&gt;Proposed")-COUNTIFS($C$6:$C$305,$A66,$B$6:$B$305,"Project",$D$6:$D$305,"&lt;&gt;Proposed",$J$6:$J$305,"&gt;=0"),0)</f>
        <v/>
      </c>
      <c r="X66" s="31">
        <f>IF(OR($Q66=0,$H66=""),0,IF(AND($B66="Project",$H66&lt;TODAY()),3,IF($U66="",0,IF($U66&lt;=$H66,1,IF(NETWORKDAYS($H66,$U66)-1&gt;IF($B66="Program",Portfolio!$B$16,Portfolio!$B$15),3,2)))))</f>
        <v/>
      </c>
      <c r="Y66" s="31">
        <f>IF(OR($Q66=0,$K66="",$K66=0),0,IF(AND($B66="Project",$J66=""),0,IF(IF($B66="Program",$V66,$J66)&gt;$K66*(1+Portfolio!$B$17),3,IF(IF($B66="Program",$V66,$J66)&gt;$K66,2,IF(AND($B66="Program",OR($W66&gt;0,$V66=0)),0,1)))))</f>
        <v/>
      </c>
      <c r="Z66" s="31">
        <f>IF($A66="",0,IF($C66="Portfolio",1,IF(AND($B66="Project",$C66&lt;&gt;"",$C66&lt;&gt;"Outside the portfolio"),IFERROR(IF(AND(INDEX($B$6:$B$305,MATCH($C66,$A$6:$A$305,0))="Program",INDEX($C$6:$C$305,MATCH($C66,$A$6:$A$305,0))="Portfolio"),1,0),0),0)))</f>
        <v/>
      </c>
      <c r="AA66" s="31">
        <f>IF(AND($A66&lt;&gt;"",$E66="",OR($Q66=1,$D66="Proposed")),1,0)</f>
        <v/>
      </c>
      <c r="AB66" s="31">
        <f>IF(AND($A66&lt;&gt;"",$B66="Program",$F66="",$Q66=1),1,0)</f>
        <v/>
      </c>
      <c r="AC66" s="31">
        <f>IF(OR($A66="",$D66="Completed",$D66="Terminated"),0,IF($C66="",1,IF($C66="Portfolio",0,IF($C66="Outside the portfolio",IF($Q66=1,2,0),IF($B66="Project",IF(IFERROR(INDEX($B$6:$B$305,MATCH($C66,$A$6:$A$305,0)),"")="Program",0,1),1)))))</f>
        <v/>
      </c>
      <c r="AD66" s="31">
        <f>IF(AND($A66&lt;&gt;"",OR($M66="■ Red",$M66="◧ Amber"),$L66=""),1,0)</f>
        <v/>
      </c>
      <c r="AE66" s="31">
        <f>$AA66+$AB66+IF($AC66&gt;0,1,0)+$AD66</f>
        <v/>
      </c>
      <c r="AJ66" s="14" t="n"/>
      <c r="AK66" s="29" t="n"/>
      <c r="AL66" s="31">
        <f>IF(AND($Q66=1,$Z66=1),1,0)</f>
        <v/>
      </c>
      <c r="AM66" s="31">
        <f>IF(AND($AL66=1,$AJ66&lt;&gt;""),MAX(0,TODAY()-$AJ66),"")</f>
        <v/>
      </c>
      <c r="AN66" s="31">
        <f>IF(OR($AL66=0,COUNT($AJ$6:$AJ$305)=0),0,IF($AJ66="",1,IF(TODAY()-$AJ66&gt;Board!$B$40,1,0)))</f>
        <v/>
      </c>
      <c r="AO66" s="31">
        <f>IF($AL66=0,0,IF($M66="■ Red",3,IF($M66="◧ Amber",2,IF($M66="□ On track",1,0))))</f>
        <v/>
      </c>
      <c r="AP66" s="31">
        <f>IF($AL66=0,0,IF($AK66="Will not hold",3,IF($AK66="At risk",2,IF($AK66="Will hold",1,0))))</f>
        <v/>
      </c>
      <c r="AQ66" s="31">
        <f>IF($AL66=0,"",IF($AO66=3,0,IF($AO66=2,1,IF(AND($AP66&gt;=2,$AP66&gt;$AO66),2,""))))</f>
        <v/>
      </c>
      <c r="AR66" s="31">
        <f>IF($AQ66="","",$AQ66*1000+66)</f>
        <v/>
      </c>
      <c r="AS66" s="31">
        <f>IF(AND($AL66=1,$AO66&gt;=2,$AP66&gt;=1,$AP66&lt;$AO66),1,0)</f>
        <v/>
      </c>
      <c r="AT66" s="31">
        <f>IF(AND($AL66=1,$AO66&gt;=2,$AP66=0),1,0)</f>
        <v/>
      </c>
      <c r="AU66" s="31">
        <f>IF(AND($AL66=1,$U66&lt;&gt;"",$U66&lt;TODAY()),1,0)</f>
        <v/>
      </c>
      <c r="AV66" s="31">
        <f>IF(OR($A66="",$AJ66="",Portfolio!$B$10=""),0,IF($AJ66&lt;=Portfolio!$B$10,0,IF(AND($D66="Completed",$Z66=1),1,IF(AND($D66="Terminated",$Z66=1),2,IF(AND($Q66=1,$Z66=0),3,0)))))</f>
        <v/>
      </c>
      <c r="AW66" s="31">
        <f>IF($AV66&gt;0,COUNTIF($AV$6:$AV66,"&gt;0"),"")</f>
        <v/>
      </c>
      <c r="AX66" s="31">
        <f>IF($AL66=0,"",IF(AND($B66="Project",$H66&lt;&gt;"",$H66&lt;TODAY()),"Planned finish "&amp;TEXT($H66,"d mmm")&amp;" has passed",IF($X66&gt;=2,(NETWORKDAYS($H66,$U66)-1)&amp;" working days past plan","")))</f>
        <v/>
      </c>
      <c r="AY66" s="31">
        <f>IF($AL66=0,"",IF($Y66&gt;=2,"Over budget by "&amp;TEXT(IF($B66="Program",$V66,$J66)-$K66,"#,##0"),""))</f>
        <v/>
      </c>
      <c r="AZ66" s="31">
        <f>IF(AND($AL66=1,$U66&lt;&gt;""),IF(AND(N($U66)&gt;=TODAY(),N($U66)&lt;=TODAY()+Board!$B$41),1,0),0)</f>
        <v/>
      </c>
    </row>
    <row r="67">
      <c r="A67" s="29" t="n"/>
      <c r="B67" s="29" t="n"/>
      <c r="C67" s="29" t="n"/>
      <c r="D67" s="29" t="n"/>
      <c r="E67" s="29" t="n"/>
      <c r="F67" s="29" t="n"/>
      <c r="G67" s="29" t="n"/>
      <c r="H67" s="30" t="n"/>
      <c r="I67" s="30" t="n"/>
      <c r="J67" s="19" t="n"/>
      <c r="K67" s="19" t="n"/>
      <c r="L67" s="26" t="n"/>
      <c r="M67" s="31">
        <f>IF($A67="","",IF($D67="","Not read",IF($Q67=0,"Not counted",IF(MAX($X67,$Y67)=3,"■ Red",IF(MAX($X67,$Y67)=2,"◧ Amber",IF(MAX($X67,$Y67)=1,"□ On track","Not read"))))))</f>
        <v/>
      </c>
      <c r="N67" s="31">
        <f>IF(OR($A67="",$B67&lt;&gt;"Program"),"","■ "&amp;COUNTIFS($C$6:$C$305,$A67,$M$6:$M$305,"■ Red")&amp;" Red, ◧ "&amp;COUNTIFS($C$6:$C$305,$A67,$M$6:$M$305,"◧ Amber")&amp;" Amber")</f>
        <v/>
      </c>
      <c r="O67" s="32">
        <f>IF(OR($A67="",$E67=""),"",COUNTIFS($E$6:$E$305,$E67,$D$6:$D$305,"Active")+COUNTIFS($E$6:$E$305,$E67,$D$6:$D$305,"Paused"))</f>
        <v/>
      </c>
      <c r="P67" s="31">
        <f>IF($A67="","",IF($AE67=0,"○ Clear",IF($AA67=1,"△ No owner",IF($AC67=1,"△ Check Sits under",IF($AC67=2,"△ Outside the portfolio",IF($AB67=1,"△ No sponsor","△ No variance note"))))&amp;IF($AE67&gt;1," (+"&amp;($AE67-1)&amp;" more)","")))</f>
        <v/>
      </c>
      <c r="Q67" s="31">
        <f>IF(AND($A67&lt;&gt;"",OR($D67="Active",$D67="Paused")),1,0)</f>
        <v/>
      </c>
      <c r="R67" s="31">
        <f>IFERROR(INDEX($A$6:$A$305,MATCH(60,$S$6:$S$305,0)),"")</f>
        <v/>
      </c>
      <c r="S67" s="31">
        <f>IF(AND($A67&lt;&gt;"",$B67="Program"),COUNTIFS($B$6:$B67,"Program",$A$6:$A67,"&lt;&gt;"),"")</f>
        <v/>
      </c>
      <c r="T67" s="33">
        <f>IF(AND($A67&lt;&gt;"",$B67="Program"),SUMPRODUCT(MAX(($C$6:$C$305=$A67)*($B$6:$B$305="Project")*($D$6:$D$305&lt;&gt;"Proposed")*$I$6:$I$305)),0)</f>
        <v/>
      </c>
      <c r="U67" s="33">
        <f>IF($I67&lt;&gt;"",$I67,IF($T67&gt;0,$T67,""))</f>
        <v/>
      </c>
      <c r="V67" s="31">
        <f>IF(AND($A67&lt;&gt;"",$B67="Program"),SUMIFS($J$6:$J$305,$C$6:$C$305,$A67,$B$6:$B$305,"Project",$D$6:$D$305,"&lt;&gt;Proposed"),0)</f>
        <v/>
      </c>
      <c r="W67" s="31">
        <f>IF(AND($A67&lt;&gt;"",$B67="Program"),COUNTIFS($C$6:$C$305,$A67,$B$6:$B$305,"Project",$D$6:$D$305,"&lt;&gt;Proposed")-COUNTIFS($C$6:$C$305,$A67,$B$6:$B$305,"Project",$D$6:$D$305,"&lt;&gt;Proposed",$J$6:$J$305,"&gt;=0"),0)</f>
        <v/>
      </c>
      <c r="X67" s="31">
        <f>IF(OR($Q67=0,$H67=""),0,IF(AND($B67="Project",$H67&lt;TODAY()),3,IF($U67="",0,IF($U67&lt;=$H67,1,IF(NETWORKDAYS($H67,$U67)-1&gt;IF($B67="Program",Portfolio!$B$16,Portfolio!$B$15),3,2)))))</f>
        <v/>
      </c>
      <c r="Y67" s="31">
        <f>IF(OR($Q67=0,$K67="",$K67=0),0,IF(AND($B67="Project",$J67=""),0,IF(IF($B67="Program",$V67,$J67)&gt;$K67*(1+Portfolio!$B$17),3,IF(IF($B67="Program",$V67,$J67)&gt;$K67,2,IF(AND($B67="Program",OR($W67&gt;0,$V67=0)),0,1)))))</f>
        <v/>
      </c>
      <c r="Z67" s="31">
        <f>IF($A67="",0,IF($C67="Portfolio",1,IF(AND($B67="Project",$C67&lt;&gt;"",$C67&lt;&gt;"Outside the portfolio"),IFERROR(IF(AND(INDEX($B$6:$B$305,MATCH($C67,$A$6:$A$305,0))="Program",INDEX($C$6:$C$305,MATCH($C67,$A$6:$A$305,0))="Portfolio"),1,0),0),0)))</f>
        <v/>
      </c>
      <c r="AA67" s="31">
        <f>IF(AND($A67&lt;&gt;"",$E67="",OR($Q67=1,$D67="Proposed")),1,0)</f>
        <v/>
      </c>
      <c r="AB67" s="31">
        <f>IF(AND($A67&lt;&gt;"",$B67="Program",$F67="",$Q67=1),1,0)</f>
        <v/>
      </c>
      <c r="AC67" s="31">
        <f>IF(OR($A67="",$D67="Completed",$D67="Terminated"),0,IF($C67="",1,IF($C67="Portfolio",0,IF($C67="Outside the portfolio",IF($Q67=1,2,0),IF($B67="Project",IF(IFERROR(INDEX($B$6:$B$305,MATCH($C67,$A$6:$A$305,0)),"")="Program",0,1),1)))))</f>
        <v/>
      </c>
      <c r="AD67" s="31">
        <f>IF(AND($A67&lt;&gt;"",OR($M67="■ Red",$M67="◧ Amber"),$L67=""),1,0)</f>
        <v/>
      </c>
      <c r="AE67" s="31">
        <f>$AA67+$AB67+IF($AC67&gt;0,1,0)+$AD67</f>
        <v/>
      </c>
      <c r="AJ67" s="14" t="n"/>
      <c r="AK67" s="29" t="n"/>
      <c r="AL67" s="31">
        <f>IF(AND($Q67=1,$Z67=1),1,0)</f>
        <v/>
      </c>
      <c r="AM67" s="31">
        <f>IF(AND($AL67=1,$AJ67&lt;&gt;""),MAX(0,TODAY()-$AJ67),"")</f>
        <v/>
      </c>
      <c r="AN67" s="31">
        <f>IF(OR($AL67=0,COUNT($AJ$6:$AJ$305)=0),0,IF($AJ67="",1,IF(TODAY()-$AJ67&gt;Board!$B$40,1,0)))</f>
        <v/>
      </c>
      <c r="AO67" s="31">
        <f>IF($AL67=0,0,IF($M67="■ Red",3,IF($M67="◧ Amber",2,IF($M67="□ On track",1,0))))</f>
        <v/>
      </c>
      <c r="AP67" s="31">
        <f>IF($AL67=0,0,IF($AK67="Will not hold",3,IF($AK67="At risk",2,IF($AK67="Will hold",1,0))))</f>
        <v/>
      </c>
      <c r="AQ67" s="31">
        <f>IF($AL67=0,"",IF($AO67=3,0,IF($AO67=2,1,IF(AND($AP67&gt;=2,$AP67&gt;$AO67),2,""))))</f>
        <v/>
      </c>
      <c r="AR67" s="31">
        <f>IF($AQ67="","",$AQ67*1000+67)</f>
        <v/>
      </c>
      <c r="AS67" s="31">
        <f>IF(AND($AL67=1,$AO67&gt;=2,$AP67&gt;=1,$AP67&lt;$AO67),1,0)</f>
        <v/>
      </c>
      <c r="AT67" s="31">
        <f>IF(AND($AL67=1,$AO67&gt;=2,$AP67=0),1,0)</f>
        <v/>
      </c>
      <c r="AU67" s="31">
        <f>IF(AND($AL67=1,$U67&lt;&gt;"",$U67&lt;TODAY()),1,0)</f>
        <v/>
      </c>
      <c r="AV67" s="31">
        <f>IF(OR($A67="",$AJ67="",Portfolio!$B$10=""),0,IF($AJ67&lt;=Portfolio!$B$10,0,IF(AND($D67="Completed",$Z67=1),1,IF(AND($D67="Terminated",$Z67=1),2,IF(AND($Q67=1,$Z67=0),3,0)))))</f>
        <v/>
      </c>
      <c r="AW67" s="31">
        <f>IF($AV67&gt;0,COUNTIF($AV$6:$AV67,"&gt;0"),"")</f>
        <v/>
      </c>
      <c r="AX67" s="31">
        <f>IF($AL67=0,"",IF(AND($B67="Project",$H67&lt;&gt;"",$H67&lt;TODAY()),"Planned finish "&amp;TEXT($H67,"d mmm")&amp;" has passed",IF($X67&gt;=2,(NETWORKDAYS($H67,$U67)-1)&amp;" working days past plan","")))</f>
        <v/>
      </c>
      <c r="AY67" s="31">
        <f>IF($AL67=0,"",IF($Y67&gt;=2,"Over budget by "&amp;TEXT(IF($B67="Program",$V67,$J67)-$K67,"#,##0"),""))</f>
        <v/>
      </c>
      <c r="AZ67" s="31">
        <f>IF(AND($AL67=1,$U67&lt;&gt;""),IF(AND(N($U67)&gt;=TODAY(),N($U67)&lt;=TODAY()+Board!$B$41),1,0),0)</f>
        <v/>
      </c>
    </row>
    <row r="68">
      <c r="A68" s="29" t="n"/>
      <c r="B68" s="29" t="n"/>
      <c r="C68" s="29" t="n"/>
      <c r="D68" s="29" t="n"/>
      <c r="E68" s="29" t="n"/>
      <c r="F68" s="29" t="n"/>
      <c r="G68" s="29" t="n"/>
      <c r="H68" s="30" t="n"/>
      <c r="I68" s="30" t="n"/>
      <c r="J68" s="19" t="n"/>
      <c r="K68" s="19" t="n"/>
      <c r="L68" s="26" t="n"/>
      <c r="M68" s="31">
        <f>IF($A68="","",IF($D68="","Not read",IF($Q68=0,"Not counted",IF(MAX($X68,$Y68)=3,"■ Red",IF(MAX($X68,$Y68)=2,"◧ Amber",IF(MAX($X68,$Y68)=1,"□ On track","Not read"))))))</f>
        <v/>
      </c>
      <c r="N68" s="31">
        <f>IF(OR($A68="",$B68&lt;&gt;"Program"),"","■ "&amp;COUNTIFS($C$6:$C$305,$A68,$M$6:$M$305,"■ Red")&amp;" Red, ◧ "&amp;COUNTIFS($C$6:$C$305,$A68,$M$6:$M$305,"◧ Amber")&amp;" Amber")</f>
        <v/>
      </c>
      <c r="O68" s="32">
        <f>IF(OR($A68="",$E68=""),"",COUNTIFS($E$6:$E$305,$E68,$D$6:$D$305,"Active")+COUNTIFS($E$6:$E$305,$E68,$D$6:$D$305,"Paused"))</f>
        <v/>
      </c>
      <c r="P68" s="31">
        <f>IF($A68="","",IF($AE68=0,"○ Clear",IF($AA68=1,"△ No owner",IF($AC68=1,"△ Check Sits under",IF($AC68=2,"△ Outside the portfolio",IF($AB68=1,"△ No sponsor","△ No variance note"))))&amp;IF($AE68&gt;1," (+"&amp;($AE68-1)&amp;" more)","")))</f>
        <v/>
      </c>
      <c r="Q68" s="31">
        <f>IF(AND($A68&lt;&gt;"",OR($D68="Active",$D68="Paused")),1,0)</f>
        <v/>
      </c>
      <c r="R68" s="31">
        <f>IFERROR(INDEX($A$6:$A$305,MATCH(61,$S$6:$S$305,0)),"")</f>
        <v/>
      </c>
      <c r="S68" s="31">
        <f>IF(AND($A68&lt;&gt;"",$B68="Program"),COUNTIFS($B$6:$B68,"Program",$A$6:$A68,"&lt;&gt;"),"")</f>
        <v/>
      </c>
      <c r="T68" s="33">
        <f>IF(AND($A68&lt;&gt;"",$B68="Program"),SUMPRODUCT(MAX(($C$6:$C$305=$A68)*($B$6:$B$305="Project")*($D$6:$D$305&lt;&gt;"Proposed")*$I$6:$I$305)),0)</f>
        <v/>
      </c>
      <c r="U68" s="33">
        <f>IF($I68&lt;&gt;"",$I68,IF($T68&gt;0,$T68,""))</f>
        <v/>
      </c>
      <c r="V68" s="31">
        <f>IF(AND($A68&lt;&gt;"",$B68="Program"),SUMIFS($J$6:$J$305,$C$6:$C$305,$A68,$B$6:$B$305,"Project",$D$6:$D$305,"&lt;&gt;Proposed"),0)</f>
        <v/>
      </c>
      <c r="W68" s="31">
        <f>IF(AND($A68&lt;&gt;"",$B68="Program"),COUNTIFS($C$6:$C$305,$A68,$B$6:$B$305,"Project",$D$6:$D$305,"&lt;&gt;Proposed")-COUNTIFS($C$6:$C$305,$A68,$B$6:$B$305,"Project",$D$6:$D$305,"&lt;&gt;Proposed",$J$6:$J$305,"&gt;=0"),0)</f>
        <v/>
      </c>
      <c r="X68" s="31">
        <f>IF(OR($Q68=0,$H68=""),0,IF(AND($B68="Project",$H68&lt;TODAY()),3,IF($U68="",0,IF($U68&lt;=$H68,1,IF(NETWORKDAYS($H68,$U68)-1&gt;IF($B68="Program",Portfolio!$B$16,Portfolio!$B$15),3,2)))))</f>
        <v/>
      </c>
      <c r="Y68" s="31">
        <f>IF(OR($Q68=0,$K68="",$K68=0),0,IF(AND($B68="Project",$J68=""),0,IF(IF($B68="Program",$V68,$J68)&gt;$K68*(1+Portfolio!$B$17),3,IF(IF($B68="Program",$V68,$J68)&gt;$K68,2,IF(AND($B68="Program",OR($W68&gt;0,$V68=0)),0,1)))))</f>
        <v/>
      </c>
      <c r="Z68" s="31">
        <f>IF($A68="",0,IF($C68="Portfolio",1,IF(AND($B68="Project",$C68&lt;&gt;"",$C68&lt;&gt;"Outside the portfolio"),IFERROR(IF(AND(INDEX($B$6:$B$305,MATCH($C68,$A$6:$A$305,0))="Program",INDEX($C$6:$C$305,MATCH($C68,$A$6:$A$305,0))="Portfolio"),1,0),0),0)))</f>
        <v/>
      </c>
      <c r="AA68" s="31">
        <f>IF(AND($A68&lt;&gt;"",$E68="",OR($Q68=1,$D68="Proposed")),1,0)</f>
        <v/>
      </c>
      <c r="AB68" s="31">
        <f>IF(AND($A68&lt;&gt;"",$B68="Program",$F68="",$Q68=1),1,0)</f>
        <v/>
      </c>
      <c r="AC68" s="31">
        <f>IF(OR($A68="",$D68="Completed",$D68="Terminated"),0,IF($C68="",1,IF($C68="Portfolio",0,IF($C68="Outside the portfolio",IF($Q68=1,2,0),IF($B68="Project",IF(IFERROR(INDEX($B$6:$B$305,MATCH($C68,$A$6:$A$305,0)),"")="Program",0,1),1)))))</f>
        <v/>
      </c>
      <c r="AD68" s="31">
        <f>IF(AND($A68&lt;&gt;"",OR($M68="■ Red",$M68="◧ Amber"),$L68=""),1,0)</f>
        <v/>
      </c>
      <c r="AE68" s="31">
        <f>$AA68+$AB68+IF($AC68&gt;0,1,0)+$AD68</f>
        <v/>
      </c>
      <c r="AJ68" s="14" t="n"/>
      <c r="AK68" s="29" t="n"/>
      <c r="AL68" s="31">
        <f>IF(AND($Q68=1,$Z68=1),1,0)</f>
        <v/>
      </c>
      <c r="AM68" s="31">
        <f>IF(AND($AL68=1,$AJ68&lt;&gt;""),MAX(0,TODAY()-$AJ68),"")</f>
        <v/>
      </c>
      <c r="AN68" s="31">
        <f>IF(OR($AL68=0,COUNT($AJ$6:$AJ$305)=0),0,IF($AJ68="",1,IF(TODAY()-$AJ68&gt;Board!$B$40,1,0)))</f>
        <v/>
      </c>
      <c r="AO68" s="31">
        <f>IF($AL68=0,0,IF($M68="■ Red",3,IF($M68="◧ Amber",2,IF($M68="□ On track",1,0))))</f>
        <v/>
      </c>
      <c r="AP68" s="31">
        <f>IF($AL68=0,0,IF($AK68="Will not hold",3,IF($AK68="At risk",2,IF($AK68="Will hold",1,0))))</f>
        <v/>
      </c>
      <c r="AQ68" s="31">
        <f>IF($AL68=0,"",IF($AO68=3,0,IF($AO68=2,1,IF(AND($AP68&gt;=2,$AP68&gt;$AO68),2,""))))</f>
        <v/>
      </c>
      <c r="AR68" s="31">
        <f>IF($AQ68="","",$AQ68*1000+68)</f>
        <v/>
      </c>
      <c r="AS68" s="31">
        <f>IF(AND($AL68=1,$AO68&gt;=2,$AP68&gt;=1,$AP68&lt;$AO68),1,0)</f>
        <v/>
      </c>
      <c r="AT68" s="31">
        <f>IF(AND($AL68=1,$AO68&gt;=2,$AP68=0),1,0)</f>
        <v/>
      </c>
      <c r="AU68" s="31">
        <f>IF(AND($AL68=1,$U68&lt;&gt;"",$U68&lt;TODAY()),1,0)</f>
        <v/>
      </c>
      <c r="AV68" s="31">
        <f>IF(OR($A68="",$AJ68="",Portfolio!$B$10=""),0,IF($AJ68&lt;=Portfolio!$B$10,0,IF(AND($D68="Completed",$Z68=1),1,IF(AND($D68="Terminated",$Z68=1),2,IF(AND($Q68=1,$Z68=0),3,0)))))</f>
        <v/>
      </c>
      <c r="AW68" s="31">
        <f>IF($AV68&gt;0,COUNTIF($AV$6:$AV68,"&gt;0"),"")</f>
        <v/>
      </c>
      <c r="AX68" s="31">
        <f>IF($AL68=0,"",IF(AND($B68="Project",$H68&lt;&gt;"",$H68&lt;TODAY()),"Planned finish "&amp;TEXT($H68,"d mmm")&amp;" has passed",IF($X68&gt;=2,(NETWORKDAYS($H68,$U68)-1)&amp;" working days past plan","")))</f>
        <v/>
      </c>
      <c r="AY68" s="31">
        <f>IF($AL68=0,"",IF($Y68&gt;=2,"Over budget by "&amp;TEXT(IF($B68="Program",$V68,$J68)-$K68,"#,##0"),""))</f>
        <v/>
      </c>
      <c r="AZ68" s="31">
        <f>IF(AND($AL68=1,$U68&lt;&gt;""),IF(AND(N($U68)&gt;=TODAY(),N($U68)&lt;=TODAY()+Board!$B$41),1,0),0)</f>
        <v/>
      </c>
    </row>
    <row r="69">
      <c r="A69" s="29" t="n"/>
      <c r="B69" s="29" t="n"/>
      <c r="C69" s="29" t="n"/>
      <c r="D69" s="29" t="n"/>
      <c r="E69" s="29" t="n"/>
      <c r="F69" s="29" t="n"/>
      <c r="G69" s="29" t="n"/>
      <c r="H69" s="30" t="n"/>
      <c r="I69" s="30" t="n"/>
      <c r="J69" s="19" t="n"/>
      <c r="K69" s="19" t="n"/>
      <c r="L69" s="26" t="n"/>
      <c r="M69" s="31">
        <f>IF($A69="","",IF($D69="","Not read",IF($Q69=0,"Not counted",IF(MAX($X69,$Y69)=3,"■ Red",IF(MAX($X69,$Y69)=2,"◧ Amber",IF(MAX($X69,$Y69)=1,"□ On track","Not read"))))))</f>
        <v/>
      </c>
      <c r="N69" s="31">
        <f>IF(OR($A69="",$B69&lt;&gt;"Program"),"","■ "&amp;COUNTIFS($C$6:$C$305,$A69,$M$6:$M$305,"■ Red")&amp;" Red, ◧ "&amp;COUNTIFS($C$6:$C$305,$A69,$M$6:$M$305,"◧ Amber")&amp;" Amber")</f>
        <v/>
      </c>
      <c r="O69" s="32">
        <f>IF(OR($A69="",$E69=""),"",COUNTIFS($E$6:$E$305,$E69,$D$6:$D$305,"Active")+COUNTIFS($E$6:$E$305,$E69,$D$6:$D$305,"Paused"))</f>
        <v/>
      </c>
      <c r="P69" s="31">
        <f>IF($A69="","",IF($AE69=0,"○ Clear",IF($AA69=1,"△ No owner",IF($AC69=1,"△ Check Sits under",IF($AC69=2,"△ Outside the portfolio",IF($AB69=1,"△ No sponsor","△ No variance note"))))&amp;IF($AE69&gt;1," (+"&amp;($AE69-1)&amp;" more)","")))</f>
        <v/>
      </c>
      <c r="Q69" s="31">
        <f>IF(AND($A69&lt;&gt;"",OR($D69="Active",$D69="Paused")),1,0)</f>
        <v/>
      </c>
      <c r="R69" s="31">
        <f>IFERROR(INDEX($A$6:$A$305,MATCH(62,$S$6:$S$305,0)),"")</f>
        <v/>
      </c>
      <c r="S69" s="31">
        <f>IF(AND($A69&lt;&gt;"",$B69="Program"),COUNTIFS($B$6:$B69,"Program",$A$6:$A69,"&lt;&gt;"),"")</f>
        <v/>
      </c>
      <c r="T69" s="33">
        <f>IF(AND($A69&lt;&gt;"",$B69="Program"),SUMPRODUCT(MAX(($C$6:$C$305=$A69)*($B$6:$B$305="Project")*($D$6:$D$305&lt;&gt;"Proposed")*$I$6:$I$305)),0)</f>
        <v/>
      </c>
      <c r="U69" s="33">
        <f>IF($I69&lt;&gt;"",$I69,IF($T69&gt;0,$T69,""))</f>
        <v/>
      </c>
      <c r="V69" s="31">
        <f>IF(AND($A69&lt;&gt;"",$B69="Program"),SUMIFS($J$6:$J$305,$C$6:$C$305,$A69,$B$6:$B$305,"Project",$D$6:$D$305,"&lt;&gt;Proposed"),0)</f>
        <v/>
      </c>
      <c r="W69" s="31">
        <f>IF(AND($A69&lt;&gt;"",$B69="Program"),COUNTIFS($C$6:$C$305,$A69,$B$6:$B$305,"Project",$D$6:$D$305,"&lt;&gt;Proposed")-COUNTIFS($C$6:$C$305,$A69,$B$6:$B$305,"Project",$D$6:$D$305,"&lt;&gt;Proposed",$J$6:$J$305,"&gt;=0"),0)</f>
        <v/>
      </c>
      <c r="X69" s="31">
        <f>IF(OR($Q69=0,$H69=""),0,IF(AND($B69="Project",$H69&lt;TODAY()),3,IF($U69="",0,IF($U69&lt;=$H69,1,IF(NETWORKDAYS($H69,$U69)-1&gt;IF($B69="Program",Portfolio!$B$16,Portfolio!$B$15),3,2)))))</f>
        <v/>
      </c>
      <c r="Y69" s="31">
        <f>IF(OR($Q69=0,$K69="",$K69=0),0,IF(AND($B69="Project",$J69=""),0,IF(IF($B69="Program",$V69,$J69)&gt;$K69*(1+Portfolio!$B$17),3,IF(IF($B69="Program",$V69,$J69)&gt;$K69,2,IF(AND($B69="Program",OR($W69&gt;0,$V69=0)),0,1)))))</f>
        <v/>
      </c>
      <c r="Z69" s="31">
        <f>IF($A69="",0,IF($C69="Portfolio",1,IF(AND($B69="Project",$C69&lt;&gt;"",$C69&lt;&gt;"Outside the portfolio"),IFERROR(IF(AND(INDEX($B$6:$B$305,MATCH($C69,$A$6:$A$305,0))="Program",INDEX($C$6:$C$305,MATCH($C69,$A$6:$A$305,0))="Portfolio"),1,0),0),0)))</f>
        <v/>
      </c>
      <c r="AA69" s="31">
        <f>IF(AND($A69&lt;&gt;"",$E69="",OR($Q69=1,$D69="Proposed")),1,0)</f>
        <v/>
      </c>
      <c r="AB69" s="31">
        <f>IF(AND($A69&lt;&gt;"",$B69="Program",$F69="",$Q69=1),1,0)</f>
        <v/>
      </c>
      <c r="AC69" s="31">
        <f>IF(OR($A69="",$D69="Completed",$D69="Terminated"),0,IF($C69="",1,IF($C69="Portfolio",0,IF($C69="Outside the portfolio",IF($Q69=1,2,0),IF($B69="Project",IF(IFERROR(INDEX($B$6:$B$305,MATCH($C69,$A$6:$A$305,0)),"")="Program",0,1),1)))))</f>
        <v/>
      </c>
      <c r="AD69" s="31">
        <f>IF(AND($A69&lt;&gt;"",OR($M69="■ Red",$M69="◧ Amber"),$L69=""),1,0)</f>
        <v/>
      </c>
      <c r="AE69" s="31">
        <f>$AA69+$AB69+IF($AC69&gt;0,1,0)+$AD69</f>
        <v/>
      </c>
      <c r="AJ69" s="14" t="n"/>
      <c r="AK69" s="29" t="n"/>
      <c r="AL69" s="31">
        <f>IF(AND($Q69=1,$Z69=1),1,0)</f>
        <v/>
      </c>
      <c r="AM69" s="31">
        <f>IF(AND($AL69=1,$AJ69&lt;&gt;""),MAX(0,TODAY()-$AJ69),"")</f>
        <v/>
      </c>
      <c r="AN69" s="31">
        <f>IF(OR($AL69=0,COUNT($AJ$6:$AJ$305)=0),0,IF($AJ69="",1,IF(TODAY()-$AJ69&gt;Board!$B$40,1,0)))</f>
        <v/>
      </c>
      <c r="AO69" s="31">
        <f>IF($AL69=0,0,IF($M69="■ Red",3,IF($M69="◧ Amber",2,IF($M69="□ On track",1,0))))</f>
        <v/>
      </c>
      <c r="AP69" s="31">
        <f>IF($AL69=0,0,IF($AK69="Will not hold",3,IF($AK69="At risk",2,IF($AK69="Will hold",1,0))))</f>
        <v/>
      </c>
      <c r="AQ69" s="31">
        <f>IF($AL69=0,"",IF($AO69=3,0,IF($AO69=2,1,IF(AND($AP69&gt;=2,$AP69&gt;$AO69),2,""))))</f>
        <v/>
      </c>
      <c r="AR69" s="31">
        <f>IF($AQ69="","",$AQ69*1000+69)</f>
        <v/>
      </c>
      <c r="AS69" s="31">
        <f>IF(AND($AL69=1,$AO69&gt;=2,$AP69&gt;=1,$AP69&lt;$AO69),1,0)</f>
        <v/>
      </c>
      <c r="AT69" s="31">
        <f>IF(AND($AL69=1,$AO69&gt;=2,$AP69=0),1,0)</f>
        <v/>
      </c>
      <c r="AU69" s="31">
        <f>IF(AND($AL69=1,$U69&lt;&gt;"",$U69&lt;TODAY()),1,0)</f>
        <v/>
      </c>
      <c r="AV69" s="31">
        <f>IF(OR($A69="",$AJ69="",Portfolio!$B$10=""),0,IF($AJ69&lt;=Portfolio!$B$10,0,IF(AND($D69="Completed",$Z69=1),1,IF(AND($D69="Terminated",$Z69=1),2,IF(AND($Q69=1,$Z69=0),3,0)))))</f>
        <v/>
      </c>
      <c r="AW69" s="31">
        <f>IF($AV69&gt;0,COUNTIF($AV$6:$AV69,"&gt;0"),"")</f>
        <v/>
      </c>
      <c r="AX69" s="31">
        <f>IF($AL69=0,"",IF(AND($B69="Project",$H69&lt;&gt;"",$H69&lt;TODAY()),"Planned finish "&amp;TEXT($H69,"d mmm")&amp;" has passed",IF($X69&gt;=2,(NETWORKDAYS($H69,$U69)-1)&amp;" working days past plan","")))</f>
        <v/>
      </c>
      <c r="AY69" s="31">
        <f>IF($AL69=0,"",IF($Y69&gt;=2,"Over budget by "&amp;TEXT(IF($B69="Program",$V69,$J69)-$K69,"#,##0"),""))</f>
        <v/>
      </c>
      <c r="AZ69" s="31">
        <f>IF(AND($AL69=1,$U69&lt;&gt;""),IF(AND(N($U69)&gt;=TODAY(),N($U69)&lt;=TODAY()+Board!$B$41),1,0),0)</f>
        <v/>
      </c>
    </row>
    <row r="70">
      <c r="A70" s="29" t="n"/>
      <c r="B70" s="29" t="n"/>
      <c r="C70" s="29" t="n"/>
      <c r="D70" s="29" t="n"/>
      <c r="E70" s="29" t="n"/>
      <c r="F70" s="29" t="n"/>
      <c r="G70" s="29" t="n"/>
      <c r="H70" s="30" t="n"/>
      <c r="I70" s="30" t="n"/>
      <c r="J70" s="19" t="n"/>
      <c r="K70" s="19" t="n"/>
      <c r="L70" s="26" t="n"/>
      <c r="M70" s="31">
        <f>IF($A70="","",IF($D70="","Not read",IF($Q70=0,"Not counted",IF(MAX($X70,$Y70)=3,"■ Red",IF(MAX($X70,$Y70)=2,"◧ Amber",IF(MAX($X70,$Y70)=1,"□ On track","Not read"))))))</f>
        <v/>
      </c>
      <c r="N70" s="31">
        <f>IF(OR($A70="",$B70&lt;&gt;"Program"),"","■ "&amp;COUNTIFS($C$6:$C$305,$A70,$M$6:$M$305,"■ Red")&amp;" Red, ◧ "&amp;COUNTIFS($C$6:$C$305,$A70,$M$6:$M$305,"◧ Amber")&amp;" Amber")</f>
        <v/>
      </c>
      <c r="O70" s="32">
        <f>IF(OR($A70="",$E70=""),"",COUNTIFS($E$6:$E$305,$E70,$D$6:$D$305,"Active")+COUNTIFS($E$6:$E$305,$E70,$D$6:$D$305,"Paused"))</f>
        <v/>
      </c>
      <c r="P70" s="31">
        <f>IF($A70="","",IF($AE70=0,"○ Clear",IF($AA70=1,"△ No owner",IF($AC70=1,"△ Check Sits under",IF($AC70=2,"△ Outside the portfolio",IF($AB70=1,"△ No sponsor","△ No variance note"))))&amp;IF($AE70&gt;1," (+"&amp;($AE70-1)&amp;" more)","")))</f>
        <v/>
      </c>
      <c r="Q70" s="31">
        <f>IF(AND($A70&lt;&gt;"",OR($D70="Active",$D70="Paused")),1,0)</f>
        <v/>
      </c>
      <c r="R70" s="31">
        <f>IFERROR(INDEX($A$6:$A$305,MATCH(63,$S$6:$S$305,0)),"")</f>
        <v/>
      </c>
      <c r="S70" s="31">
        <f>IF(AND($A70&lt;&gt;"",$B70="Program"),COUNTIFS($B$6:$B70,"Program",$A$6:$A70,"&lt;&gt;"),"")</f>
        <v/>
      </c>
      <c r="T70" s="33">
        <f>IF(AND($A70&lt;&gt;"",$B70="Program"),SUMPRODUCT(MAX(($C$6:$C$305=$A70)*($B$6:$B$305="Project")*($D$6:$D$305&lt;&gt;"Proposed")*$I$6:$I$305)),0)</f>
        <v/>
      </c>
      <c r="U70" s="33">
        <f>IF($I70&lt;&gt;"",$I70,IF($T70&gt;0,$T70,""))</f>
        <v/>
      </c>
      <c r="V70" s="31">
        <f>IF(AND($A70&lt;&gt;"",$B70="Program"),SUMIFS($J$6:$J$305,$C$6:$C$305,$A70,$B$6:$B$305,"Project",$D$6:$D$305,"&lt;&gt;Proposed"),0)</f>
        <v/>
      </c>
      <c r="W70" s="31">
        <f>IF(AND($A70&lt;&gt;"",$B70="Program"),COUNTIFS($C$6:$C$305,$A70,$B$6:$B$305,"Project",$D$6:$D$305,"&lt;&gt;Proposed")-COUNTIFS($C$6:$C$305,$A70,$B$6:$B$305,"Project",$D$6:$D$305,"&lt;&gt;Proposed",$J$6:$J$305,"&gt;=0"),0)</f>
        <v/>
      </c>
      <c r="X70" s="31">
        <f>IF(OR($Q70=0,$H70=""),0,IF(AND($B70="Project",$H70&lt;TODAY()),3,IF($U70="",0,IF($U70&lt;=$H70,1,IF(NETWORKDAYS($H70,$U70)-1&gt;IF($B70="Program",Portfolio!$B$16,Portfolio!$B$15),3,2)))))</f>
        <v/>
      </c>
      <c r="Y70" s="31">
        <f>IF(OR($Q70=0,$K70="",$K70=0),0,IF(AND($B70="Project",$J70=""),0,IF(IF($B70="Program",$V70,$J70)&gt;$K70*(1+Portfolio!$B$17),3,IF(IF($B70="Program",$V70,$J70)&gt;$K70,2,IF(AND($B70="Program",OR($W70&gt;0,$V70=0)),0,1)))))</f>
        <v/>
      </c>
      <c r="Z70" s="31">
        <f>IF($A70="",0,IF($C70="Portfolio",1,IF(AND($B70="Project",$C70&lt;&gt;"",$C70&lt;&gt;"Outside the portfolio"),IFERROR(IF(AND(INDEX($B$6:$B$305,MATCH($C70,$A$6:$A$305,0))="Program",INDEX($C$6:$C$305,MATCH($C70,$A$6:$A$305,0))="Portfolio"),1,0),0),0)))</f>
        <v/>
      </c>
      <c r="AA70" s="31">
        <f>IF(AND($A70&lt;&gt;"",$E70="",OR($Q70=1,$D70="Proposed")),1,0)</f>
        <v/>
      </c>
      <c r="AB70" s="31">
        <f>IF(AND($A70&lt;&gt;"",$B70="Program",$F70="",$Q70=1),1,0)</f>
        <v/>
      </c>
      <c r="AC70" s="31">
        <f>IF(OR($A70="",$D70="Completed",$D70="Terminated"),0,IF($C70="",1,IF($C70="Portfolio",0,IF($C70="Outside the portfolio",IF($Q70=1,2,0),IF($B70="Project",IF(IFERROR(INDEX($B$6:$B$305,MATCH($C70,$A$6:$A$305,0)),"")="Program",0,1),1)))))</f>
        <v/>
      </c>
      <c r="AD70" s="31">
        <f>IF(AND($A70&lt;&gt;"",OR($M70="■ Red",$M70="◧ Amber"),$L70=""),1,0)</f>
        <v/>
      </c>
      <c r="AE70" s="31">
        <f>$AA70+$AB70+IF($AC70&gt;0,1,0)+$AD70</f>
        <v/>
      </c>
      <c r="AJ70" s="14" t="n"/>
      <c r="AK70" s="29" t="n"/>
      <c r="AL70" s="31">
        <f>IF(AND($Q70=1,$Z70=1),1,0)</f>
        <v/>
      </c>
      <c r="AM70" s="31">
        <f>IF(AND($AL70=1,$AJ70&lt;&gt;""),MAX(0,TODAY()-$AJ70),"")</f>
        <v/>
      </c>
      <c r="AN70" s="31">
        <f>IF(OR($AL70=0,COUNT($AJ$6:$AJ$305)=0),0,IF($AJ70="",1,IF(TODAY()-$AJ70&gt;Board!$B$40,1,0)))</f>
        <v/>
      </c>
      <c r="AO70" s="31">
        <f>IF($AL70=0,0,IF($M70="■ Red",3,IF($M70="◧ Amber",2,IF($M70="□ On track",1,0))))</f>
        <v/>
      </c>
      <c r="AP70" s="31">
        <f>IF($AL70=0,0,IF($AK70="Will not hold",3,IF($AK70="At risk",2,IF($AK70="Will hold",1,0))))</f>
        <v/>
      </c>
      <c r="AQ70" s="31">
        <f>IF($AL70=0,"",IF($AO70=3,0,IF($AO70=2,1,IF(AND($AP70&gt;=2,$AP70&gt;$AO70),2,""))))</f>
        <v/>
      </c>
      <c r="AR70" s="31">
        <f>IF($AQ70="","",$AQ70*1000+70)</f>
        <v/>
      </c>
      <c r="AS70" s="31">
        <f>IF(AND($AL70=1,$AO70&gt;=2,$AP70&gt;=1,$AP70&lt;$AO70),1,0)</f>
        <v/>
      </c>
      <c r="AT70" s="31">
        <f>IF(AND($AL70=1,$AO70&gt;=2,$AP70=0),1,0)</f>
        <v/>
      </c>
      <c r="AU70" s="31">
        <f>IF(AND($AL70=1,$U70&lt;&gt;"",$U70&lt;TODAY()),1,0)</f>
        <v/>
      </c>
      <c r="AV70" s="31">
        <f>IF(OR($A70="",$AJ70="",Portfolio!$B$10=""),0,IF($AJ70&lt;=Portfolio!$B$10,0,IF(AND($D70="Completed",$Z70=1),1,IF(AND($D70="Terminated",$Z70=1),2,IF(AND($Q70=1,$Z70=0),3,0)))))</f>
        <v/>
      </c>
      <c r="AW70" s="31">
        <f>IF($AV70&gt;0,COUNTIF($AV$6:$AV70,"&gt;0"),"")</f>
        <v/>
      </c>
      <c r="AX70" s="31">
        <f>IF($AL70=0,"",IF(AND($B70="Project",$H70&lt;&gt;"",$H70&lt;TODAY()),"Planned finish "&amp;TEXT($H70,"d mmm")&amp;" has passed",IF($X70&gt;=2,(NETWORKDAYS($H70,$U70)-1)&amp;" working days past plan","")))</f>
        <v/>
      </c>
      <c r="AY70" s="31">
        <f>IF($AL70=0,"",IF($Y70&gt;=2,"Over budget by "&amp;TEXT(IF($B70="Program",$V70,$J70)-$K70,"#,##0"),""))</f>
        <v/>
      </c>
      <c r="AZ70" s="31">
        <f>IF(AND($AL70=1,$U70&lt;&gt;""),IF(AND(N($U70)&gt;=TODAY(),N($U70)&lt;=TODAY()+Board!$B$41),1,0),0)</f>
        <v/>
      </c>
    </row>
    <row r="71">
      <c r="A71" s="29" t="n"/>
      <c r="B71" s="29" t="n"/>
      <c r="C71" s="29" t="n"/>
      <c r="D71" s="29" t="n"/>
      <c r="E71" s="29" t="n"/>
      <c r="F71" s="29" t="n"/>
      <c r="G71" s="29" t="n"/>
      <c r="H71" s="30" t="n"/>
      <c r="I71" s="30" t="n"/>
      <c r="J71" s="19" t="n"/>
      <c r="K71" s="19" t="n"/>
      <c r="L71" s="26" t="n"/>
      <c r="M71" s="31">
        <f>IF($A71="","",IF($D71="","Not read",IF($Q71=0,"Not counted",IF(MAX($X71,$Y71)=3,"■ Red",IF(MAX($X71,$Y71)=2,"◧ Amber",IF(MAX($X71,$Y71)=1,"□ On track","Not read"))))))</f>
        <v/>
      </c>
      <c r="N71" s="31">
        <f>IF(OR($A71="",$B71&lt;&gt;"Program"),"","■ "&amp;COUNTIFS($C$6:$C$305,$A71,$M$6:$M$305,"■ Red")&amp;" Red, ◧ "&amp;COUNTIFS($C$6:$C$305,$A71,$M$6:$M$305,"◧ Amber")&amp;" Amber")</f>
        <v/>
      </c>
      <c r="O71" s="32">
        <f>IF(OR($A71="",$E71=""),"",COUNTIFS($E$6:$E$305,$E71,$D$6:$D$305,"Active")+COUNTIFS($E$6:$E$305,$E71,$D$6:$D$305,"Paused"))</f>
        <v/>
      </c>
      <c r="P71" s="31">
        <f>IF($A71="","",IF($AE71=0,"○ Clear",IF($AA71=1,"△ No owner",IF($AC71=1,"△ Check Sits under",IF($AC71=2,"△ Outside the portfolio",IF($AB71=1,"△ No sponsor","△ No variance note"))))&amp;IF($AE71&gt;1," (+"&amp;($AE71-1)&amp;" more)","")))</f>
        <v/>
      </c>
      <c r="Q71" s="31">
        <f>IF(AND($A71&lt;&gt;"",OR($D71="Active",$D71="Paused")),1,0)</f>
        <v/>
      </c>
      <c r="R71" s="31">
        <f>IFERROR(INDEX($A$6:$A$305,MATCH(64,$S$6:$S$305,0)),"")</f>
        <v/>
      </c>
      <c r="S71" s="31">
        <f>IF(AND($A71&lt;&gt;"",$B71="Program"),COUNTIFS($B$6:$B71,"Program",$A$6:$A71,"&lt;&gt;"),"")</f>
        <v/>
      </c>
      <c r="T71" s="33">
        <f>IF(AND($A71&lt;&gt;"",$B71="Program"),SUMPRODUCT(MAX(($C$6:$C$305=$A71)*($B$6:$B$305="Project")*($D$6:$D$305&lt;&gt;"Proposed")*$I$6:$I$305)),0)</f>
        <v/>
      </c>
      <c r="U71" s="33">
        <f>IF($I71&lt;&gt;"",$I71,IF($T71&gt;0,$T71,""))</f>
        <v/>
      </c>
      <c r="V71" s="31">
        <f>IF(AND($A71&lt;&gt;"",$B71="Program"),SUMIFS($J$6:$J$305,$C$6:$C$305,$A71,$B$6:$B$305,"Project",$D$6:$D$305,"&lt;&gt;Proposed"),0)</f>
        <v/>
      </c>
      <c r="W71" s="31">
        <f>IF(AND($A71&lt;&gt;"",$B71="Program"),COUNTIFS($C$6:$C$305,$A71,$B$6:$B$305,"Project",$D$6:$D$305,"&lt;&gt;Proposed")-COUNTIFS($C$6:$C$305,$A71,$B$6:$B$305,"Project",$D$6:$D$305,"&lt;&gt;Proposed",$J$6:$J$305,"&gt;=0"),0)</f>
        <v/>
      </c>
      <c r="X71" s="31">
        <f>IF(OR($Q71=0,$H71=""),0,IF(AND($B71="Project",$H71&lt;TODAY()),3,IF($U71="",0,IF($U71&lt;=$H71,1,IF(NETWORKDAYS($H71,$U71)-1&gt;IF($B71="Program",Portfolio!$B$16,Portfolio!$B$15),3,2)))))</f>
        <v/>
      </c>
      <c r="Y71" s="31">
        <f>IF(OR($Q71=0,$K71="",$K71=0),0,IF(AND($B71="Project",$J71=""),0,IF(IF($B71="Program",$V71,$J71)&gt;$K71*(1+Portfolio!$B$17),3,IF(IF($B71="Program",$V71,$J71)&gt;$K71,2,IF(AND($B71="Program",OR($W71&gt;0,$V71=0)),0,1)))))</f>
        <v/>
      </c>
      <c r="Z71" s="31">
        <f>IF($A71="",0,IF($C71="Portfolio",1,IF(AND($B71="Project",$C71&lt;&gt;"",$C71&lt;&gt;"Outside the portfolio"),IFERROR(IF(AND(INDEX($B$6:$B$305,MATCH($C71,$A$6:$A$305,0))="Program",INDEX($C$6:$C$305,MATCH($C71,$A$6:$A$305,0))="Portfolio"),1,0),0),0)))</f>
        <v/>
      </c>
      <c r="AA71" s="31">
        <f>IF(AND($A71&lt;&gt;"",$E71="",OR($Q71=1,$D71="Proposed")),1,0)</f>
        <v/>
      </c>
      <c r="AB71" s="31">
        <f>IF(AND($A71&lt;&gt;"",$B71="Program",$F71="",$Q71=1),1,0)</f>
        <v/>
      </c>
      <c r="AC71" s="31">
        <f>IF(OR($A71="",$D71="Completed",$D71="Terminated"),0,IF($C71="",1,IF($C71="Portfolio",0,IF($C71="Outside the portfolio",IF($Q71=1,2,0),IF($B71="Project",IF(IFERROR(INDEX($B$6:$B$305,MATCH($C71,$A$6:$A$305,0)),"")="Program",0,1),1)))))</f>
        <v/>
      </c>
      <c r="AD71" s="31">
        <f>IF(AND($A71&lt;&gt;"",OR($M71="■ Red",$M71="◧ Amber"),$L71=""),1,0)</f>
        <v/>
      </c>
      <c r="AE71" s="31">
        <f>$AA71+$AB71+IF($AC71&gt;0,1,0)+$AD71</f>
        <v/>
      </c>
      <c r="AJ71" s="14" t="n"/>
      <c r="AK71" s="29" t="n"/>
      <c r="AL71" s="31">
        <f>IF(AND($Q71=1,$Z71=1),1,0)</f>
        <v/>
      </c>
      <c r="AM71" s="31">
        <f>IF(AND($AL71=1,$AJ71&lt;&gt;""),MAX(0,TODAY()-$AJ71),"")</f>
        <v/>
      </c>
      <c r="AN71" s="31">
        <f>IF(OR($AL71=0,COUNT($AJ$6:$AJ$305)=0),0,IF($AJ71="",1,IF(TODAY()-$AJ71&gt;Board!$B$40,1,0)))</f>
        <v/>
      </c>
      <c r="AO71" s="31">
        <f>IF($AL71=0,0,IF($M71="■ Red",3,IF($M71="◧ Amber",2,IF($M71="□ On track",1,0))))</f>
        <v/>
      </c>
      <c r="AP71" s="31">
        <f>IF($AL71=0,0,IF($AK71="Will not hold",3,IF($AK71="At risk",2,IF($AK71="Will hold",1,0))))</f>
        <v/>
      </c>
      <c r="AQ71" s="31">
        <f>IF($AL71=0,"",IF($AO71=3,0,IF($AO71=2,1,IF(AND($AP71&gt;=2,$AP71&gt;$AO71),2,""))))</f>
        <v/>
      </c>
      <c r="AR71" s="31">
        <f>IF($AQ71="","",$AQ71*1000+71)</f>
        <v/>
      </c>
      <c r="AS71" s="31">
        <f>IF(AND($AL71=1,$AO71&gt;=2,$AP71&gt;=1,$AP71&lt;$AO71),1,0)</f>
        <v/>
      </c>
      <c r="AT71" s="31">
        <f>IF(AND($AL71=1,$AO71&gt;=2,$AP71=0),1,0)</f>
        <v/>
      </c>
      <c r="AU71" s="31">
        <f>IF(AND($AL71=1,$U71&lt;&gt;"",$U71&lt;TODAY()),1,0)</f>
        <v/>
      </c>
      <c r="AV71" s="31">
        <f>IF(OR($A71="",$AJ71="",Portfolio!$B$10=""),0,IF($AJ71&lt;=Portfolio!$B$10,0,IF(AND($D71="Completed",$Z71=1),1,IF(AND($D71="Terminated",$Z71=1),2,IF(AND($Q71=1,$Z71=0),3,0)))))</f>
        <v/>
      </c>
      <c r="AW71" s="31">
        <f>IF($AV71&gt;0,COUNTIF($AV$6:$AV71,"&gt;0"),"")</f>
        <v/>
      </c>
      <c r="AX71" s="31">
        <f>IF($AL71=0,"",IF(AND($B71="Project",$H71&lt;&gt;"",$H71&lt;TODAY()),"Planned finish "&amp;TEXT($H71,"d mmm")&amp;" has passed",IF($X71&gt;=2,(NETWORKDAYS($H71,$U71)-1)&amp;" working days past plan","")))</f>
        <v/>
      </c>
      <c r="AY71" s="31">
        <f>IF($AL71=0,"",IF($Y71&gt;=2,"Over budget by "&amp;TEXT(IF($B71="Program",$V71,$J71)-$K71,"#,##0"),""))</f>
        <v/>
      </c>
      <c r="AZ71" s="31">
        <f>IF(AND($AL71=1,$U71&lt;&gt;""),IF(AND(N($U71)&gt;=TODAY(),N($U71)&lt;=TODAY()+Board!$B$41),1,0),0)</f>
        <v/>
      </c>
    </row>
    <row r="72">
      <c r="A72" s="29" t="n"/>
      <c r="B72" s="29" t="n"/>
      <c r="C72" s="29" t="n"/>
      <c r="D72" s="29" t="n"/>
      <c r="E72" s="29" t="n"/>
      <c r="F72" s="29" t="n"/>
      <c r="G72" s="29" t="n"/>
      <c r="H72" s="30" t="n"/>
      <c r="I72" s="30" t="n"/>
      <c r="J72" s="19" t="n"/>
      <c r="K72" s="19" t="n"/>
      <c r="L72" s="26" t="n"/>
      <c r="M72" s="31">
        <f>IF($A72="","",IF($D72="","Not read",IF($Q72=0,"Not counted",IF(MAX($X72,$Y72)=3,"■ Red",IF(MAX($X72,$Y72)=2,"◧ Amber",IF(MAX($X72,$Y72)=1,"□ On track","Not read"))))))</f>
        <v/>
      </c>
      <c r="N72" s="31">
        <f>IF(OR($A72="",$B72&lt;&gt;"Program"),"","■ "&amp;COUNTIFS($C$6:$C$305,$A72,$M$6:$M$305,"■ Red")&amp;" Red, ◧ "&amp;COUNTIFS($C$6:$C$305,$A72,$M$6:$M$305,"◧ Amber")&amp;" Amber")</f>
        <v/>
      </c>
      <c r="O72" s="32">
        <f>IF(OR($A72="",$E72=""),"",COUNTIFS($E$6:$E$305,$E72,$D$6:$D$305,"Active")+COUNTIFS($E$6:$E$305,$E72,$D$6:$D$305,"Paused"))</f>
        <v/>
      </c>
      <c r="P72" s="31">
        <f>IF($A72="","",IF($AE72=0,"○ Clear",IF($AA72=1,"△ No owner",IF($AC72=1,"△ Check Sits under",IF($AC72=2,"△ Outside the portfolio",IF($AB72=1,"△ No sponsor","△ No variance note"))))&amp;IF($AE72&gt;1," (+"&amp;($AE72-1)&amp;" more)","")))</f>
        <v/>
      </c>
      <c r="Q72" s="31">
        <f>IF(AND($A72&lt;&gt;"",OR($D72="Active",$D72="Paused")),1,0)</f>
        <v/>
      </c>
      <c r="R72" s="31">
        <f>IFERROR(INDEX($A$6:$A$305,MATCH(65,$S$6:$S$305,0)),"")</f>
        <v/>
      </c>
      <c r="S72" s="31">
        <f>IF(AND($A72&lt;&gt;"",$B72="Program"),COUNTIFS($B$6:$B72,"Program",$A$6:$A72,"&lt;&gt;"),"")</f>
        <v/>
      </c>
      <c r="T72" s="33">
        <f>IF(AND($A72&lt;&gt;"",$B72="Program"),SUMPRODUCT(MAX(($C$6:$C$305=$A72)*($B$6:$B$305="Project")*($D$6:$D$305&lt;&gt;"Proposed")*$I$6:$I$305)),0)</f>
        <v/>
      </c>
      <c r="U72" s="33">
        <f>IF($I72&lt;&gt;"",$I72,IF($T72&gt;0,$T72,""))</f>
        <v/>
      </c>
      <c r="V72" s="31">
        <f>IF(AND($A72&lt;&gt;"",$B72="Program"),SUMIFS($J$6:$J$305,$C$6:$C$305,$A72,$B$6:$B$305,"Project",$D$6:$D$305,"&lt;&gt;Proposed"),0)</f>
        <v/>
      </c>
      <c r="W72" s="31">
        <f>IF(AND($A72&lt;&gt;"",$B72="Program"),COUNTIFS($C$6:$C$305,$A72,$B$6:$B$305,"Project",$D$6:$D$305,"&lt;&gt;Proposed")-COUNTIFS($C$6:$C$305,$A72,$B$6:$B$305,"Project",$D$6:$D$305,"&lt;&gt;Proposed",$J$6:$J$305,"&gt;=0"),0)</f>
        <v/>
      </c>
      <c r="X72" s="31">
        <f>IF(OR($Q72=0,$H72=""),0,IF(AND($B72="Project",$H72&lt;TODAY()),3,IF($U72="",0,IF($U72&lt;=$H72,1,IF(NETWORKDAYS($H72,$U72)-1&gt;IF($B72="Program",Portfolio!$B$16,Portfolio!$B$15),3,2)))))</f>
        <v/>
      </c>
      <c r="Y72" s="31">
        <f>IF(OR($Q72=0,$K72="",$K72=0),0,IF(AND($B72="Project",$J72=""),0,IF(IF($B72="Program",$V72,$J72)&gt;$K72*(1+Portfolio!$B$17),3,IF(IF($B72="Program",$V72,$J72)&gt;$K72,2,IF(AND($B72="Program",OR($W72&gt;0,$V72=0)),0,1)))))</f>
        <v/>
      </c>
      <c r="Z72" s="31">
        <f>IF($A72="",0,IF($C72="Portfolio",1,IF(AND($B72="Project",$C72&lt;&gt;"",$C72&lt;&gt;"Outside the portfolio"),IFERROR(IF(AND(INDEX($B$6:$B$305,MATCH($C72,$A$6:$A$305,0))="Program",INDEX($C$6:$C$305,MATCH($C72,$A$6:$A$305,0))="Portfolio"),1,0),0),0)))</f>
        <v/>
      </c>
      <c r="AA72" s="31">
        <f>IF(AND($A72&lt;&gt;"",$E72="",OR($Q72=1,$D72="Proposed")),1,0)</f>
        <v/>
      </c>
      <c r="AB72" s="31">
        <f>IF(AND($A72&lt;&gt;"",$B72="Program",$F72="",$Q72=1),1,0)</f>
        <v/>
      </c>
      <c r="AC72" s="31">
        <f>IF(OR($A72="",$D72="Completed",$D72="Terminated"),0,IF($C72="",1,IF($C72="Portfolio",0,IF($C72="Outside the portfolio",IF($Q72=1,2,0),IF($B72="Project",IF(IFERROR(INDEX($B$6:$B$305,MATCH($C72,$A$6:$A$305,0)),"")="Program",0,1),1)))))</f>
        <v/>
      </c>
      <c r="AD72" s="31">
        <f>IF(AND($A72&lt;&gt;"",OR($M72="■ Red",$M72="◧ Amber"),$L72=""),1,0)</f>
        <v/>
      </c>
      <c r="AE72" s="31">
        <f>$AA72+$AB72+IF($AC72&gt;0,1,0)+$AD72</f>
        <v/>
      </c>
      <c r="AJ72" s="14" t="n"/>
      <c r="AK72" s="29" t="n"/>
      <c r="AL72" s="31">
        <f>IF(AND($Q72=1,$Z72=1),1,0)</f>
        <v/>
      </c>
      <c r="AM72" s="31">
        <f>IF(AND($AL72=1,$AJ72&lt;&gt;""),MAX(0,TODAY()-$AJ72),"")</f>
        <v/>
      </c>
      <c r="AN72" s="31">
        <f>IF(OR($AL72=0,COUNT($AJ$6:$AJ$305)=0),0,IF($AJ72="",1,IF(TODAY()-$AJ72&gt;Board!$B$40,1,0)))</f>
        <v/>
      </c>
      <c r="AO72" s="31">
        <f>IF($AL72=0,0,IF($M72="■ Red",3,IF($M72="◧ Amber",2,IF($M72="□ On track",1,0))))</f>
        <v/>
      </c>
      <c r="AP72" s="31">
        <f>IF($AL72=0,0,IF($AK72="Will not hold",3,IF($AK72="At risk",2,IF($AK72="Will hold",1,0))))</f>
        <v/>
      </c>
      <c r="AQ72" s="31">
        <f>IF($AL72=0,"",IF($AO72=3,0,IF($AO72=2,1,IF(AND($AP72&gt;=2,$AP72&gt;$AO72),2,""))))</f>
        <v/>
      </c>
      <c r="AR72" s="31">
        <f>IF($AQ72="","",$AQ72*1000+72)</f>
        <v/>
      </c>
      <c r="AS72" s="31">
        <f>IF(AND($AL72=1,$AO72&gt;=2,$AP72&gt;=1,$AP72&lt;$AO72),1,0)</f>
        <v/>
      </c>
      <c r="AT72" s="31">
        <f>IF(AND($AL72=1,$AO72&gt;=2,$AP72=0),1,0)</f>
        <v/>
      </c>
      <c r="AU72" s="31">
        <f>IF(AND($AL72=1,$U72&lt;&gt;"",$U72&lt;TODAY()),1,0)</f>
        <v/>
      </c>
      <c r="AV72" s="31">
        <f>IF(OR($A72="",$AJ72="",Portfolio!$B$10=""),0,IF($AJ72&lt;=Portfolio!$B$10,0,IF(AND($D72="Completed",$Z72=1),1,IF(AND($D72="Terminated",$Z72=1),2,IF(AND($Q72=1,$Z72=0),3,0)))))</f>
        <v/>
      </c>
      <c r="AW72" s="31">
        <f>IF($AV72&gt;0,COUNTIF($AV$6:$AV72,"&gt;0"),"")</f>
        <v/>
      </c>
      <c r="AX72" s="31">
        <f>IF($AL72=0,"",IF(AND($B72="Project",$H72&lt;&gt;"",$H72&lt;TODAY()),"Planned finish "&amp;TEXT($H72,"d mmm")&amp;" has passed",IF($X72&gt;=2,(NETWORKDAYS($H72,$U72)-1)&amp;" working days past plan","")))</f>
        <v/>
      </c>
      <c r="AY72" s="31">
        <f>IF($AL72=0,"",IF($Y72&gt;=2,"Over budget by "&amp;TEXT(IF($B72="Program",$V72,$J72)-$K72,"#,##0"),""))</f>
        <v/>
      </c>
      <c r="AZ72" s="31">
        <f>IF(AND($AL72=1,$U72&lt;&gt;""),IF(AND(N($U72)&gt;=TODAY(),N($U72)&lt;=TODAY()+Board!$B$41),1,0),0)</f>
        <v/>
      </c>
    </row>
    <row r="73">
      <c r="A73" s="29" t="n"/>
      <c r="B73" s="29" t="n"/>
      <c r="C73" s="29" t="n"/>
      <c r="D73" s="29" t="n"/>
      <c r="E73" s="29" t="n"/>
      <c r="F73" s="29" t="n"/>
      <c r="G73" s="29" t="n"/>
      <c r="H73" s="30" t="n"/>
      <c r="I73" s="30" t="n"/>
      <c r="J73" s="19" t="n"/>
      <c r="K73" s="19" t="n"/>
      <c r="L73" s="26" t="n"/>
      <c r="M73" s="31">
        <f>IF($A73="","",IF($D73="","Not read",IF($Q73=0,"Not counted",IF(MAX($X73,$Y73)=3,"■ Red",IF(MAX($X73,$Y73)=2,"◧ Amber",IF(MAX($X73,$Y73)=1,"□ On track","Not read"))))))</f>
        <v/>
      </c>
      <c r="N73" s="31">
        <f>IF(OR($A73="",$B73&lt;&gt;"Program"),"","■ "&amp;COUNTIFS($C$6:$C$305,$A73,$M$6:$M$305,"■ Red")&amp;" Red, ◧ "&amp;COUNTIFS($C$6:$C$305,$A73,$M$6:$M$305,"◧ Amber")&amp;" Amber")</f>
        <v/>
      </c>
      <c r="O73" s="32">
        <f>IF(OR($A73="",$E73=""),"",COUNTIFS($E$6:$E$305,$E73,$D$6:$D$305,"Active")+COUNTIFS($E$6:$E$305,$E73,$D$6:$D$305,"Paused"))</f>
        <v/>
      </c>
      <c r="P73" s="31">
        <f>IF($A73="","",IF($AE73=0,"○ Clear",IF($AA73=1,"△ No owner",IF($AC73=1,"△ Check Sits under",IF($AC73=2,"△ Outside the portfolio",IF($AB73=1,"△ No sponsor","△ No variance note"))))&amp;IF($AE73&gt;1," (+"&amp;($AE73-1)&amp;" more)","")))</f>
        <v/>
      </c>
      <c r="Q73" s="31">
        <f>IF(AND($A73&lt;&gt;"",OR($D73="Active",$D73="Paused")),1,0)</f>
        <v/>
      </c>
      <c r="R73" s="31">
        <f>IFERROR(INDEX($A$6:$A$305,MATCH(66,$S$6:$S$305,0)),"")</f>
        <v/>
      </c>
      <c r="S73" s="31">
        <f>IF(AND($A73&lt;&gt;"",$B73="Program"),COUNTIFS($B$6:$B73,"Program",$A$6:$A73,"&lt;&gt;"),"")</f>
        <v/>
      </c>
      <c r="T73" s="33">
        <f>IF(AND($A73&lt;&gt;"",$B73="Program"),SUMPRODUCT(MAX(($C$6:$C$305=$A73)*($B$6:$B$305="Project")*($D$6:$D$305&lt;&gt;"Proposed")*$I$6:$I$305)),0)</f>
        <v/>
      </c>
      <c r="U73" s="33">
        <f>IF($I73&lt;&gt;"",$I73,IF($T73&gt;0,$T73,""))</f>
        <v/>
      </c>
      <c r="V73" s="31">
        <f>IF(AND($A73&lt;&gt;"",$B73="Program"),SUMIFS($J$6:$J$305,$C$6:$C$305,$A73,$B$6:$B$305,"Project",$D$6:$D$305,"&lt;&gt;Proposed"),0)</f>
        <v/>
      </c>
      <c r="W73" s="31">
        <f>IF(AND($A73&lt;&gt;"",$B73="Program"),COUNTIFS($C$6:$C$305,$A73,$B$6:$B$305,"Project",$D$6:$D$305,"&lt;&gt;Proposed")-COUNTIFS($C$6:$C$305,$A73,$B$6:$B$305,"Project",$D$6:$D$305,"&lt;&gt;Proposed",$J$6:$J$305,"&gt;=0"),0)</f>
        <v/>
      </c>
      <c r="X73" s="31">
        <f>IF(OR($Q73=0,$H73=""),0,IF(AND($B73="Project",$H73&lt;TODAY()),3,IF($U73="",0,IF($U73&lt;=$H73,1,IF(NETWORKDAYS($H73,$U73)-1&gt;IF($B73="Program",Portfolio!$B$16,Portfolio!$B$15),3,2)))))</f>
        <v/>
      </c>
      <c r="Y73" s="31">
        <f>IF(OR($Q73=0,$K73="",$K73=0),0,IF(AND($B73="Project",$J73=""),0,IF(IF($B73="Program",$V73,$J73)&gt;$K73*(1+Portfolio!$B$17),3,IF(IF($B73="Program",$V73,$J73)&gt;$K73,2,IF(AND($B73="Program",OR($W73&gt;0,$V73=0)),0,1)))))</f>
        <v/>
      </c>
      <c r="Z73" s="31">
        <f>IF($A73="",0,IF($C73="Portfolio",1,IF(AND($B73="Project",$C73&lt;&gt;"",$C73&lt;&gt;"Outside the portfolio"),IFERROR(IF(AND(INDEX($B$6:$B$305,MATCH($C73,$A$6:$A$305,0))="Program",INDEX($C$6:$C$305,MATCH($C73,$A$6:$A$305,0))="Portfolio"),1,0),0),0)))</f>
        <v/>
      </c>
      <c r="AA73" s="31">
        <f>IF(AND($A73&lt;&gt;"",$E73="",OR($Q73=1,$D73="Proposed")),1,0)</f>
        <v/>
      </c>
      <c r="AB73" s="31">
        <f>IF(AND($A73&lt;&gt;"",$B73="Program",$F73="",$Q73=1),1,0)</f>
        <v/>
      </c>
      <c r="AC73" s="31">
        <f>IF(OR($A73="",$D73="Completed",$D73="Terminated"),0,IF($C73="",1,IF($C73="Portfolio",0,IF($C73="Outside the portfolio",IF($Q73=1,2,0),IF($B73="Project",IF(IFERROR(INDEX($B$6:$B$305,MATCH($C73,$A$6:$A$305,0)),"")="Program",0,1),1)))))</f>
        <v/>
      </c>
      <c r="AD73" s="31">
        <f>IF(AND($A73&lt;&gt;"",OR($M73="■ Red",$M73="◧ Amber"),$L73=""),1,0)</f>
        <v/>
      </c>
      <c r="AE73" s="31">
        <f>$AA73+$AB73+IF($AC73&gt;0,1,0)+$AD73</f>
        <v/>
      </c>
      <c r="AJ73" s="14" t="n"/>
      <c r="AK73" s="29" t="n"/>
      <c r="AL73" s="31">
        <f>IF(AND($Q73=1,$Z73=1),1,0)</f>
        <v/>
      </c>
      <c r="AM73" s="31">
        <f>IF(AND($AL73=1,$AJ73&lt;&gt;""),MAX(0,TODAY()-$AJ73),"")</f>
        <v/>
      </c>
      <c r="AN73" s="31">
        <f>IF(OR($AL73=0,COUNT($AJ$6:$AJ$305)=0),0,IF($AJ73="",1,IF(TODAY()-$AJ73&gt;Board!$B$40,1,0)))</f>
        <v/>
      </c>
      <c r="AO73" s="31">
        <f>IF($AL73=0,0,IF($M73="■ Red",3,IF($M73="◧ Amber",2,IF($M73="□ On track",1,0))))</f>
        <v/>
      </c>
      <c r="AP73" s="31">
        <f>IF($AL73=0,0,IF($AK73="Will not hold",3,IF($AK73="At risk",2,IF($AK73="Will hold",1,0))))</f>
        <v/>
      </c>
      <c r="AQ73" s="31">
        <f>IF($AL73=0,"",IF($AO73=3,0,IF($AO73=2,1,IF(AND($AP73&gt;=2,$AP73&gt;$AO73),2,""))))</f>
        <v/>
      </c>
      <c r="AR73" s="31">
        <f>IF($AQ73="","",$AQ73*1000+73)</f>
        <v/>
      </c>
      <c r="AS73" s="31">
        <f>IF(AND($AL73=1,$AO73&gt;=2,$AP73&gt;=1,$AP73&lt;$AO73),1,0)</f>
        <v/>
      </c>
      <c r="AT73" s="31">
        <f>IF(AND($AL73=1,$AO73&gt;=2,$AP73=0),1,0)</f>
        <v/>
      </c>
      <c r="AU73" s="31">
        <f>IF(AND($AL73=1,$U73&lt;&gt;"",$U73&lt;TODAY()),1,0)</f>
        <v/>
      </c>
      <c r="AV73" s="31">
        <f>IF(OR($A73="",$AJ73="",Portfolio!$B$10=""),0,IF($AJ73&lt;=Portfolio!$B$10,0,IF(AND($D73="Completed",$Z73=1),1,IF(AND($D73="Terminated",$Z73=1),2,IF(AND($Q73=1,$Z73=0),3,0)))))</f>
        <v/>
      </c>
      <c r="AW73" s="31">
        <f>IF($AV73&gt;0,COUNTIF($AV$6:$AV73,"&gt;0"),"")</f>
        <v/>
      </c>
      <c r="AX73" s="31">
        <f>IF($AL73=0,"",IF(AND($B73="Project",$H73&lt;&gt;"",$H73&lt;TODAY()),"Planned finish "&amp;TEXT($H73,"d mmm")&amp;" has passed",IF($X73&gt;=2,(NETWORKDAYS($H73,$U73)-1)&amp;" working days past plan","")))</f>
        <v/>
      </c>
      <c r="AY73" s="31">
        <f>IF($AL73=0,"",IF($Y73&gt;=2,"Over budget by "&amp;TEXT(IF($B73="Program",$V73,$J73)-$K73,"#,##0"),""))</f>
        <v/>
      </c>
      <c r="AZ73" s="31">
        <f>IF(AND($AL73=1,$U73&lt;&gt;""),IF(AND(N($U73)&gt;=TODAY(),N($U73)&lt;=TODAY()+Board!$B$41),1,0),0)</f>
        <v/>
      </c>
    </row>
    <row r="74">
      <c r="A74" s="29" t="n"/>
      <c r="B74" s="29" t="n"/>
      <c r="C74" s="29" t="n"/>
      <c r="D74" s="29" t="n"/>
      <c r="E74" s="29" t="n"/>
      <c r="F74" s="29" t="n"/>
      <c r="G74" s="29" t="n"/>
      <c r="H74" s="30" t="n"/>
      <c r="I74" s="30" t="n"/>
      <c r="J74" s="19" t="n"/>
      <c r="K74" s="19" t="n"/>
      <c r="L74" s="26" t="n"/>
      <c r="M74" s="31">
        <f>IF($A74="","",IF($D74="","Not read",IF($Q74=0,"Not counted",IF(MAX($X74,$Y74)=3,"■ Red",IF(MAX($X74,$Y74)=2,"◧ Amber",IF(MAX($X74,$Y74)=1,"□ On track","Not read"))))))</f>
        <v/>
      </c>
      <c r="N74" s="31">
        <f>IF(OR($A74="",$B74&lt;&gt;"Program"),"","■ "&amp;COUNTIFS($C$6:$C$305,$A74,$M$6:$M$305,"■ Red")&amp;" Red, ◧ "&amp;COUNTIFS($C$6:$C$305,$A74,$M$6:$M$305,"◧ Amber")&amp;" Amber")</f>
        <v/>
      </c>
      <c r="O74" s="32">
        <f>IF(OR($A74="",$E74=""),"",COUNTIFS($E$6:$E$305,$E74,$D$6:$D$305,"Active")+COUNTIFS($E$6:$E$305,$E74,$D$6:$D$305,"Paused"))</f>
        <v/>
      </c>
      <c r="P74" s="31">
        <f>IF($A74="","",IF($AE74=0,"○ Clear",IF($AA74=1,"△ No owner",IF($AC74=1,"△ Check Sits under",IF($AC74=2,"△ Outside the portfolio",IF($AB74=1,"△ No sponsor","△ No variance note"))))&amp;IF($AE74&gt;1," (+"&amp;($AE74-1)&amp;" more)","")))</f>
        <v/>
      </c>
      <c r="Q74" s="31">
        <f>IF(AND($A74&lt;&gt;"",OR($D74="Active",$D74="Paused")),1,0)</f>
        <v/>
      </c>
      <c r="R74" s="31">
        <f>IFERROR(INDEX($A$6:$A$305,MATCH(67,$S$6:$S$305,0)),"")</f>
        <v/>
      </c>
      <c r="S74" s="31">
        <f>IF(AND($A74&lt;&gt;"",$B74="Program"),COUNTIFS($B$6:$B74,"Program",$A$6:$A74,"&lt;&gt;"),"")</f>
        <v/>
      </c>
      <c r="T74" s="33">
        <f>IF(AND($A74&lt;&gt;"",$B74="Program"),SUMPRODUCT(MAX(($C$6:$C$305=$A74)*($B$6:$B$305="Project")*($D$6:$D$305&lt;&gt;"Proposed")*$I$6:$I$305)),0)</f>
        <v/>
      </c>
      <c r="U74" s="33">
        <f>IF($I74&lt;&gt;"",$I74,IF($T74&gt;0,$T74,""))</f>
        <v/>
      </c>
      <c r="V74" s="31">
        <f>IF(AND($A74&lt;&gt;"",$B74="Program"),SUMIFS($J$6:$J$305,$C$6:$C$305,$A74,$B$6:$B$305,"Project",$D$6:$D$305,"&lt;&gt;Proposed"),0)</f>
        <v/>
      </c>
      <c r="W74" s="31">
        <f>IF(AND($A74&lt;&gt;"",$B74="Program"),COUNTIFS($C$6:$C$305,$A74,$B$6:$B$305,"Project",$D$6:$D$305,"&lt;&gt;Proposed")-COUNTIFS($C$6:$C$305,$A74,$B$6:$B$305,"Project",$D$6:$D$305,"&lt;&gt;Proposed",$J$6:$J$305,"&gt;=0"),0)</f>
        <v/>
      </c>
      <c r="X74" s="31">
        <f>IF(OR($Q74=0,$H74=""),0,IF(AND($B74="Project",$H74&lt;TODAY()),3,IF($U74="",0,IF($U74&lt;=$H74,1,IF(NETWORKDAYS($H74,$U74)-1&gt;IF($B74="Program",Portfolio!$B$16,Portfolio!$B$15),3,2)))))</f>
        <v/>
      </c>
      <c r="Y74" s="31">
        <f>IF(OR($Q74=0,$K74="",$K74=0),0,IF(AND($B74="Project",$J74=""),0,IF(IF($B74="Program",$V74,$J74)&gt;$K74*(1+Portfolio!$B$17),3,IF(IF($B74="Program",$V74,$J74)&gt;$K74,2,IF(AND($B74="Program",OR($W74&gt;0,$V74=0)),0,1)))))</f>
        <v/>
      </c>
      <c r="Z74" s="31">
        <f>IF($A74="",0,IF($C74="Portfolio",1,IF(AND($B74="Project",$C74&lt;&gt;"",$C74&lt;&gt;"Outside the portfolio"),IFERROR(IF(AND(INDEX($B$6:$B$305,MATCH($C74,$A$6:$A$305,0))="Program",INDEX($C$6:$C$305,MATCH($C74,$A$6:$A$305,0))="Portfolio"),1,0),0),0)))</f>
        <v/>
      </c>
      <c r="AA74" s="31">
        <f>IF(AND($A74&lt;&gt;"",$E74="",OR($Q74=1,$D74="Proposed")),1,0)</f>
        <v/>
      </c>
      <c r="AB74" s="31">
        <f>IF(AND($A74&lt;&gt;"",$B74="Program",$F74="",$Q74=1),1,0)</f>
        <v/>
      </c>
      <c r="AC74" s="31">
        <f>IF(OR($A74="",$D74="Completed",$D74="Terminated"),0,IF($C74="",1,IF($C74="Portfolio",0,IF($C74="Outside the portfolio",IF($Q74=1,2,0),IF($B74="Project",IF(IFERROR(INDEX($B$6:$B$305,MATCH($C74,$A$6:$A$305,0)),"")="Program",0,1),1)))))</f>
        <v/>
      </c>
      <c r="AD74" s="31">
        <f>IF(AND($A74&lt;&gt;"",OR($M74="■ Red",$M74="◧ Amber"),$L74=""),1,0)</f>
        <v/>
      </c>
      <c r="AE74" s="31">
        <f>$AA74+$AB74+IF($AC74&gt;0,1,0)+$AD74</f>
        <v/>
      </c>
      <c r="AJ74" s="14" t="n"/>
      <c r="AK74" s="29" t="n"/>
      <c r="AL74" s="31">
        <f>IF(AND($Q74=1,$Z74=1),1,0)</f>
        <v/>
      </c>
      <c r="AM74" s="31">
        <f>IF(AND($AL74=1,$AJ74&lt;&gt;""),MAX(0,TODAY()-$AJ74),"")</f>
        <v/>
      </c>
      <c r="AN74" s="31">
        <f>IF(OR($AL74=0,COUNT($AJ$6:$AJ$305)=0),0,IF($AJ74="",1,IF(TODAY()-$AJ74&gt;Board!$B$40,1,0)))</f>
        <v/>
      </c>
      <c r="AO74" s="31">
        <f>IF($AL74=0,0,IF($M74="■ Red",3,IF($M74="◧ Amber",2,IF($M74="□ On track",1,0))))</f>
        <v/>
      </c>
      <c r="AP74" s="31">
        <f>IF($AL74=0,0,IF($AK74="Will not hold",3,IF($AK74="At risk",2,IF($AK74="Will hold",1,0))))</f>
        <v/>
      </c>
      <c r="AQ74" s="31">
        <f>IF($AL74=0,"",IF($AO74=3,0,IF($AO74=2,1,IF(AND($AP74&gt;=2,$AP74&gt;$AO74),2,""))))</f>
        <v/>
      </c>
      <c r="AR74" s="31">
        <f>IF($AQ74="","",$AQ74*1000+74)</f>
        <v/>
      </c>
      <c r="AS74" s="31">
        <f>IF(AND($AL74=1,$AO74&gt;=2,$AP74&gt;=1,$AP74&lt;$AO74),1,0)</f>
        <v/>
      </c>
      <c r="AT74" s="31">
        <f>IF(AND($AL74=1,$AO74&gt;=2,$AP74=0),1,0)</f>
        <v/>
      </c>
      <c r="AU74" s="31">
        <f>IF(AND($AL74=1,$U74&lt;&gt;"",$U74&lt;TODAY()),1,0)</f>
        <v/>
      </c>
      <c r="AV74" s="31">
        <f>IF(OR($A74="",$AJ74="",Portfolio!$B$10=""),0,IF($AJ74&lt;=Portfolio!$B$10,0,IF(AND($D74="Completed",$Z74=1),1,IF(AND($D74="Terminated",$Z74=1),2,IF(AND($Q74=1,$Z74=0),3,0)))))</f>
        <v/>
      </c>
      <c r="AW74" s="31">
        <f>IF($AV74&gt;0,COUNTIF($AV$6:$AV74,"&gt;0"),"")</f>
        <v/>
      </c>
      <c r="AX74" s="31">
        <f>IF($AL74=0,"",IF(AND($B74="Project",$H74&lt;&gt;"",$H74&lt;TODAY()),"Planned finish "&amp;TEXT($H74,"d mmm")&amp;" has passed",IF($X74&gt;=2,(NETWORKDAYS($H74,$U74)-1)&amp;" working days past plan","")))</f>
        <v/>
      </c>
      <c r="AY74" s="31">
        <f>IF($AL74=0,"",IF($Y74&gt;=2,"Over budget by "&amp;TEXT(IF($B74="Program",$V74,$J74)-$K74,"#,##0"),""))</f>
        <v/>
      </c>
      <c r="AZ74" s="31">
        <f>IF(AND($AL74=1,$U74&lt;&gt;""),IF(AND(N($U74)&gt;=TODAY(),N($U74)&lt;=TODAY()+Board!$B$41),1,0),0)</f>
        <v/>
      </c>
    </row>
    <row r="75">
      <c r="A75" s="29" t="n"/>
      <c r="B75" s="29" t="n"/>
      <c r="C75" s="29" t="n"/>
      <c r="D75" s="29" t="n"/>
      <c r="E75" s="29" t="n"/>
      <c r="F75" s="29" t="n"/>
      <c r="G75" s="29" t="n"/>
      <c r="H75" s="30" t="n"/>
      <c r="I75" s="30" t="n"/>
      <c r="J75" s="19" t="n"/>
      <c r="K75" s="19" t="n"/>
      <c r="L75" s="26" t="n"/>
      <c r="M75" s="31">
        <f>IF($A75="","",IF($D75="","Not read",IF($Q75=0,"Not counted",IF(MAX($X75,$Y75)=3,"■ Red",IF(MAX($X75,$Y75)=2,"◧ Amber",IF(MAX($X75,$Y75)=1,"□ On track","Not read"))))))</f>
        <v/>
      </c>
      <c r="N75" s="31">
        <f>IF(OR($A75="",$B75&lt;&gt;"Program"),"","■ "&amp;COUNTIFS($C$6:$C$305,$A75,$M$6:$M$305,"■ Red")&amp;" Red, ◧ "&amp;COUNTIFS($C$6:$C$305,$A75,$M$6:$M$305,"◧ Amber")&amp;" Amber")</f>
        <v/>
      </c>
      <c r="O75" s="32">
        <f>IF(OR($A75="",$E75=""),"",COUNTIFS($E$6:$E$305,$E75,$D$6:$D$305,"Active")+COUNTIFS($E$6:$E$305,$E75,$D$6:$D$305,"Paused"))</f>
        <v/>
      </c>
      <c r="P75" s="31">
        <f>IF($A75="","",IF($AE75=0,"○ Clear",IF($AA75=1,"△ No owner",IF($AC75=1,"△ Check Sits under",IF($AC75=2,"△ Outside the portfolio",IF($AB75=1,"△ No sponsor","△ No variance note"))))&amp;IF($AE75&gt;1," (+"&amp;($AE75-1)&amp;" more)","")))</f>
        <v/>
      </c>
      <c r="Q75" s="31">
        <f>IF(AND($A75&lt;&gt;"",OR($D75="Active",$D75="Paused")),1,0)</f>
        <v/>
      </c>
      <c r="R75" s="31">
        <f>IFERROR(INDEX($A$6:$A$305,MATCH(68,$S$6:$S$305,0)),"")</f>
        <v/>
      </c>
      <c r="S75" s="31">
        <f>IF(AND($A75&lt;&gt;"",$B75="Program"),COUNTIFS($B$6:$B75,"Program",$A$6:$A75,"&lt;&gt;"),"")</f>
        <v/>
      </c>
      <c r="T75" s="33">
        <f>IF(AND($A75&lt;&gt;"",$B75="Program"),SUMPRODUCT(MAX(($C$6:$C$305=$A75)*($B$6:$B$305="Project")*($D$6:$D$305&lt;&gt;"Proposed")*$I$6:$I$305)),0)</f>
        <v/>
      </c>
      <c r="U75" s="33">
        <f>IF($I75&lt;&gt;"",$I75,IF($T75&gt;0,$T75,""))</f>
        <v/>
      </c>
      <c r="V75" s="31">
        <f>IF(AND($A75&lt;&gt;"",$B75="Program"),SUMIFS($J$6:$J$305,$C$6:$C$305,$A75,$B$6:$B$305,"Project",$D$6:$D$305,"&lt;&gt;Proposed"),0)</f>
        <v/>
      </c>
      <c r="W75" s="31">
        <f>IF(AND($A75&lt;&gt;"",$B75="Program"),COUNTIFS($C$6:$C$305,$A75,$B$6:$B$305,"Project",$D$6:$D$305,"&lt;&gt;Proposed")-COUNTIFS($C$6:$C$305,$A75,$B$6:$B$305,"Project",$D$6:$D$305,"&lt;&gt;Proposed",$J$6:$J$305,"&gt;=0"),0)</f>
        <v/>
      </c>
      <c r="X75" s="31">
        <f>IF(OR($Q75=0,$H75=""),0,IF(AND($B75="Project",$H75&lt;TODAY()),3,IF($U75="",0,IF($U75&lt;=$H75,1,IF(NETWORKDAYS($H75,$U75)-1&gt;IF($B75="Program",Portfolio!$B$16,Portfolio!$B$15),3,2)))))</f>
        <v/>
      </c>
      <c r="Y75" s="31">
        <f>IF(OR($Q75=0,$K75="",$K75=0),0,IF(AND($B75="Project",$J75=""),0,IF(IF($B75="Program",$V75,$J75)&gt;$K75*(1+Portfolio!$B$17),3,IF(IF($B75="Program",$V75,$J75)&gt;$K75,2,IF(AND($B75="Program",OR($W75&gt;0,$V75=0)),0,1)))))</f>
        <v/>
      </c>
      <c r="Z75" s="31">
        <f>IF($A75="",0,IF($C75="Portfolio",1,IF(AND($B75="Project",$C75&lt;&gt;"",$C75&lt;&gt;"Outside the portfolio"),IFERROR(IF(AND(INDEX($B$6:$B$305,MATCH($C75,$A$6:$A$305,0))="Program",INDEX($C$6:$C$305,MATCH($C75,$A$6:$A$305,0))="Portfolio"),1,0),0),0)))</f>
        <v/>
      </c>
      <c r="AA75" s="31">
        <f>IF(AND($A75&lt;&gt;"",$E75="",OR($Q75=1,$D75="Proposed")),1,0)</f>
        <v/>
      </c>
      <c r="AB75" s="31">
        <f>IF(AND($A75&lt;&gt;"",$B75="Program",$F75="",$Q75=1),1,0)</f>
        <v/>
      </c>
      <c r="AC75" s="31">
        <f>IF(OR($A75="",$D75="Completed",$D75="Terminated"),0,IF($C75="",1,IF($C75="Portfolio",0,IF($C75="Outside the portfolio",IF($Q75=1,2,0),IF($B75="Project",IF(IFERROR(INDEX($B$6:$B$305,MATCH($C75,$A$6:$A$305,0)),"")="Program",0,1),1)))))</f>
        <v/>
      </c>
      <c r="AD75" s="31">
        <f>IF(AND($A75&lt;&gt;"",OR($M75="■ Red",$M75="◧ Amber"),$L75=""),1,0)</f>
        <v/>
      </c>
      <c r="AE75" s="31">
        <f>$AA75+$AB75+IF($AC75&gt;0,1,0)+$AD75</f>
        <v/>
      </c>
      <c r="AJ75" s="14" t="n"/>
      <c r="AK75" s="29" t="n"/>
      <c r="AL75" s="31">
        <f>IF(AND($Q75=1,$Z75=1),1,0)</f>
        <v/>
      </c>
      <c r="AM75" s="31">
        <f>IF(AND($AL75=1,$AJ75&lt;&gt;""),MAX(0,TODAY()-$AJ75),"")</f>
        <v/>
      </c>
      <c r="AN75" s="31">
        <f>IF(OR($AL75=0,COUNT($AJ$6:$AJ$305)=0),0,IF($AJ75="",1,IF(TODAY()-$AJ75&gt;Board!$B$40,1,0)))</f>
        <v/>
      </c>
      <c r="AO75" s="31">
        <f>IF($AL75=0,0,IF($M75="■ Red",3,IF($M75="◧ Amber",2,IF($M75="□ On track",1,0))))</f>
        <v/>
      </c>
      <c r="AP75" s="31">
        <f>IF($AL75=0,0,IF($AK75="Will not hold",3,IF($AK75="At risk",2,IF($AK75="Will hold",1,0))))</f>
        <v/>
      </c>
      <c r="AQ75" s="31">
        <f>IF($AL75=0,"",IF($AO75=3,0,IF($AO75=2,1,IF(AND($AP75&gt;=2,$AP75&gt;$AO75),2,""))))</f>
        <v/>
      </c>
      <c r="AR75" s="31">
        <f>IF($AQ75="","",$AQ75*1000+75)</f>
        <v/>
      </c>
      <c r="AS75" s="31">
        <f>IF(AND($AL75=1,$AO75&gt;=2,$AP75&gt;=1,$AP75&lt;$AO75),1,0)</f>
        <v/>
      </c>
      <c r="AT75" s="31">
        <f>IF(AND($AL75=1,$AO75&gt;=2,$AP75=0),1,0)</f>
        <v/>
      </c>
      <c r="AU75" s="31">
        <f>IF(AND($AL75=1,$U75&lt;&gt;"",$U75&lt;TODAY()),1,0)</f>
        <v/>
      </c>
      <c r="AV75" s="31">
        <f>IF(OR($A75="",$AJ75="",Portfolio!$B$10=""),0,IF($AJ75&lt;=Portfolio!$B$10,0,IF(AND($D75="Completed",$Z75=1),1,IF(AND($D75="Terminated",$Z75=1),2,IF(AND($Q75=1,$Z75=0),3,0)))))</f>
        <v/>
      </c>
      <c r="AW75" s="31">
        <f>IF($AV75&gt;0,COUNTIF($AV$6:$AV75,"&gt;0"),"")</f>
        <v/>
      </c>
      <c r="AX75" s="31">
        <f>IF($AL75=0,"",IF(AND($B75="Project",$H75&lt;&gt;"",$H75&lt;TODAY()),"Planned finish "&amp;TEXT($H75,"d mmm")&amp;" has passed",IF($X75&gt;=2,(NETWORKDAYS($H75,$U75)-1)&amp;" working days past plan","")))</f>
        <v/>
      </c>
      <c r="AY75" s="31">
        <f>IF($AL75=0,"",IF($Y75&gt;=2,"Over budget by "&amp;TEXT(IF($B75="Program",$V75,$J75)-$K75,"#,##0"),""))</f>
        <v/>
      </c>
      <c r="AZ75" s="31">
        <f>IF(AND($AL75=1,$U75&lt;&gt;""),IF(AND(N($U75)&gt;=TODAY(),N($U75)&lt;=TODAY()+Board!$B$41),1,0),0)</f>
        <v/>
      </c>
    </row>
    <row r="76">
      <c r="A76" s="29" t="n"/>
      <c r="B76" s="29" t="n"/>
      <c r="C76" s="29" t="n"/>
      <c r="D76" s="29" t="n"/>
      <c r="E76" s="29" t="n"/>
      <c r="F76" s="29" t="n"/>
      <c r="G76" s="29" t="n"/>
      <c r="H76" s="30" t="n"/>
      <c r="I76" s="30" t="n"/>
      <c r="J76" s="19" t="n"/>
      <c r="K76" s="19" t="n"/>
      <c r="L76" s="26" t="n"/>
      <c r="M76" s="31">
        <f>IF($A76="","",IF($D76="","Not read",IF($Q76=0,"Not counted",IF(MAX($X76,$Y76)=3,"■ Red",IF(MAX($X76,$Y76)=2,"◧ Amber",IF(MAX($X76,$Y76)=1,"□ On track","Not read"))))))</f>
        <v/>
      </c>
      <c r="N76" s="31">
        <f>IF(OR($A76="",$B76&lt;&gt;"Program"),"","■ "&amp;COUNTIFS($C$6:$C$305,$A76,$M$6:$M$305,"■ Red")&amp;" Red, ◧ "&amp;COUNTIFS($C$6:$C$305,$A76,$M$6:$M$305,"◧ Amber")&amp;" Amber")</f>
        <v/>
      </c>
      <c r="O76" s="32">
        <f>IF(OR($A76="",$E76=""),"",COUNTIFS($E$6:$E$305,$E76,$D$6:$D$305,"Active")+COUNTIFS($E$6:$E$305,$E76,$D$6:$D$305,"Paused"))</f>
        <v/>
      </c>
      <c r="P76" s="31">
        <f>IF($A76="","",IF($AE76=0,"○ Clear",IF($AA76=1,"△ No owner",IF($AC76=1,"△ Check Sits under",IF($AC76=2,"△ Outside the portfolio",IF($AB76=1,"△ No sponsor","△ No variance note"))))&amp;IF($AE76&gt;1," (+"&amp;($AE76-1)&amp;" more)","")))</f>
        <v/>
      </c>
      <c r="Q76" s="31">
        <f>IF(AND($A76&lt;&gt;"",OR($D76="Active",$D76="Paused")),1,0)</f>
        <v/>
      </c>
      <c r="R76" s="31">
        <f>IFERROR(INDEX($A$6:$A$305,MATCH(69,$S$6:$S$305,0)),"")</f>
        <v/>
      </c>
      <c r="S76" s="31">
        <f>IF(AND($A76&lt;&gt;"",$B76="Program"),COUNTIFS($B$6:$B76,"Program",$A$6:$A76,"&lt;&gt;"),"")</f>
        <v/>
      </c>
      <c r="T76" s="33">
        <f>IF(AND($A76&lt;&gt;"",$B76="Program"),SUMPRODUCT(MAX(($C$6:$C$305=$A76)*($B$6:$B$305="Project")*($D$6:$D$305&lt;&gt;"Proposed")*$I$6:$I$305)),0)</f>
        <v/>
      </c>
      <c r="U76" s="33">
        <f>IF($I76&lt;&gt;"",$I76,IF($T76&gt;0,$T76,""))</f>
        <v/>
      </c>
      <c r="V76" s="31">
        <f>IF(AND($A76&lt;&gt;"",$B76="Program"),SUMIFS($J$6:$J$305,$C$6:$C$305,$A76,$B$6:$B$305,"Project",$D$6:$D$305,"&lt;&gt;Proposed"),0)</f>
        <v/>
      </c>
      <c r="W76" s="31">
        <f>IF(AND($A76&lt;&gt;"",$B76="Program"),COUNTIFS($C$6:$C$305,$A76,$B$6:$B$305,"Project",$D$6:$D$305,"&lt;&gt;Proposed")-COUNTIFS($C$6:$C$305,$A76,$B$6:$B$305,"Project",$D$6:$D$305,"&lt;&gt;Proposed",$J$6:$J$305,"&gt;=0"),0)</f>
        <v/>
      </c>
      <c r="X76" s="31">
        <f>IF(OR($Q76=0,$H76=""),0,IF(AND($B76="Project",$H76&lt;TODAY()),3,IF($U76="",0,IF($U76&lt;=$H76,1,IF(NETWORKDAYS($H76,$U76)-1&gt;IF($B76="Program",Portfolio!$B$16,Portfolio!$B$15),3,2)))))</f>
        <v/>
      </c>
      <c r="Y76" s="31">
        <f>IF(OR($Q76=0,$K76="",$K76=0),0,IF(AND($B76="Project",$J76=""),0,IF(IF($B76="Program",$V76,$J76)&gt;$K76*(1+Portfolio!$B$17),3,IF(IF($B76="Program",$V76,$J76)&gt;$K76,2,IF(AND($B76="Program",OR($W76&gt;0,$V76=0)),0,1)))))</f>
        <v/>
      </c>
      <c r="Z76" s="31">
        <f>IF($A76="",0,IF($C76="Portfolio",1,IF(AND($B76="Project",$C76&lt;&gt;"",$C76&lt;&gt;"Outside the portfolio"),IFERROR(IF(AND(INDEX($B$6:$B$305,MATCH($C76,$A$6:$A$305,0))="Program",INDEX($C$6:$C$305,MATCH($C76,$A$6:$A$305,0))="Portfolio"),1,0),0),0)))</f>
        <v/>
      </c>
      <c r="AA76" s="31">
        <f>IF(AND($A76&lt;&gt;"",$E76="",OR($Q76=1,$D76="Proposed")),1,0)</f>
        <v/>
      </c>
      <c r="AB76" s="31">
        <f>IF(AND($A76&lt;&gt;"",$B76="Program",$F76="",$Q76=1),1,0)</f>
        <v/>
      </c>
      <c r="AC76" s="31">
        <f>IF(OR($A76="",$D76="Completed",$D76="Terminated"),0,IF($C76="",1,IF($C76="Portfolio",0,IF($C76="Outside the portfolio",IF($Q76=1,2,0),IF($B76="Project",IF(IFERROR(INDEX($B$6:$B$305,MATCH($C76,$A$6:$A$305,0)),"")="Program",0,1),1)))))</f>
        <v/>
      </c>
      <c r="AD76" s="31">
        <f>IF(AND($A76&lt;&gt;"",OR($M76="■ Red",$M76="◧ Amber"),$L76=""),1,0)</f>
        <v/>
      </c>
      <c r="AE76" s="31">
        <f>$AA76+$AB76+IF($AC76&gt;0,1,0)+$AD76</f>
        <v/>
      </c>
      <c r="AJ76" s="14" t="n"/>
      <c r="AK76" s="29" t="n"/>
      <c r="AL76" s="31">
        <f>IF(AND($Q76=1,$Z76=1),1,0)</f>
        <v/>
      </c>
      <c r="AM76" s="31">
        <f>IF(AND($AL76=1,$AJ76&lt;&gt;""),MAX(0,TODAY()-$AJ76),"")</f>
        <v/>
      </c>
      <c r="AN76" s="31">
        <f>IF(OR($AL76=0,COUNT($AJ$6:$AJ$305)=0),0,IF($AJ76="",1,IF(TODAY()-$AJ76&gt;Board!$B$40,1,0)))</f>
        <v/>
      </c>
      <c r="AO76" s="31">
        <f>IF($AL76=0,0,IF($M76="■ Red",3,IF($M76="◧ Amber",2,IF($M76="□ On track",1,0))))</f>
        <v/>
      </c>
      <c r="AP76" s="31">
        <f>IF($AL76=0,0,IF($AK76="Will not hold",3,IF($AK76="At risk",2,IF($AK76="Will hold",1,0))))</f>
        <v/>
      </c>
      <c r="AQ76" s="31">
        <f>IF($AL76=0,"",IF($AO76=3,0,IF($AO76=2,1,IF(AND($AP76&gt;=2,$AP76&gt;$AO76),2,""))))</f>
        <v/>
      </c>
      <c r="AR76" s="31">
        <f>IF($AQ76="","",$AQ76*1000+76)</f>
        <v/>
      </c>
      <c r="AS76" s="31">
        <f>IF(AND($AL76=1,$AO76&gt;=2,$AP76&gt;=1,$AP76&lt;$AO76),1,0)</f>
        <v/>
      </c>
      <c r="AT76" s="31">
        <f>IF(AND($AL76=1,$AO76&gt;=2,$AP76=0),1,0)</f>
        <v/>
      </c>
      <c r="AU76" s="31">
        <f>IF(AND($AL76=1,$U76&lt;&gt;"",$U76&lt;TODAY()),1,0)</f>
        <v/>
      </c>
      <c r="AV76" s="31">
        <f>IF(OR($A76="",$AJ76="",Portfolio!$B$10=""),0,IF($AJ76&lt;=Portfolio!$B$10,0,IF(AND($D76="Completed",$Z76=1),1,IF(AND($D76="Terminated",$Z76=1),2,IF(AND($Q76=1,$Z76=0),3,0)))))</f>
        <v/>
      </c>
      <c r="AW76" s="31">
        <f>IF($AV76&gt;0,COUNTIF($AV$6:$AV76,"&gt;0"),"")</f>
        <v/>
      </c>
      <c r="AX76" s="31">
        <f>IF($AL76=0,"",IF(AND($B76="Project",$H76&lt;&gt;"",$H76&lt;TODAY()),"Planned finish "&amp;TEXT($H76,"d mmm")&amp;" has passed",IF($X76&gt;=2,(NETWORKDAYS($H76,$U76)-1)&amp;" working days past plan","")))</f>
        <v/>
      </c>
      <c r="AY76" s="31">
        <f>IF($AL76=0,"",IF($Y76&gt;=2,"Over budget by "&amp;TEXT(IF($B76="Program",$V76,$J76)-$K76,"#,##0"),""))</f>
        <v/>
      </c>
      <c r="AZ76" s="31">
        <f>IF(AND($AL76=1,$U76&lt;&gt;""),IF(AND(N($U76)&gt;=TODAY(),N($U76)&lt;=TODAY()+Board!$B$41),1,0),0)</f>
        <v/>
      </c>
    </row>
    <row r="77">
      <c r="A77" s="29" t="n"/>
      <c r="B77" s="29" t="n"/>
      <c r="C77" s="29" t="n"/>
      <c r="D77" s="29" t="n"/>
      <c r="E77" s="29" t="n"/>
      <c r="F77" s="29" t="n"/>
      <c r="G77" s="29" t="n"/>
      <c r="H77" s="30" t="n"/>
      <c r="I77" s="30" t="n"/>
      <c r="J77" s="19" t="n"/>
      <c r="K77" s="19" t="n"/>
      <c r="L77" s="26" t="n"/>
      <c r="M77" s="31">
        <f>IF($A77="","",IF($D77="","Not read",IF($Q77=0,"Not counted",IF(MAX($X77,$Y77)=3,"■ Red",IF(MAX($X77,$Y77)=2,"◧ Amber",IF(MAX($X77,$Y77)=1,"□ On track","Not read"))))))</f>
        <v/>
      </c>
      <c r="N77" s="31">
        <f>IF(OR($A77="",$B77&lt;&gt;"Program"),"","■ "&amp;COUNTIFS($C$6:$C$305,$A77,$M$6:$M$305,"■ Red")&amp;" Red, ◧ "&amp;COUNTIFS($C$6:$C$305,$A77,$M$6:$M$305,"◧ Amber")&amp;" Amber")</f>
        <v/>
      </c>
      <c r="O77" s="32">
        <f>IF(OR($A77="",$E77=""),"",COUNTIFS($E$6:$E$305,$E77,$D$6:$D$305,"Active")+COUNTIFS($E$6:$E$305,$E77,$D$6:$D$305,"Paused"))</f>
        <v/>
      </c>
      <c r="P77" s="31">
        <f>IF($A77="","",IF($AE77=0,"○ Clear",IF($AA77=1,"△ No owner",IF($AC77=1,"△ Check Sits under",IF($AC77=2,"△ Outside the portfolio",IF($AB77=1,"△ No sponsor","△ No variance note"))))&amp;IF($AE77&gt;1," (+"&amp;($AE77-1)&amp;" more)","")))</f>
        <v/>
      </c>
      <c r="Q77" s="31">
        <f>IF(AND($A77&lt;&gt;"",OR($D77="Active",$D77="Paused")),1,0)</f>
        <v/>
      </c>
      <c r="R77" s="31">
        <f>IFERROR(INDEX($A$6:$A$305,MATCH(70,$S$6:$S$305,0)),"")</f>
        <v/>
      </c>
      <c r="S77" s="31">
        <f>IF(AND($A77&lt;&gt;"",$B77="Program"),COUNTIFS($B$6:$B77,"Program",$A$6:$A77,"&lt;&gt;"),"")</f>
        <v/>
      </c>
      <c r="T77" s="33">
        <f>IF(AND($A77&lt;&gt;"",$B77="Program"),SUMPRODUCT(MAX(($C$6:$C$305=$A77)*($B$6:$B$305="Project")*($D$6:$D$305&lt;&gt;"Proposed")*$I$6:$I$305)),0)</f>
        <v/>
      </c>
      <c r="U77" s="33">
        <f>IF($I77&lt;&gt;"",$I77,IF($T77&gt;0,$T77,""))</f>
        <v/>
      </c>
      <c r="V77" s="31">
        <f>IF(AND($A77&lt;&gt;"",$B77="Program"),SUMIFS($J$6:$J$305,$C$6:$C$305,$A77,$B$6:$B$305,"Project",$D$6:$D$305,"&lt;&gt;Proposed"),0)</f>
        <v/>
      </c>
      <c r="W77" s="31">
        <f>IF(AND($A77&lt;&gt;"",$B77="Program"),COUNTIFS($C$6:$C$305,$A77,$B$6:$B$305,"Project",$D$6:$D$305,"&lt;&gt;Proposed")-COUNTIFS($C$6:$C$305,$A77,$B$6:$B$305,"Project",$D$6:$D$305,"&lt;&gt;Proposed",$J$6:$J$305,"&gt;=0"),0)</f>
        <v/>
      </c>
      <c r="X77" s="31">
        <f>IF(OR($Q77=0,$H77=""),0,IF(AND($B77="Project",$H77&lt;TODAY()),3,IF($U77="",0,IF($U77&lt;=$H77,1,IF(NETWORKDAYS($H77,$U77)-1&gt;IF($B77="Program",Portfolio!$B$16,Portfolio!$B$15),3,2)))))</f>
        <v/>
      </c>
      <c r="Y77" s="31">
        <f>IF(OR($Q77=0,$K77="",$K77=0),0,IF(AND($B77="Project",$J77=""),0,IF(IF($B77="Program",$V77,$J77)&gt;$K77*(1+Portfolio!$B$17),3,IF(IF($B77="Program",$V77,$J77)&gt;$K77,2,IF(AND($B77="Program",OR($W77&gt;0,$V77=0)),0,1)))))</f>
        <v/>
      </c>
      <c r="Z77" s="31">
        <f>IF($A77="",0,IF($C77="Portfolio",1,IF(AND($B77="Project",$C77&lt;&gt;"",$C77&lt;&gt;"Outside the portfolio"),IFERROR(IF(AND(INDEX($B$6:$B$305,MATCH($C77,$A$6:$A$305,0))="Program",INDEX($C$6:$C$305,MATCH($C77,$A$6:$A$305,0))="Portfolio"),1,0),0),0)))</f>
        <v/>
      </c>
      <c r="AA77" s="31">
        <f>IF(AND($A77&lt;&gt;"",$E77="",OR($Q77=1,$D77="Proposed")),1,0)</f>
        <v/>
      </c>
      <c r="AB77" s="31">
        <f>IF(AND($A77&lt;&gt;"",$B77="Program",$F77="",$Q77=1),1,0)</f>
        <v/>
      </c>
      <c r="AC77" s="31">
        <f>IF(OR($A77="",$D77="Completed",$D77="Terminated"),0,IF($C77="",1,IF($C77="Portfolio",0,IF($C77="Outside the portfolio",IF($Q77=1,2,0),IF($B77="Project",IF(IFERROR(INDEX($B$6:$B$305,MATCH($C77,$A$6:$A$305,0)),"")="Program",0,1),1)))))</f>
        <v/>
      </c>
      <c r="AD77" s="31">
        <f>IF(AND($A77&lt;&gt;"",OR($M77="■ Red",$M77="◧ Amber"),$L77=""),1,0)</f>
        <v/>
      </c>
      <c r="AE77" s="31">
        <f>$AA77+$AB77+IF($AC77&gt;0,1,0)+$AD77</f>
        <v/>
      </c>
      <c r="AJ77" s="14" t="n"/>
      <c r="AK77" s="29" t="n"/>
      <c r="AL77" s="31">
        <f>IF(AND($Q77=1,$Z77=1),1,0)</f>
        <v/>
      </c>
      <c r="AM77" s="31">
        <f>IF(AND($AL77=1,$AJ77&lt;&gt;""),MAX(0,TODAY()-$AJ77),"")</f>
        <v/>
      </c>
      <c r="AN77" s="31">
        <f>IF(OR($AL77=0,COUNT($AJ$6:$AJ$305)=0),0,IF($AJ77="",1,IF(TODAY()-$AJ77&gt;Board!$B$40,1,0)))</f>
        <v/>
      </c>
      <c r="AO77" s="31">
        <f>IF($AL77=0,0,IF($M77="■ Red",3,IF($M77="◧ Amber",2,IF($M77="□ On track",1,0))))</f>
        <v/>
      </c>
      <c r="AP77" s="31">
        <f>IF($AL77=0,0,IF($AK77="Will not hold",3,IF($AK77="At risk",2,IF($AK77="Will hold",1,0))))</f>
        <v/>
      </c>
      <c r="AQ77" s="31">
        <f>IF($AL77=0,"",IF($AO77=3,0,IF($AO77=2,1,IF(AND($AP77&gt;=2,$AP77&gt;$AO77),2,""))))</f>
        <v/>
      </c>
      <c r="AR77" s="31">
        <f>IF($AQ77="","",$AQ77*1000+77)</f>
        <v/>
      </c>
      <c r="AS77" s="31">
        <f>IF(AND($AL77=1,$AO77&gt;=2,$AP77&gt;=1,$AP77&lt;$AO77),1,0)</f>
        <v/>
      </c>
      <c r="AT77" s="31">
        <f>IF(AND($AL77=1,$AO77&gt;=2,$AP77=0),1,0)</f>
        <v/>
      </c>
      <c r="AU77" s="31">
        <f>IF(AND($AL77=1,$U77&lt;&gt;"",$U77&lt;TODAY()),1,0)</f>
        <v/>
      </c>
      <c r="AV77" s="31">
        <f>IF(OR($A77="",$AJ77="",Portfolio!$B$10=""),0,IF($AJ77&lt;=Portfolio!$B$10,0,IF(AND($D77="Completed",$Z77=1),1,IF(AND($D77="Terminated",$Z77=1),2,IF(AND($Q77=1,$Z77=0),3,0)))))</f>
        <v/>
      </c>
      <c r="AW77" s="31">
        <f>IF($AV77&gt;0,COUNTIF($AV$6:$AV77,"&gt;0"),"")</f>
        <v/>
      </c>
      <c r="AX77" s="31">
        <f>IF($AL77=0,"",IF(AND($B77="Project",$H77&lt;&gt;"",$H77&lt;TODAY()),"Planned finish "&amp;TEXT($H77,"d mmm")&amp;" has passed",IF($X77&gt;=2,(NETWORKDAYS($H77,$U77)-1)&amp;" working days past plan","")))</f>
        <v/>
      </c>
      <c r="AY77" s="31">
        <f>IF($AL77=0,"",IF($Y77&gt;=2,"Over budget by "&amp;TEXT(IF($B77="Program",$V77,$J77)-$K77,"#,##0"),""))</f>
        <v/>
      </c>
      <c r="AZ77" s="31">
        <f>IF(AND($AL77=1,$U77&lt;&gt;""),IF(AND(N($U77)&gt;=TODAY(),N($U77)&lt;=TODAY()+Board!$B$41),1,0),0)</f>
        <v/>
      </c>
    </row>
    <row r="78">
      <c r="A78" s="29" t="n"/>
      <c r="B78" s="29" t="n"/>
      <c r="C78" s="29" t="n"/>
      <c r="D78" s="29" t="n"/>
      <c r="E78" s="29" t="n"/>
      <c r="F78" s="29" t="n"/>
      <c r="G78" s="29" t="n"/>
      <c r="H78" s="30" t="n"/>
      <c r="I78" s="30" t="n"/>
      <c r="J78" s="19" t="n"/>
      <c r="K78" s="19" t="n"/>
      <c r="L78" s="26" t="n"/>
      <c r="M78" s="31">
        <f>IF($A78="","",IF($D78="","Not read",IF($Q78=0,"Not counted",IF(MAX($X78,$Y78)=3,"■ Red",IF(MAX($X78,$Y78)=2,"◧ Amber",IF(MAX($X78,$Y78)=1,"□ On track","Not read"))))))</f>
        <v/>
      </c>
      <c r="N78" s="31">
        <f>IF(OR($A78="",$B78&lt;&gt;"Program"),"","■ "&amp;COUNTIFS($C$6:$C$305,$A78,$M$6:$M$305,"■ Red")&amp;" Red, ◧ "&amp;COUNTIFS($C$6:$C$305,$A78,$M$6:$M$305,"◧ Amber")&amp;" Amber")</f>
        <v/>
      </c>
      <c r="O78" s="32">
        <f>IF(OR($A78="",$E78=""),"",COUNTIFS($E$6:$E$305,$E78,$D$6:$D$305,"Active")+COUNTIFS($E$6:$E$305,$E78,$D$6:$D$305,"Paused"))</f>
        <v/>
      </c>
      <c r="P78" s="31">
        <f>IF($A78="","",IF($AE78=0,"○ Clear",IF($AA78=1,"△ No owner",IF($AC78=1,"△ Check Sits under",IF($AC78=2,"△ Outside the portfolio",IF($AB78=1,"△ No sponsor","△ No variance note"))))&amp;IF($AE78&gt;1," (+"&amp;($AE78-1)&amp;" more)","")))</f>
        <v/>
      </c>
      <c r="Q78" s="31">
        <f>IF(AND($A78&lt;&gt;"",OR($D78="Active",$D78="Paused")),1,0)</f>
        <v/>
      </c>
      <c r="R78" s="31">
        <f>IFERROR(INDEX($A$6:$A$305,MATCH(71,$S$6:$S$305,0)),"")</f>
        <v/>
      </c>
      <c r="S78" s="31">
        <f>IF(AND($A78&lt;&gt;"",$B78="Program"),COUNTIFS($B$6:$B78,"Program",$A$6:$A78,"&lt;&gt;"),"")</f>
        <v/>
      </c>
      <c r="T78" s="33">
        <f>IF(AND($A78&lt;&gt;"",$B78="Program"),SUMPRODUCT(MAX(($C$6:$C$305=$A78)*($B$6:$B$305="Project")*($D$6:$D$305&lt;&gt;"Proposed")*$I$6:$I$305)),0)</f>
        <v/>
      </c>
      <c r="U78" s="33">
        <f>IF($I78&lt;&gt;"",$I78,IF($T78&gt;0,$T78,""))</f>
        <v/>
      </c>
      <c r="V78" s="31">
        <f>IF(AND($A78&lt;&gt;"",$B78="Program"),SUMIFS($J$6:$J$305,$C$6:$C$305,$A78,$B$6:$B$305,"Project",$D$6:$D$305,"&lt;&gt;Proposed"),0)</f>
        <v/>
      </c>
      <c r="W78" s="31">
        <f>IF(AND($A78&lt;&gt;"",$B78="Program"),COUNTIFS($C$6:$C$305,$A78,$B$6:$B$305,"Project",$D$6:$D$305,"&lt;&gt;Proposed")-COUNTIFS($C$6:$C$305,$A78,$B$6:$B$305,"Project",$D$6:$D$305,"&lt;&gt;Proposed",$J$6:$J$305,"&gt;=0"),0)</f>
        <v/>
      </c>
      <c r="X78" s="31">
        <f>IF(OR($Q78=0,$H78=""),0,IF(AND($B78="Project",$H78&lt;TODAY()),3,IF($U78="",0,IF($U78&lt;=$H78,1,IF(NETWORKDAYS($H78,$U78)-1&gt;IF($B78="Program",Portfolio!$B$16,Portfolio!$B$15),3,2)))))</f>
        <v/>
      </c>
      <c r="Y78" s="31">
        <f>IF(OR($Q78=0,$K78="",$K78=0),0,IF(AND($B78="Project",$J78=""),0,IF(IF($B78="Program",$V78,$J78)&gt;$K78*(1+Portfolio!$B$17),3,IF(IF($B78="Program",$V78,$J78)&gt;$K78,2,IF(AND($B78="Program",OR($W78&gt;0,$V78=0)),0,1)))))</f>
        <v/>
      </c>
      <c r="Z78" s="31">
        <f>IF($A78="",0,IF($C78="Portfolio",1,IF(AND($B78="Project",$C78&lt;&gt;"",$C78&lt;&gt;"Outside the portfolio"),IFERROR(IF(AND(INDEX($B$6:$B$305,MATCH($C78,$A$6:$A$305,0))="Program",INDEX($C$6:$C$305,MATCH($C78,$A$6:$A$305,0))="Portfolio"),1,0),0),0)))</f>
        <v/>
      </c>
      <c r="AA78" s="31">
        <f>IF(AND($A78&lt;&gt;"",$E78="",OR($Q78=1,$D78="Proposed")),1,0)</f>
        <v/>
      </c>
      <c r="AB78" s="31">
        <f>IF(AND($A78&lt;&gt;"",$B78="Program",$F78="",$Q78=1),1,0)</f>
        <v/>
      </c>
      <c r="AC78" s="31">
        <f>IF(OR($A78="",$D78="Completed",$D78="Terminated"),0,IF($C78="",1,IF($C78="Portfolio",0,IF($C78="Outside the portfolio",IF($Q78=1,2,0),IF($B78="Project",IF(IFERROR(INDEX($B$6:$B$305,MATCH($C78,$A$6:$A$305,0)),"")="Program",0,1),1)))))</f>
        <v/>
      </c>
      <c r="AD78" s="31">
        <f>IF(AND($A78&lt;&gt;"",OR($M78="■ Red",$M78="◧ Amber"),$L78=""),1,0)</f>
        <v/>
      </c>
      <c r="AE78" s="31">
        <f>$AA78+$AB78+IF($AC78&gt;0,1,0)+$AD78</f>
        <v/>
      </c>
      <c r="AJ78" s="14" t="n"/>
      <c r="AK78" s="29" t="n"/>
      <c r="AL78" s="31">
        <f>IF(AND($Q78=1,$Z78=1),1,0)</f>
        <v/>
      </c>
      <c r="AM78" s="31">
        <f>IF(AND($AL78=1,$AJ78&lt;&gt;""),MAX(0,TODAY()-$AJ78),"")</f>
        <v/>
      </c>
      <c r="AN78" s="31">
        <f>IF(OR($AL78=0,COUNT($AJ$6:$AJ$305)=0),0,IF($AJ78="",1,IF(TODAY()-$AJ78&gt;Board!$B$40,1,0)))</f>
        <v/>
      </c>
      <c r="AO78" s="31">
        <f>IF($AL78=0,0,IF($M78="■ Red",3,IF($M78="◧ Amber",2,IF($M78="□ On track",1,0))))</f>
        <v/>
      </c>
      <c r="AP78" s="31">
        <f>IF($AL78=0,0,IF($AK78="Will not hold",3,IF($AK78="At risk",2,IF($AK78="Will hold",1,0))))</f>
        <v/>
      </c>
      <c r="AQ78" s="31">
        <f>IF($AL78=0,"",IF($AO78=3,0,IF($AO78=2,1,IF(AND($AP78&gt;=2,$AP78&gt;$AO78),2,""))))</f>
        <v/>
      </c>
      <c r="AR78" s="31">
        <f>IF($AQ78="","",$AQ78*1000+78)</f>
        <v/>
      </c>
      <c r="AS78" s="31">
        <f>IF(AND($AL78=1,$AO78&gt;=2,$AP78&gt;=1,$AP78&lt;$AO78),1,0)</f>
        <v/>
      </c>
      <c r="AT78" s="31">
        <f>IF(AND($AL78=1,$AO78&gt;=2,$AP78=0),1,0)</f>
        <v/>
      </c>
      <c r="AU78" s="31">
        <f>IF(AND($AL78=1,$U78&lt;&gt;"",$U78&lt;TODAY()),1,0)</f>
        <v/>
      </c>
      <c r="AV78" s="31">
        <f>IF(OR($A78="",$AJ78="",Portfolio!$B$10=""),0,IF($AJ78&lt;=Portfolio!$B$10,0,IF(AND($D78="Completed",$Z78=1),1,IF(AND($D78="Terminated",$Z78=1),2,IF(AND($Q78=1,$Z78=0),3,0)))))</f>
        <v/>
      </c>
      <c r="AW78" s="31">
        <f>IF($AV78&gt;0,COUNTIF($AV$6:$AV78,"&gt;0"),"")</f>
        <v/>
      </c>
      <c r="AX78" s="31">
        <f>IF($AL78=0,"",IF(AND($B78="Project",$H78&lt;&gt;"",$H78&lt;TODAY()),"Planned finish "&amp;TEXT($H78,"d mmm")&amp;" has passed",IF($X78&gt;=2,(NETWORKDAYS($H78,$U78)-1)&amp;" working days past plan","")))</f>
        <v/>
      </c>
      <c r="AY78" s="31">
        <f>IF($AL78=0,"",IF($Y78&gt;=2,"Over budget by "&amp;TEXT(IF($B78="Program",$V78,$J78)-$K78,"#,##0"),""))</f>
        <v/>
      </c>
      <c r="AZ78" s="31">
        <f>IF(AND($AL78=1,$U78&lt;&gt;""),IF(AND(N($U78)&gt;=TODAY(),N($U78)&lt;=TODAY()+Board!$B$41),1,0),0)</f>
        <v/>
      </c>
    </row>
    <row r="79">
      <c r="A79" s="29" t="n"/>
      <c r="B79" s="29" t="n"/>
      <c r="C79" s="29" t="n"/>
      <c r="D79" s="29" t="n"/>
      <c r="E79" s="29" t="n"/>
      <c r="F79" s="29" t="n"/>
      <c r="G79" s="29" t="n"/>
      <c r="H79" s="30" t="n"/>
      <c r="I79" s="30" t="n"/>
      <c r="J79" s="19" t="n"/>
      <c r="K79" s="19" t="n"/>
      <c r="L79" s="26" t="n"/>
      <c r="M79" s="31">
        <f>IF($A79="","",IF($D79="","Not read",IF($Q79=0,"Not counted",IF(MAX($X79,$Y79)=3,"■ Red",IF(MAX($X79,$Y79)=2,"◧ Amber",IF(MAX($X79,$Y79)=1,"□ On track","Not read"))))))</f>
        <v/>
      </c>
      <c r="N79" s="31">
        <f>IF(OR($A79="",$B79&lt;&gt;"Program"),"","■ "&amp;COUNTIFS($C$6:$C$305,$A79,$M$6:$M$305,"■ Red")&amp;" Red, ◧ "&amp;COUNTIFS($C$6:$C$305,$A79,$M$6:$M$305,"◧ Amber")&amp;" Amber")</f>
        <v/>
      </c>
      <c r="O79" s="32">
        <f>IF(OR($A79="",$E79=""),"",COUNTIFS($E$6:$E$305,$E79,$D$6:$D$305,"Active")+COUNTIFS($E$6:$E$305,$E79,$D$6:$D$305,"Paused"))</f>
        <v/>
      </c>
      <c r="P79" s="31">
        <f>IF($A79="","",IF($AE79=0,"○ Clear",IF($AA79=1,"△ No owner",IF($AC79=1,"△ Check Sits under",IF($AC79=2,"△ Outside the portfolio",IF($AB79=1,"△ No sponsor","△ No variance note"))))&amp;IF($AE79&gt;1," (+"&amp;($AE79-1)&amp;" more)","")))</f>
        <v/>
      </c>
      <c r="Q79" s="31">
        <f>IF(AND($A79&lt;&gt;"",OR($D79="Active",$D79="Paused")),1,0)</f>
        <v/>
      </c>
      <c r="R79" s="31">
        <f>IFERROR(INDEX($A$6:$A$305,MATCH(72,$S$6:$S$305,0)),"")</f>
        <v/>
      </c>
      <c r="S79" s="31">
        <f>IF(AND($A79&lt;&gt;"",$B79="Program"),COUNTIFS($B$6:$B79,"Program",$A$6:$A79,"&lt;&gt;"),"")</f>
        <v/>
      </c>
      <c r="T79" s="33">
        <f>IF(AND($A79&lt;&gt;"",$B79="Program"),SUMPRODUCT(MAX(($C$6:$C$305=$A79)*($B$6:$B$305="Project")*($D$6:$D$305&lt;&gt;"Proposed")*$I$6:$I$305)),0)</f>
        <v/>
      </c>
      <c r="U79" s="33">
        <f>IF($I79&lt;&gt;"",$I79,IF($T79&gt;0,$T79,""))</f>
        <v/>
      </c>
      <c r="V79" s="31">
        <f>IF(AND($A79&lt;&gt;"",$B79="Program"),SUMIFS($J$6:$J$305,$C$6:$C$305,$A79,$B$6:$B$305,"Project",$D$6:$D$305,"&lt;&gt;Proposed"),0)</f>
        <v/>
      </c>
      <c r="W79" s="31">
        <f>IF(AND($A79&lt;&gt;"",$B79="Program"),COUNTIFS($C$6:$C$305,$A79,$B$6:$B$305,"Project",$D$6:$D$305,"&lt;&gt;Proposed")-COUNTIFS($C$6:$C$305,$A79,$B$6:$B$305,"Project",$D$6:$D$305,"&lt;&gt;Proposed",$J$6:$J$305,"&gt;=0"),0)</f>
        <v/>
      </c>
      <c r="X79" s="31">
        <f>IF(OR($Q79=0,$H79=""),0,IF(AND($B79="Project",$H79&lt;TODAY()),3,IF($U79="",0,IF($U79&lt;=$H79,1,IF(NETWORKDAYS($H79,$U79)-1&gt;IF($B79="Program",Portfolio!$B$16,Portfolio!$B$15),3,2)))))</f>
        <v/>
      </c>
      <c r="Y79" s="31">
        <f>IF(OR($Q79=0,$K79="",$K79=0),0,IF(AND($B79="Project",$J79=""),0,IF(IF($B79="Program",$V79,$J79)&gt;$K79*(1+Portfolio!$B$17),3,IF(IF($B79="Program",$V79,$J79)&gt;$K79,2,IF(AND($B79="Program",OR($W79&gt;0,$V79=0)),0,1)))))</f>
        <v/>
      </c>
      <c r="Z79" s="31">
        <f>IF($A79="",0,IF($C79="Portfolio",1,IF(AND($B79="Project",$C79&lt;&gt;"",$C79&lt;&gt;"Outside the portfolio"),IFERROR(IF(AND(INDEX($B$6:$B$305,MATCH($C79,$A$6:$A$305,0))="Program",INDEX($C$6:$C$305,MATCH($C79,$A$6:$A$305,0))="Portfolio"),1,0),0),0)))</f>
        <v/>
      </c>
      <c r="AA79" s="31">
        <f>IF(AND($A79&lt;&gt;"",$E79="",OR($Q79=1,$D79="Proposed")),1,0)</f>
        <v/>
      </c>
      <c r="AB79" s="31">
        <f>IF(AND($A79&lt;&gt;"",$B79="Program",$F79="",$Q79=1),1,0)</f>
        <v/>
      </c>
      <c r="AC79" s="31">
        <f>IF(OR($A79="",$D79="Completed",$D79="Terminated"),0,IF($C79="",1,IF($C79="Portfolio",0,IF($C79="Outside the portfolio",IF($Q79=1,2,0),IF($B79="Project",IF(IFERROR(INDEX($B$6:$B$305,MATCH($C79,$A$6:$A$305,0)),"")="Program",0,1),1)))))</f>
        <v/>
      </c>
      <c r="AD79" s="31">
        <f>IF(AND($A79&lt;&gt;"",OR($M79="■ Red",$M79="◧ Amber"),$L79=""),1,0)</f>
        <v/>
      </c>
      <c r="AE79" s="31">
        <f>$AA79+$AB79+IF($AC79&gt;0,1,0)+$AD79</f>
        <v/>
      </c>
      <c r="AJ79" s="14" t="n"/>
      <c r="AK79" s="29" t="n"/>
      <c r="AL79" s="31">
        <f>IF(AND($Q79=1,$Z79=1),1,0)</f>
        <v/>
      </c>
      <c r="AM79" s="31">
        <f>IF(AND($AL79=1,$AJ79&lt;&gt;""),MAX(0,TODAY()-$AJ79),"")</f>
        <v/>
      </c>
      <c r="AN79" s="31">
        <f>IF(OR($AL79=0,COUNT($AJ$6:$AJ$305)=0),0,IF($AJ79="",1,IF(TODAY()-$AJ79&gt;Board!$B$40,1,0)))</f>
        <v/>
      </c>
      <c r="AO79" s="31">
        <f>IF($AL79=0,0,IF($M79="■ Red",3,IF($M79="◧ Amber",2,IF($M79="□ On track",1,0))))</f>
        <v/>
      </c>
      <c r="AP79" s="31">
        <f>IF($AL79=0,0,IF($AK79="Will not hold",3,IF($AK79="At risk",2,IF($AK79="Will hold",1,0))))</f>
        <v/>
      </c>
      <c r="AQ79" s="31">
        <f>IF($AL79=0,"",IF($AO79=3,0,IF($AO79=2,1,IF(AND($AP79&gt;=2,$AP79&gt;$AO79),2,""))))</f>
        <v/>
      </c>
      <c r="AR79" s="31">
        <f>IF($AQ79="","",$AQ79*1000+79)</f>
        <v/>
      </c>
      <c r="AS79" s="31">
        <f>IF(AND($AL79=1,$AO79&gt;=2,$AP79&gt;=1,$AP79&lt;$AO79),1,0)</f>
        <v/>
      </c>
      <c r="AT79" s="31">
        <f>IF(AND($AL79=1,$AO79&gt;=2,$AP79=0),1,0)</f>
        <v/>
      </c>
      <c r="AU79" s="31">
        <f>IF(AND($AL79=1,$U79&lt;&gt;"",$U79&lt;TODAY()),1,0)</f>
        <v/>
      </c>
      <c r="AV79" s="31">
        <f>IF(OR($A79="",$AJ79="",Portfolio!$B$10=""),0,IF($AJ79&lt;=Portfolio!$B$10,0,IF(AND($D79="Completed",$Z79=1),1,IF(AND($D79="Terminated",$Z79=1),2,IF(AND($Q79=1,$Z79=0),3,0)))))</f>
        <v/>
      </c>
      <c r="AW79" s="31">
        <f>IF($AV79&gt;0,COUNTIF($AV$6:$AV79,"&gt;0"),"")</f>
        <v/>
      </c>
      <c r="AX79" s="31">
        <f>IF($AL79=0,"",IF(AND($B79="Project",$H79&lt;&gt;"",$H79&lt;TODAY()),"Planned finish "&amp;TEXT($H79,"d mmm")&amp;" has passed",IF($X79&gt;=2,(NETWORKDAYS($H79,$U79)-1)&amp;" working days past plan","")))</f>
        <v/>
      </c>
      <c r="AY79" s="31">
        <f>IF($AL79=0,"",IF($Y79&gt;=2,"Over budget by "&amp;TEXT(IF($B79="Program",$V79,$J79)-$K79,"#,##0"),""))</f>
        <v/>
      </c>
      <c r="AZ79" s="31">
        <f>IF(AND($AL79=1,$U79&lt;&gt;""),IF(AND(N($U79)&gt;=TODAY(),N($U79)&lt;=TODAY()+Board!$B$41),1,0),0)</f>
        <v/>
      </c>
    </row>
    <row r="80">
      <c r="A80" s="29" t="n"/>
      <c r="B80" s="29" t="n"/>
      <c r="C80" s="29" t="n"/>
      <c r="D80" s="29" t="n"/>
      <c r="E80" s="29" t="n"/>
      <c r="F80" s="29" t="n"/>
      <c r="G80" s="29" t="n"/>
      <c r="H80" s="30" t="n"/>
      <c r="I80" s="30" t="n"/>
      <c r="J80" s="19" t="n"/>
      <c r="K80" s="19" t="n"/>
      <c r="L80" s="26" t="n"/>
      <c r="M80" s="31">
        <f>IF($A80="","",IF($D80="","Not read",IF($Q80=0,"Not counted",IF(MAX($X80,$Y80)=3,"■ Red",IF(MAX($X80,$Y80)=2,"◧ Amber",IF(MAX($X80,$Y80)=1,"□ On track","Not read"))))))</f>
        <v/>
      </c>
      <c r="N80" s="31">
        <f>IF(OR($A80="",$B80&lt;&gt;"Program"),"","■ "&amp;COUNTIFS($C$6:$C$305,$A80,$M$6:$M$305,"■ Red")&amp;" Red, ◧ "&amp;COUNTIFS($C$6:$C$305,$A80,$M$6:$M$305,"◧ Amber")&amp;" Amber")</f>
        <v/>
      </c>
      <c r="O80" s="32">
        <f>IF(OR($A80="",$E80=""),"",COUNTIFS($E$6:$E$305,$E80,$D$6:$D$305,"Active")+COUNTIFS($E$6:$E$305,$E80,$D$6:$D$305,"Paused"))</f>
        <v/>
      </c>
      <c r="P80" s="31">
        <f>IF($A80="","",IF($AE80=0,"○ Clear",IF($AA80=1,"△ No owner",IF($AC80=1,"△ Check Sits under",IF($AC80=2,"△ Outside the portfolio",IF($AB80=1,"△ No sponsor","△ No variance note"))))&amp;IF($AE80&gt;1," (+"&amp;($AE80-1)&amp;" more)","")))</f>
        <v/>
      </c>
      <c r="Q80" s="31">
        <f>IF(AND($A80&lt;&gt;"",OR($D80="Active",$D80="Paused")),1,0)</f>
        <v/>
      </c>
      <c r="R80" s="31">
        <f>IFERROR(INDEX($A$6:$A$305,MATCH(73,$S$6:$S$305,0)),"")</f>
        <v/>
      </c>
      <c r="S80" s="31">
        <f>IF(AND($A80&lt;&gt;"",$B80="Program"),COUNTIFS($B$6:$B80,"Program",$A$6:$A80,"&lt;&gt;"),"")</f>
        <v/>
      </c>
      <c r="T80" s="33">
        <f>IF(AND($A80&lt;&gt;"",$B80="Program"),SUMPRODUCT(MAX(($C$6:$C$305=$A80)*($B$6:$B$305="Project")*($D$6:$D$305&lt;&gt;"Proposed")*$I$6:$I$305)),0)</f>
        <v/>
      </c>
      <c r="U80" s="33">
        <f>IF($I80&lt;&gt;"",$I80,IF($T80&gt;0,$T80,""))</f>
        <v/>
      </c>
      <c r="V80" s="31">
        <f>IF(AND($A80&lt;&gt;"",$B80="Program"),SUMIFS($J$6:$J$305,$C$6:$C$305,$A80,$B$6:$B$305,"Project",$D$6:$D$305,"&lt;&gt;Proposed"),0)</f>
        <v/>
      </c>
      <c r="W80" s="31">
        <f>IF(AND($A80&lt;&gt;"",$B80="Program"),COUNTIFS($C$6:$C$305,$A80,$B$6:$B$305,"Project",$D$6:$D$305,"&lt;&gt;Proposed")-COUNTIFS($C$6:$C$305,$A80,$B$6:$B$305,"Project",$D$6:$D$305,"&lt;&gt;Proposed",$J$6:$J$305,"&gt;=0"),0)</f>
        <v/>
      </c>
      <c r="X80" s="31">
        <f>IF(OR($Q80=0,$H80=""),0,IF(AND($B80="Project",$H80&lt;TODAY()),3,IF($U80="",0,IF($U80&lt;=$H80,1,IF(NETWORKDAYS($H80,$U80)-1&gt;IF($B80="Program",Portfolio!$B$16,Portfolio!$B$15),3,2)))))</f>
        <v/>
      </c>
      <c r="Y80" s="31">
        <f>IF(OR($Q80=0,$K80="",$K80=0),0,IF(AND($B80="Project",$J80=""),0,IF(IF($B80="Program",$V80,$J80)&gt;$K80*(1+Portfolio!$B$17),3,IF(IF($B80="Program",$V80,$J80)&gt;$K80,2,IF(AND($B80="Program",OR($W80&gt;0,$V80=0)),0,1)))))</f>
        <v/>
      </c>
      <c r="Z80" s="31">
        <f>IF($A80="",0,IF($C80="Portfolio",1,IF(AND($B80="Project",$C80&lt;&gt;"",$C80&lt;&gt;"Outside the portfolio"),IFERROR(IF(AND(INDEX($B$6:$B$305,MATCH($C80,$A$6:$A$305,0))="Program",INDEX($C$6:$C$305,MATCH($C80,$A$6:$A$305,0))="Portfolio"),1,0),0),0)))</f>
        <v/>
      </c>
      <c r="AA80" s="31">
        <f>IF(AND($A80&lt;&gt;"",$E80="",OR($Q80=1,$D80="Proposed")),1,0)</f>
        <v/>
      </c>
      <c r="AB80" s="31">
        <f>IF(AND($A80&lt;&gt;"",$B80="Program",$F80="",$Q80=1),1,0)</f>
        <v/>
      </c>
      <c r="AC80" s="31">
        <f>IF(OR($A80="",$D80="Completed",$D80="Terminated"),0,IF($C80="",1,IF($C80="Portfolio",0,IF($C80="Outside the portfolio",IF($Q80=1,2,0),IF($B80="Project",IF(IFERROR(INDEX($B$6:$B$305,MATCH($C80,$A$6:$A$305,0)),"")="Program",0,1),1)))))</f>
        <v/>
      </c>
      <c r="AD80" s="31">
        <f>IF(AND($A80&lt;&gt;"",OR($M80="■ Red",$M80="◧ Amber"),$L80=""),1,0)</f>
        <v/>
      </c>
      <c r="AE80" s="31">
        <f>$AA80+$AB80+IF($AC80&gt;0,1,0)+$AD80</f>
        <v/>
      </c>
      <c r="AJ80" s="14" t="n"/>
      <c r="AK80" s="29" t="n"/>
      <c r="AL80" s="31">
        <f>IF(AND($Q80=1,$Z80=1),1,0)</f>
        <v/>
      </c>
      <c r="AM80" s="31">
        <f>IF(AND($AL80=1,$AJ80&lt;&gt;""),MAX(0,TODAY()-$AJ80),"")</f>
        <v/>
      </c>
      <c r="AN80" s="31">
        <f>IF(OR($AL80=0,COUNT($AJ$6:$AJ$305)=0),0,IF($AJ80="",1,IF(TODAY()-$AJ80&gt;Board!$B$40,1,0)))</f>
        <v/>
      </c>
      <c r="AO80" s="31">
        <f>IF($AL80=0,0,IF($M80="■ Red",3,IF($M80="◧ Amber",2,IF($M80="□ On track",1,0))))</f>
        <v/>
      </c>
      <c r="AP80" s="31">
        <f>IF($AL80=0,0,IF($AK80="Will not hold",3,IF($AK80="At risk",2,IF($AK80="Will hold",1,0))))</f>
        <v/>
      </c>
      <c r="AQ80" s="31">
        <f>IF($AL80=0,"",IF($AO80=3,0,IF($AO80=2,1,IF(AND($AP80&gt;=2,$AP80&gt;$AO80),2,""))))</f>
        <v/>
      </c>
      <c r="AR80" s="31">
        <f>IF($AQ80="","",$AQ80*1000+80)</f>
        <v/>
      </c>
      <c r="AS80" s="31">
        <f>IF(AND($AL80=1,$AO80&gt;=2,$AP80&gt;=1,$AP80&lt;$AO80),1,0)</f>
        <v/>
      </c>
      <c r="AT80" s="31">
        <f>IF(AND($AL80=1,$AO80&gt;=2,$AP80=0),1,0)</f>
        <v/>
      </c>
      <c r="AU80" s="31">
        <f>IF(AND($AL80=1,$U80&lt;&gt;"",$U80&lt;TODAY()),1,0)</f>
        <v/>
      </c>
      <c r="AV80" s="31">
        <f>IF(OR($A80="",$AJ80="",Portfolio!$B$10=""),0,IF($AJ80&lt;=Portfolio!$B$10,0,IF(AND($D80="Completed",$Z80=1),1,IF(AND($D80="Terminated",$Z80=1),2,IF(AND($Q80=1,$Z80=0),3,0)))))</f>
        <v/>
      </c>
      <c r="AW80" s="31">
        <f>IF($AV80&gt;0,COUNTIF($AV$6:$AV80,"&gt;0"),"")</f>
        <v/>
      </c>
      <c r="AX80" s="31">
        <f>IF($AL80=0,"",IF(AND($B80="Project",$H80&lt;&gt;"",$H80&lt;TODAY()),"Planned finish "&amp;TEXT($H80,"d mmm")&amp;" has passed",IF($X80&gt;=2,(NETWORKDAYS($H80,$U80)-1)&amp;" working days past plan","")))</f>
        <v/>
      </c>
      <c r="AY80" s="31">
        <f>IF($AL80=0,"",IF($Y80&gt;=2,"Over budget by "&amp;TEXT(IF($B80="Program",$V80,$J80)-$K80,"#,##0"),""))</f>
        <v/>
      </c>
      <c r="AZ80" s="31">
        <f>IF(AND($AL80=1,$U80&lt;&gt;""),IF(AND(N($U80)&gt;=TODAY(),N($U80)&lt;=TODAY()+Board!$B$41),1,0),0)</f>
        <v/>
      </c>
    </row>
    <row r="81">
      <c r="A81" s="29" t="n"/>
      <c r="B81" s="29" t="n"/>
      <c r="C81" s="29" t="n"/>
      <c r="D81" s="29" t="n"/>
      <c r="E81" s="29" t="n"/>
      <c r="F81" s="29" t="n"/>
      <c r="G81" s="29" t="n"/>
      <c r="H81" s="30" t="n"/>
      <c r="I81" s="30" t="n"/>
      <c r="J81" s="19" t="n"/>
      <c r="K81" s="19" t="n"/>
      <c r="L81" s="26" t="n"/>
      <c r="M81" s="31">
        <f>IF($A81="","",IF($D81="","Not read",IF($Q81=0,"Not counted",IF(MAX($X81,$Y81)=3,"■ Red",IF(MAX($X81,$Y81)=2,"◧ Amber",IF(MAX($X81,$Y81)=1,"□ On track","Not read"))))))</f>
        <v/>
      </c>
      <c r="N81" s="31">
        <f>IF(OR($A81="",$B81&lt;&gt;"Program"),"","■ "&amp;COUNTIFS($C$6:$C$305,$A81,$M$6:$M$305,"■ Red")&amp;" Red, ◧ "&amp;COUNTIFS($C$6:$C$305,$A81,$M$6:$M$305,"◧ Amber")&amp;" Amber")</f>
        <v/>
      </c>
      <c r="O81" s="32">
        <f>IF(OR($A81="",$E81=""),"",COUNTIFS($E$6:$E$305,$E81,$D$6:$D$305,"Active")+COUNTIFS($E$6:$E$305,$E81,$D$6:$D$305,"Paused"))</f>
        <v/>
      </c>
      <c r="P81" s="31">
        <f>IF($A81="","",IF($AE81=0,"○ Clear",IF($AA81=1,"△ No owner",IF($AC81=1,"△ Check Sits under",IF($AC81=2,"△ Outside the portfolio",IF($AB81=1,"△ No sponsor","△ No variance note"))))&amp;IF($AE81&gt;1," (+"&amp;($AE81-1)&amp;" more)","")))</f>
        <v/>
      </c>
      <c r="Q81" s="31">
        <f>IF(AND($A81&lt;&gt;"",OR($D81="Active",$D81="Paused")),1,0)</f>
        <v/>
      </c>
      <c r="R81" s="31">
        <f>IFERROR(INDEX($A$6:$A$305,MATCH(74,$S$6:$S$305,0)),"")</f>
        <v/>
      </c>
      <c r="S81" s="31">
        <f>IF(AND($A81&lt;&gt;"",$B81="Program"),COUNTIFS($B$6:$B81,"Program",$A$6:$A81,"&lt;&gt;"),"")</f>
        <v/>
      </c>
      <c r="T81" s="33">
        <f>IF(AND($A81&lt;&gt;"",$B81="Program"),SUMPRODUCT(MAX(($C$6:$C$305=$A81)*($B$6:$B$305="Project")*($D$6:$D$305&lt;&gt;"Proposed")*$I$6:$I$305)),0)</f>
        <v/>
      </c>
      <c r="U81" s="33">
        <f>IF($I81&lt;&gt;"",$I81,IF($T81&gt;0,$T81,""))</f>
        <v/>
      </c>
      <c r="V81" s="31">
        <f>IF(AND($A81&lt;&gt;"",$B81="Program"),SUMIFS($J$6:$J$305,$C$6:$C$305,$A81,$B$6:$B$305,"Project",$D$6:$D$305,"&lt;&gt;Proposed"),0)</f>
        <v/>
      </c>
      <c r="W81" s="31">
        <f>IF(AND($A81&lt;&gt;"",$B81="Program"),COUNTIFS($C$6:$C$305,$A81,$B$6:$B$305,"Project",$D$6:$D$305,"&lt;&gt;Proposed")-COUNTIFS($C$6:$C$305,$A81,$B$6:$B$305,"Project",$D$6:$D$305,"&lt;&gt;Proposed",$J$6:$J$305,"&gt;=0"),0)</f>
        <v/>
      </c>
      <c r="X81" s="31">
        <f>IF(OR($Q81=0,$H81=""),0,IF(AND($B81="Project",$H81&lt;TODAY()),3,IF($U81="",0,IF($U81&lt;=$H81,1,IF(NETWORKDAYS($H81,$U81)-1&gt;IF($B81="Program",Portfolio!$B$16,Portfolio!$B$15),3,2)))))</f>
        <v/>
      </c>
      <c r="Y81" s="31">
        <f>IF(OR($Q81=0,$K81="",$K81=0),0,IF(AND($B81="Project",$J81=""),0,IF(IF($B81="Program",$V81,$J81)&gt;$K81*(1+Portfolio!$B$17),3,IF(IF($B81="Program",$V81,$J81)&gt;$K81,2,IF(AND($B81="Program",OR($W81&gt;0,$V81=0)),0,1)))))</f>
        <v/>
      </c>
      <c r="Z81" s="31">
        <f>IF($A81="",0,IF($C81="Portfolio",1,IF(AND($B81="Project",$C81&lt;&gt;"",$C81&lt;&gt;"Outside the portfolio"),IFERROR(IF(AND(INDEX($B$6:$B$305,MATCH($C81,$A$6:$A$305,0))="Program",INDEX($C$6:$C$305,MATCH($C81,$A$6:$A$305,0))="Portfolio"),1,0),0),0)))</f>
        <v/>
      </c>
      <c r="AA81" s="31">
        <f>IF(AND($A81&lt;&gt;"",$E81="",OR($Q81=1,$D81="Proposed")),1,0)</f>
        <v/>
      </c>
      <c r="AB81" s="31">
        <f>IF(AND($A81&lt;&gt;"",$B81="Program",$F81="",$Q81=1),1,0)</f>
        <v/>
      </c>
      <c r="AC81" s="31">
        <f>IF(OR($A81="",$D81="Completed",$D81="Terminated"),0,IF($C81="",1,IF($C81="Portfolio",0,IF($C81="Outside the portfolio",IF($Q81=1,2,0),IF($B81="Project",IF(IFERROR(INDEX($B$6:$B$305,MATCH($C81,$A$6:$A$305,0)),"")="Program",0,1),1)))))</f>
        <v/>
      </c>
      <c r="AD81" s="31">
        <f>IF(AND($A81&lt;&gt;"",OR($M81="■ Red",$M81="◧ Amber"),$L81=""),1,0)</f>
        <v/>
      </c>
      <c r="AE81" s="31">
        <f>$AA81+$AB81+IF($AC81&gt;0,1,0)+$AD81</f>
        <v/>
      </c>
      <c r="AJ81" s="14" t="n"/>
      <c r="AK81" s="29" t="n"/>
      <c r="AL81" s="31">
        <f>IF(AND($Q81=1,$Z81=1),1,0)</f>
        <v/>
      </c>
      <c r="AM81" s="31">
        <f>IF(AND($AL81=1,$AJ81&lt;&gt;""),MAX(0,TODAY()-$AJ81),"")</f>
        <v/>
      </c>
      <c r="AN81" s="31">
        <f>IF(OR($AL81=0,COUNT($AJ$6:$AJ$305)=0),0,IF($AJ81="",1,IF(TODAY()-$AJ81&gt;Board!$B$40,1,0)))</f>
        <v/>
      </c>
      <c r="AO81" s="31">
        <f>IF($AL81=0,0,IF($M81="■ Red",3,IF($M81="◧ Amber",2,IF($M81="□ On track",1,0))))</f>
        <v/>
      </c>
      <c r="AP81" s="31">
        <f>IF($AL81=0,0,IF($AK81="Will not hold",3,IF($AK81="At risk",2,IF($AK81="Will hold",1,0))))</f>
        <v/>
      </c>
      <c r="AQ81" s="31">
        <f>IF($AL81=0,"",IF($AO81=3,0,IF($AO81=2,1,IF(AND($AP81&gt;=2,$AP81&gt;$AO81),2,""))))</f>
        <v/>
      </c>
      <c r="AR81" s="31">
        <f>IF($AQ81="","",$AQ81*1000+81)</f>
        <v/>
      </c>
      <c r="AS81" s="31">
        <f>IF(AND($AL81=1,$AO81&gt;=2,$AP81&gt;=1,$AP81&lt;$AO81),1,0)</f>
        <v/>
      </c>
      <c r="AT81" s="31">
        <f>IF(AND($AL81=1,$AO81&gt;=2,$AP81=0),1,0)</f>
        <v/>
      </c>
      <c r="AU81" s="31">
        <f>IF(AND($AL81=1,$U81&lt;&gt;"",$U81&lt;TODAY()),1,0)</f>
        <v/>
      </c>
      <c r="AV81" s="31">
        <f>IF(OR($A81="",$AJ81="",Portfolio!$B$10=""),0,IF($AJ81&lt;=Portfolio!$B$10,0,IF(AND($D81="Completed",$Z81=1),1,IF(AND($D81="Terminated",$Z81=1),2,IF(AND($Q81=1,$Z81=0),3,0)))))</f>
        <v/>
      </c>
      <c r="AW81" s="31">
        <f>IF($AV81&gt;0,COUNTIF($AV$6:$AV81,"&gt;0"),"")</f>
        <v/>
      </c>
      <c r="AX81" s="31">
        <f>IF($AL81=0,"",IF(AND($B81="Project",$H81&lt;&gt;"",$H81&lt;TODAY()),"Planned finish "&amp;TEXT($H81,"d mmm")&amp;" has passed",IF($X81&gt;=2,(NETWORKDAYS($H81,$U81)-1)&amp;" working days past plan","")))</f>
        <v/>
      </c>
      <c r="AY81" s="31">
        <f>IF($AL81=0,"",IF($Y81&gt;=2,"Over budget by "&amp;TEXT(IF($B81="Program",$V81,$J81)-$K81,"#,##0"),""))</f>
        <v/>
      </c>
      <c r="AZ81" s="31">
        <f>IF(AND($AL81=1,$U81&lt;&gt;""),IF(AND(N($U81)&gt;=TODAY(),N($U81)&lt;=TODAY()+Board!$B$41),1,0),0)</f>
        <v/>
      </c>
    </row>
    <row r="82">
      <c r="A82" s="29" t="n"/>
      <c r="B82" s="29" t="n"/>
      <c r="C82" s="29" t="n"/>
      <c r="D82" s="29" t="n"/>
      <c r="E82" s="29" t="n"/>
      <c r="F82" s="29" t="n"/>
      <c r="G82" s="29" t="n"/>
      <c r="H82" s="30" t="n"/>
      <c r="I82" s="30" t="n"/>
      <c r="J82" s="19" t="n"/>
      <c r="K82" s="19" t="n"/>
      <c r="L82" s="26" t="n"/>
      <c r="M82" s="31">
        <f>IF($A82="","",IF($D82="","Not read",IF($Q82=0,"Not counted",IF(MAX($X82,$Y82)=3,"■ Red",IF(MAX($X82,$Y82)=2,"◧ Amber",IF(MAX($X82,$Y82)=1,"□ On track","Not read"))))))</f>
        <v/>
      </c>
      <c r="N82" s="31">
        <f>IF(OR($A82="",$B82&lt;&gt;"Program"),"","■ "&amp;COUNTIFS($C$6:$C$305,$A82,$M$6:$M$305,"■ Red")&amp;" Red, ◧ "&amp;COUNTIFS($C$6:$C$305,$A82,$M$6:$M$305,"◧ Amber")&amp;" Amber")</f>
        <v/>
      </c>
      <c r="O82" s="32">
        <f>IF(OR($A82="",$E82=""),"",COUNTIFS($E$6:$E$305,$E82,$D$6:$D$305,"Active")+COUNTIFS($E$6:$E$305,$E82,$D$6:$D$305,"Paused"))</f>
        <v/>
      </c>
      <c r="P82" s="31">
        <f>IF($A82="","",IF($AE82=0,"○ Clear",IF($AA82=1,"△ No owner",IF($AC82=1,"△ Check Sits under",IF($AC82=2,"△ Outside the portfolio",IF($AB82=1,"△ No sponsor","△ No variance note"))))&amp;IF($AE82&gt;1," (+"&amp;($AE82-1)&amp;" more)","")))</f>
        <v/>
      </c>
      <c r="Q82" s="31">
        <f>IF(AND($A82&lt;&gt;"",OR($D82="Active",$D82="Paused")),1,0)</f>
        <v/>
      </c>
      <c r="R82" s="31">
        <f>IFERROR(INDEX($A$6:$A$305,MATCH(75,$S$6:$S$305,0)),"")</f>
        <v/>
      </c>
      <c r="S82" s="31">
        <f>IF(AND($A82&lt;&gt;"",$B82="Program"),COUNTIFS($B$6:$B82,"Program",$A$6:$A82,"&lt;&gt;"),"")</f>
        <v/>
      </c>
      <c r="T82" s="33">
        <f>IF(AND($A82&lt;&gt;"",$B82="Program"),SUMPRODUCT(MAX(($C$6:$C$305=$A82)*($B$6:$B$305="Project")*($D$6:$D$305&lt;&gt;"Proposed")*$I$6:$I$305)),0)</f>
        <v/>
      </c>
      <c r="U82" s="33">
        <f>IF($I82&lt;&gt;"",$I82,IF($T82&gt;0,$T82,""))</f>
        <v/>
      </c>
      <c r="V82" s="31">
        <f>IF(AND($A82&lt;&gt;"",$B82="Program"),SUMIFS($J$6:$J$305,$C$6:$C$305,$A82,$B$6:$B$305,"Project",$D$6:$D$305,"&lt;&gt;Proposed"),0)</f>
        <v/>
      </c>
      <c r="W82" s="31">
        <f>IF(AND($A82&lt;&gt;"",$B82="Program"),COUNTIFS($C$6:$C$305,$A82,$B$6:$B$305,"Project",$D$6:$D$305,"&lt;&gt;Proposed")-COUNTIFS($C$6:$C$305,$A82,$B$6:$B$305,"Project",$D$6:$D$305,"&lt;&gt;Proposed",$J$6:$J$305,"&gt;=0"),0)</f>
        <v/>
      </c>
      <c r="X82" s="31">
        <f>IF(OR($Q82=0,$H82=""),0,IF(AND($B82="Project",$H82&lt;TODAY()),3,IF($U82="",0,IF($U82&lt;=$H82,1,IF(NETWORKDAYS($H82,$U82)-1&gt;IF($B82="Program",Portfolio!$B$16,Portfolio!$B$15),3,2)))))</f>
        <v/>
      </c>
      <c r="Y82" s="31">
        <f>IF(OR($Q82=0,$K82="",$K82=0),0,IF(AND($B82="Project",$J82=""),0,IF(IF($B82="Program",$V82,$J82)&gt;$K82*(1+Portfolio!$B$17),3,IF(IF($B82="Program",$V82,$J82)&gt;$K82,2,IF(AND($B82="Program",OR($W82&gt;0,$V82=0)),0,1)))))</f>
        <v/>
      </c>
      <c r="Z82" s="31">
        <f>IF($A82="",0,IF($C82="Portfolio",1,IF(AND($B82="Project",$C82&lt;&gt;"",$C82&lt;&gt;"Outside the portfolio"),IFERROR(IF(AND(INDEX($B$6:$B$305,MATCH($C82,$A$6:$A$305,0))="Program",INDEX($C$6:$C$305,MATCH($C82,$A$6:$A$305,0))="Portfolio"),1,0),0),0)))</f>
        <v/>
      </c>
      <c r="AA82" s="31">
        <f>IF(AND($A82&lt;&gt;"",$E82="",OR($Q82=1,$D82="Proposed")),1,0)</f>
        <v/>
      </c>
      <c r="AB82" s="31">
        <f>IF(AND($A82&lt;&gt;"",$B82="Program",$F82="",$Q82=1),1,0)</f>
        <v/>
      </c>
      <c r="AC82" s="31">
        <f>IF(OR($A82="",$D82="Completed",$D82="Terminated"),0,IF($C82="",1,IF($C82="Portfolio",0,IF($C82="Outside the portfolio",IF($Q82=1,2,0),IF($B82="Project",IF(IFERROR(INDEX($B$6:$B$305,MATCH($C82,$A$6:$A$305,0)),"")="Program",0,1),1)))))</f>
        <v/>
      </c>
      <c r="AD82" s="31">
        <f>IF(AND($A82&lt;&gt;"",OR($M82="■ Red",$M82="◧ Amber"),$L82=""),1,0)</f>
        <v/>
      </c>
      <c r="AE82" s="31">
        <f>$AA82+$AB82+IF($AC82&gt;0,1,0)+$AD82</f>
        <v/>
      </c>
      <c r="AJ82" s="14" t="n"/>
      <c r="AK82" s="29" t="n"/>
      <c r="AL82" s="31">
        <f>IF(AND($Q82=1,$Z82=1),1,0)</f>
        <v/>
      </c>
      <c r="AM82" s="31">
        <f>IF(AND($AL82=1,$AJ82&lt;&gt;""),MAX(0,TODAY()-$AJ82),"")</f>
        <v/>
      </c>
      <c r="AN82" s="31">
        <f>IF(OR($AL82=0,COUNT($AJ$6:$AJ$305)=0),0,IF($AJ82="",1,IF(TODAY()-$AJ82&gt;Board!$B$40,1,0)))</f>
        <v/>
      </c>
      <c r="AO82" s="31">
        <f>IF($AL82=0,0,IF($M82="■ Red",3,IF($M82="◧ Amber",2,IF($M82="□ On track",1,0))))</f>
        <v/>
      </c>
      <c r="AP82" s="31">
        <f>IF($AL82=0,0,IF($AK82="Will not hold",3,IF($AK82="At risk",2,IF($AK82="Will hold",1,0))))</f>
        <v/>
      </c>
      <c r="AQ82" s="31">
        <f>IF($AL82=0,"",IF($AO82=3,0,IF($AO82=2,1,IF(AND($AP82&gt;=2,$AP82&gt;$AO82),2,""))))</f>
        <v/>
      </c>
      <c r="AR82" s="31">
        <f>IF($AQ82="","",$AQ82*1000+82)</f>
        <v/>
      </c>
      <c r="AS82" s="31">
        <f>IF(AND($AL82=1,$AO82&gt;=2,$AP82&gt;=1,$AP82&lt;$AO82),1,0)</f>
        <v/>
      </c>
      <c r="AT82" s="31">
        <f>IF(AND($AL82=1,$AO82&gt;=2,$AP82=0),1,0)</f>
        <v/>
      </c>
      <c r="AU82" s="31">
        <f>IF(AND($AL82=1,$U82&lt;&gt;"",$U82&lt;TODAY()),1,0)</f>
        <v/>
      </c>
      <c r="AV82" s="31">
        <f>IF(OR($A82="",$AJ82="",Portfolio!$B$10=""),0,IF($AJ82&lt;=Portfolio!$B$10,0,IF(AND($D82="Completed",$Z82=1),1,IF(AND($D82="Terminated",$Z82=1),2,IF(AND($Q82=1,$Z82=0),3,0)))))</f>
        <v/>
      </c>
      <c r="AW82" s="31">
        <f>IF($AV82&gt;0,COUNTIF($AV$6:$AV82,"&gt;0"),"")</f>
        <v/>
      </c>
      <c r="AX82" s="31">
        <f>IF($AL82=0,"",IF(AND($B82="Project",$H82&lt;&gt;"",$H82&lt;TODAY()),"Planned finish "&amp;TEXT($H82,"d mmm")&amp;" has passed",IF($X82&gt;=2,(NETWORKDAYS($H82,$U82)-1)&amp;" working days past plan","")))</f>
        <v/>
      </c>
      <c r="AY82" s="31">
        <f>IF($AL82=0,"",IF($Y82&gt;=2,"Over budget by "&amp;TEXT(IF($B82="Program",$V82,$J82)-$K82,"#,##0"),""))</f>
        <v/>
      </c>
      <c r="AZ82" s="31">
        <f>IF(AND($AL82=1,$U82&lt;&gt;""),IF(AND(N($U82)&gt;=TODAY(),N($U82)&lt;=TODAY()+Board!$B$41),1,0),0)</f>
        <v/>
      </c>
    </row>
    <row r="83">
      <c r="A83" s="29" t="n"/>
      <c r="B83" s="29" t="n"/>
      <c r="C83" s="29" t="n"/>
      <c r="D83" s="29" t="n"/>
      <c r="E83" s="29" t="n"/>
      <c r="F83" s="29" t="n"/>
      <c r="G83" s="29" t="n"/>
      <c r="H83" s="30" t="n"/>
      <c r="I83" s="30" t="n"/>
      <c r="J83" s="19" t="n"/>
      <c r="K83" s="19" t="n"/>
      <c r="L83" s="26" t="n"/>
      <c r="M83" s="31">
        <f>IF($A83="","",IF($D83="","Not read",IF($Q83=0,"Not counted",IF(MAX($X83,$Y83)=3,"■ Red",IF(MAX($X83,$Y83)=2,"◧ Amber",IF(MAX($X83,$Y83)=1,"□ On track","Not read"))))))</f>
        <v/>
      </c>
      <c r="N83" s="31">
        <f>IF(OR($A83="",$B83&lt;&gt;"Program"),"","■ "&amp;COUNTIFS($C$6:$C$305,$A83,$M$6:$M$305,"■ Red")&amp;" Red, ◧ "&amp;COUNTIFS($C$6:$C$305,$A83,$M$6:$M$305,"◧ Amber")&amp;" Amber")</f>
        <v/>
      </c>
      <c r="O83" s="32">
        <f>IF(OR($A83="",$E83=""),"",COUNTIFS($E$6:$E$305,$E83,$D$6:$D$305,"Active")+COUNTIFS($E$6:$E$305,$E83,$D$6:$D$305,"Paused"))</f>
        <v/>
      </c>
      <c r="P83" s="31">
        <f>IF($A83="","",IF($AE83=0,"○ Clear",IF($AA83=1,"△ No owner",IF($AC83=1,"△ Check Sits under",IF($AC83=2,"△ Outside the portfolio",IF($AB83=1,"△ No sponsor","△ No variance note"))))&amp;IF($AE83&gt;1," (+"&amp;($AE83-1)&amp;" more)","")))</f>
        <v/>
      </c>
      <c r="Q83" s="31">
        <f>IF(AND($A83&lt;&gt;"",OR($D83="Active",$D83="Paused")),1,0)</f>
        <v/>
      </c>
      <c r="R83" s="31">
        <f>IFERROR(INDEX($A$6:$A$305,MATCH(76,$S$6:$S$305,0)),"")</f>
        <v/>
      </c>
      <c r="S83" s="31">
        <f>IF(AND($A83&lt;&gt;"",$B83="Program"),COUNTIFS($B$6:$B83,"Program",$A$6:$A83,"&lt;&gt;"),"")</f>
        <v/>
      </c>
      <c r="T83" s="33">
        <f>IF(AND($A83&lt;&gt;"",$B83="Program"),SUMPRODUCT(MAX(($C$6:$C$305=$A83)*($B$6:$B$305="Project")*($D$6:$D$305&lt;&gt;"Proposed")*$I$6:$I$305)),0)</f>
        <v/>
      </c>
      <c r="U83" s="33">
        <f>IF($I83&lt;&gt;"",$I83,IF($T83&gt;0,$T83,""))</f>
        <v/>
      </c>
      <c r="V83" s="31">
        <f>IF(AND($A83&lt;&gt;"",$B83="Program"),SUMIFS($J$6:$J$305,$C$6:$C$305,$A83,$B$6:$B$305,"Project",$D$6:$D$305,"&lt;&gt;Proposed"),0)</f>
        <v/>
      </c>
      <c r="W83" s="31">
        <f>IF(AND($A83&lt;&gt;"",$B83="Program"),COUNTIFS($C$6:$C$305,$A83,$B$6:$B$305,"Project",$D$6:$D$305,"&lt;&gt;Proposed")-COUNTIFS($C$6:$C$305,$A83,$B$6:$B$305,"Project",$D$6:$D$305,"&lt;&gt;Proposed",$J$6:$J$305,"&gt;=0"),0)</f>
        <v/>
      </c>
      <c r="X83" s="31">
        <f>IF(OR($Q83=0,$H83=""),0,IF(AND($B83="Project",$H83&lt;TODAY()),3,IF($U83="",0,IF($U83&lt;=$H83,1,IF(NETWORKDAYS($H83,$U83)-1&gt;IF($B83="Program",Portfolio!$B$16,Portfolio!$B$15),3,2)))))</f>
        <v/>
      </c>
      <c r="Y83" s="31">
        <f>IF(OR($Q83=0,$K83="",$K83=0),0,IF(AND($B83="Project",$J83=""),0,IF(IF($B83="Program",$V83,$J83)&gt;$K83*(1+Portfolio!$B$17),3,IF(IF($B83="Program",$V83,$J83)&gt;$K83,2,IF(AND($B83="Program",OR($W83&gt;0,$V83=0)),0,1)))))</f>
        <v/>
      </c>
      <c r="Z83" s="31">
        <f>IF($A83="",0,IF($C83="Portfolio",1,IF(AND($B83="Project",$C83&lt;&gt;"",$C83&lt;&gt;"Outside the portfolio"),IFERROR(IF(AND(INDEX($B$6:$B$305,MATCH($C83,$A$6:$A$305,0))="Program",INDEX($C$6:$C$305,MATCH($C83,$A$6:$A$305,0))="Portfolio"),1,0),0),0)))</f>
        <v/>
      </c>
      <c r="AA83" s="31">
        <f>IF(AND($A83&lt;&gt;"",$E83="",OR($Q83=1,$D83="Proposed")),1,0)</f>
        <v/>
      </c>
      <c r="AB83" s="31">
        <f>IF(AND($A83&lt;&gt;"",$B83="Program",$F83="",$Q83=1),1,0)</f>
        <v/>
      </c>
      <c r="AC83" s="31">
        <f>IF(OR($A83="",$D83="Completed",$D83="Terminated"),0,IF($C83="",1,IF($C83="Portfolio",0,IF($C83="Outside the portfolio",IF($Q83=1,2,0),IF($B83="Project",IF(IFERROR(INDEX($B$6:$B$305,MATCH($C83,$A$6:$A$305,0)),"")="Program",0,1),1)))))</f>
        <v/>
      </c>
      <c r="AD83" s="31">
        <f>IF(AND($A83&lt;&gt;"",OR($M83="■ Red",$M83="◧ Amber"),$L83=""),1,0)</f>
        <v/>
      </c>
      <c r="AE83" s="31">
        <f>$AA83+$AB83+IF($AC83&gt;0,1,0)+$AD83</f>
        <v/>
      </c>
      <c r="AJ83" s="14" t="n"/>
      <c r="AK83" s="29" t="n"/>
      <c r="AL83" s="31">
        <f>IF(AND($Q83=1,$Z83=1),1,0)</f>
        <v/>
      </c>
      <c r="AM83" s="31">
        <f>IF(AND($AL83=1,$AJ83&lt;&gt;""),MAX(0,TODAY()-$AJ83),"")</f>
        <v/>
      </c>
      <c r="AN83" s="31">
        <f>IF(OR($AL83=0,COUNT($AJ$6:$AJ$305)=0),0,IF($AJ83="",1,IF(TODAY()-$AJ83&gt;Board!$B$40,1,0)))</f>
        <v/>
      </c>
      <c r="AO83" s="31">
        <f>IF($AL83=0,0,IF($M83="■ Red",3,IF($M83="◧ Amber",2,IF($M83="□ On track",1,0))))</f>
        <v/>
      </c>
      <c r="AP83" s="31">
        <f>IF($AL83=0,0,IF($AK83="Will not hold",3,IF($AK83="At risk",2,IF($AK83="Will hold",1,0))))</f>
        <v/>
      </c>
      <c r="AQ83" s="31">
        <f>IF($AL83=0,"",IF($AO83=3,0,IF($AO83=2,1,IF(AND($AP83&gt;=2,$AP83&gt;$AO83),2,""))))</f>
        <v/>
      </c>
      <c r="AR83" s="31">
        <f>IF($AQ83="","",$AQ83*1000+83)</f>
        <v/>
      </c>
      <c r="AS83" s="31">
        <f>IF(AND($AL83=1,$AO83&gt;=2,$AP83&gt;=1,$AP83&lt;$AO83),1,0)</f>
        <v/>
      </c>
      <c r="AT83" s="31">
        <f>IF(AND($AL83=1,$AO83&gt;=2,$AP83=0),1,0)</f>
        <v/>
      </c>
      <c r="AU83" s="31">
        <f>IF(AND($AL83=1,$U83&lt;&gt;"",$U83&lt;TODAY()),1,0)</f>
        <v/>
      </c>
      <c r="AV83" s="31">
        <f>IF(OR($A83="",$AJ83="",Portfolio!$B$10=""),0,IF($AJ83&lt;=Portfolio!$B$10,0,IF(AND($D83="Completed",$Z83=1),1,IF(AND($D83="Terminated",$Z83=1),2,IF(AND($Q83=1,$Z83=0),3,0)))))</f>
        <v/>
      </c>
      <c r="AW83" s="31">
        <f>IF($AV83&gt;0,COUNTIF($AV$6:$AV83,"&gt;0"),"")</f>
        <v/>
      </c>
      <c r="AX83" s="31">
        <f>IF($AL83=0,"",IF(AND($B83="Project",$H83&lt;&gt;"",$H83&lt;TODAY()),"Planned finish "&amp;TEXT($H83,"d mmm")&amp;" has passed",IF($X83&gt;=2,(NETWORKDAYS($H83,$U83)-1)&amp;" working days past plan","")))</f>
        <v/>
      </c>
      <c r="AY83" s="31">
        <f>IF($AL83=0,"",IF($Y83&gt;=2,"Over budget by "&amp;TEXT(IF($B83="Program",$V83,$J83)-$K83,"#,##0"),""))</f>
        <v/>
      </c>
      <c r="AZ83" s="31">
        <f>IF(AND($AL83=1,$U83&lt;&gt;""),IF(AND(N($U83)&gt;=TODAY(),N($U83)&lt;=TODAY()+Board!$B$41),1,0),0)</f>
        <v/>
      </c>
    </row>
    <row r="84">
      <c r="A84" s="29" t="n"/>
      <c r="B84" s="29" t="n"/>
      <c r="C84" s="29" t="n"/>
      <c r="D84" s="29" t="n"/>
      <c r="E84" s="29" t="n"/>
      <c r="F84" s="29" t="n"/>
      <c r="G84" s="29" t="n"/>
      <c r="H84" s="30" t="n"/>
      <c r="I84" s="30" t="n"/>
      <c r="J84" s="19" t="n"/>
      <c r="K84" s="19" t="n"/>
      <c r="L84" s="26" t="n"/>
      <c r="M84" s="31">
        <f>IF($A84="","",IF($D84="","Not read",IF($Q84=0,"Not counted",IF(MAX($X84,$Y84)=3,"■ Red",IF(MAX($X84,$Y84)=2,"◧ Amber",IF(MAX($X84,$Y84)=1,"□ On track","Not read"))))))</f>
        <v/>
      </c>
      <c r="N84" s="31">
        <f>IF(OR($A84="",$B84&lt;&gt;"Program"),"","■ "&amp;COUNTIFS($C$6:$C$305,$A84,$M$6:$M$305,"■ Red")&amp;" Red, ◧ "&amp;COUNTIFS($C$6:$C$305,$A84,$M$6:$M$305,"◧ Amber")&amp;" Amber")</f>
        <v/>
      </c>
      <c r="O84" s="32">
        <f>IF(OR($A84="",$E84=""),"",COUNTIFS($E$6:$E$305,$E84,$D$6:$D$305,"Active")+COUNTIFS($E$6:$E$305,$E84,$D$6:$D$305,"Paused"))</f>
        <v/>
      </c>
      <c r="P84" s="31">
        <f>IF($A84="","",IF($AE84=0,"○ Clear",IF($AA84=1,"△ No owner",IF($AC84=1,"△ Check Sits under",IF($AC84=2,"△ Outside the portfolio",IF($AB84=1,"△ No sponsor","△ No variance note"))))&amp;IF($AE84&gt;1," (+"&amp;($AE84-1)&amp;" more)","")))</f>
        <v/>
      </c>
      <c r="Q84" s="31">
        <f>IF(AND($A84&lt;&gt;"",OR($D84="Active",$D84="Paused")),1,0)</f>
        <v/>
      </c>
      <c r="R84" s="31">
        <f>IFERROR(INDEX($A$6:$A$305,MATCH(77,$S$6:$S$305,0)),"")</f>
        <v/>
      </c>
      <c r="S84" s="31">
        <f>IF(AND($A84&lt;&gt;"",$B84="Program"),COUNTIFS($B$6:$B84,"Program",$A$6:$A84,"&lt;&gt;"),"")</f>
        <v/>
      </c>
      <c r="T84" s="33">
        <f>IF(AND($A84&lt;&gt;"",$B84="Program"),SUMPRODUCT(MAX(($C$6:$C$305=$A84)*($B$6:$B$305="Project")*($D$6:$D$305&lt;&gt;"Proposed")*$I$6:$I$305)),0)</f>
        <v/>
      </c>
      <c r="U84" s="33">
        <f>IF($I84&lt;&gt;"",$I84,IF($T84&gt;0,$T84,""))</f>
        <v/>
      </c>
      <c r="V84" s="31">
        <f>IF(AND($A84&lt;&gt;"",$B84="Program"),SUMIFS($J$6:$J$305,$C$6:$C$305,$A84,$B$6:$B$305,"Project",$D$6:$D$305,"&lt;&gt;Proposed"),0)</f>
        <v/>
      </c>
      <c r="W84" s="31">
        <f>IF(AND($A84&lt;&gt;"",$B84="Program"),COUNTIFS($C$6:$C$305,$A84,$B$6:$B$305,"Project",$D$6:$D$305,"&lt;&gt;Proposed")-COUNTIFS($C$6:$C$305,$A84,$B$6:$B$305,"Project",$D$6:$D$305,"&lt;&gt;Proposed",$J$6:$J$305,"&gt;=0"),0)</f>
        <v/>
      </c>
      <c r="X84" s="31">
        <f>IF(OR($Q84=0,$H84=""),0,IF(AND($B84="Project",$H84&lt;TODAY()),3,IF($U84="",0,IF($U84&lt;=$H84,1,IF(NETWORKDAYS($H84,$U84)-1&gt;IF($B84="Program",Portfolio!$B$16,Portfolio!$B$15),3,2)))))</f>
        <v/>
      </c>
      <c r="Y84" s="31">
        <f>IF(OR($Q84=0,$K84="",$K84=0),0,IF(AND($B84="Project",$J84=""),0,IF(IF($B84="Program",$V84,$J84)&gt;$K84*(1+Portfolio!$B$17),3,IF(IF($B84="Program",$V84,$J84)&gt;$K84,2,IF(AND($B84="Program",OR($W84&gt;0,$V84=0)),0,1)))))</f>
        <v/>
      </c>
      <c r="Z84" s="31">
        <f>IF($A84="",0,IF($C84="Portfolio",1,IF(AND($B84="Project",$C84&lt;&gt;"",$C84&lt;&gt;"Outside the portfolio"),IFERROR(IF(AND(INDEX($B$6:$B$305,MATCH($C84,$A$6:$A$305,0))="Program",INDEX($C$6:$C$305,MATCH($C84,$A$6:$A$305,0))="Portfolio"),1,0),0),0)))</f>
        <v/>
      </c>
      <c r="AA84" s="31">
        <f>IF(AND($A84&lt;&gt;"",$E84="",OR($Q84=1,$D84="Proposed")),1,0)</f>
        <v/>
      </c>
      <c r="AB84" s="31">
        <f>IF(AND($A84&lt;&gt;"",$B84="Program",$F84="",$Q84=1),1,0)</f>
        <v/>
      </c>
      <c r="AC84" s="31">
        <f>IF(OR($A84="",$D84="Completed",$D84="Terminated"),0,IF($C84="",1,IF($C84="Portfolio",0,IF($C84="Outside the portfolio",IF($Q84=1,2,0),IF($B84="Project",IF(IFERROR(INDEX($B$6:$B$305,MATCH($C84,$A$6:$A$305,0)),"")="Program",0,1),1)))))</f>
        <v/>
      </c>
      <c r="AD84" s="31">
        <f>IF(AND($A84&lt;&gt;"",OR($M84="■ Red",$M84="◧ Amber"),$L84=""),1,0)</f>
        <v/>
      </c>
      <c r="AE84" s="31">
        <f>$AA84+$AB84+IF($AC84&gt;0,1,0)+$AD84</f>
        <v/>
      </c>
      <c r="AJ84" s="14" t="n"/>
      <c r="AK84" s="29" t="n"/>
      <c r="AL84" s="31">
        <f>IF(AND($Q84=1,$Z84=1),1,0)</f>
        <v/>
      </c>
      <c r="AM84" s="31">
        <f>IF(AND($AL84=1,$AJ84&lt;&gt;""),MAX(0,TODAY()-$AJ84),"")</f>
        <v/>
      </c>
      <c r="AN84" s="31">
        <f>IF(OR($AL84=0,COUNT($AJ$6:$AJ$305)=0),0,IF($AJ84="",1,IF(TODAY()-$AJ84&gt;Board!$B$40,1,0)))</f>
        <v/>
      </c>
      <c r="AO84" s="31">
        <f>IF($AL84=0,0,IF($M84="■ Red",3,IF($M84="◧ Amber",2,IF($M84="□ On track",1,0))))</f>
        <v/>
      </c>
      <c r="AP84" s="31">
        <f>IF($AL84=0,0,IF($AK84="Will not hold",3,IF($AK84="At risk",2,IF($AK84="Will hold",1,0))))</f>
        <v/>
      </c>
      <c r="AQ84" s="31">
        <f>IF($AL84=0,"",IF($AO84=3,0,IF($AO84=2,1,IF(AND($AP84&gt;=2,$AP84&gt;$AO84),2,""))))</f>
        <v/>
      </c>
      <c r="AR84" s="31">
        <f>IF($AQ84="","",$AQ84*1000+84)</f>
        <v/>
      </c>
      <c r="AS84" s="31">
        <f>IF(AND($AL84=1,$AO84&gt;=2,$AP84&gt;=1,$AP84&lt;$AO84),1,0)</f>
        <v/>
      </c>
      <c r="AT84" s="31">
        <f>IF(AND($AL84=1,$AO84&gt;=2,$AP84=0),1,0)</f>
        <v/>
      </c>
      <c r="AU84" s="31">
        <f>IF(AND($AL84=1,$U84&lt;&gt;"",$U84&lt;TODAY()),1,0)</f>
        <v/>
      </c>
      <c r="AV84" s="31">
        <f>IF(OR($A84="",$AJ84="",Portfolio!$B$10=""),0,IF($AJ84&lt;=Portfolio!$B$10,0,IF(AND($D84="Completed",$Z84=1),1,IF(AND($D84="Terminated",$Z84=1),2,IF(AND($Q84=1,$Z84=0),3,0)))))</f>
        <v/>
      </c>
      <c r="AW84" s="31">
        <f>IF($AV84&gt;0,COUNTIF($AV$6:$AV84,"&gt;0"),"")</f>
        <v/>
      </c>
      <c r="AX84" s="31">
        <f>IF($AL84=0,"",IF(AND($B84="Project",$H84&lt;&gt;"",$H84&lt;TODAY()),"Planned finish "&amp;TEXT($H84,"d mmm")&amp;" has passed",IF($X84&gt;=2,(NETWORKDAYS($H84,$U84)-1)&amp;" working days past plan","")))</f>
        <v/>
      </c>
      <c r="AY84" s="31">
        <f>IF($AL84=0,"",IF($Y84&gt;=2,"Over budget by "&amp;TEXT(IF($B84="Program",$V84,$J84)-$K84,"#,##0"),""))</f>
        <v/>
      </c>
      <c r="AZ84" s="31">
        <f>IF(AND($AL84=1,$U84&lt;&gt;""),IF(AND(N($U84)&gt;=TODAY(),N($U84)&lt;=TODAY()+Board!$B$41),1,0),0)</f>
        <v/>
      </c>
    </row>
    <row r="85">
      <c r="A85" s="29" t="n"/>
      <c r="B85" s="29" t="n"/>
      <c r="C85" s="29" t="n"/>
      <c r="D85" s="29" t="n"/>
      <c r="E85" s="29" t="n"/>
      <c r="F85" s="29" t="n"/>
      <c r="G85" s="29" t="n"/>
      <c r="H85" s="30" t="n"/>
      <c r="I85" s="30" t="n"/>
      <c r="J85" s="19" t="n"/>
      <c r="K85" s="19" t="n"/>
      <c r="L85" s="26" t="n"/>
      <c r="M85" s="31">
        <f>IF($A85="","",IF($D85="","Not read",IF($Q85=0,"Not counted",IF(MAX($X85,$Y85)=3,"■ Red",IF(MAX($X85,$Y85)=2,"◧ Amber",IF(MAX($X85,$Y85)=1,"□ On track","Not read"))))))</f>
        <v/>
      </c>
      <c r="N85" s="31">
        <f>IF(OR($A85="",$B85&lt;&gt;"Program"),"","■ "&amp;COUNTIFS($C$6:$C$305,$A85,$M$6:$M$305,"■ Red")&amp;" Red, ◧ "&amp;COUNTIFS($C$6:$C$305,$A85,$M$6:$M$305,"◧ Amber")&amp;" Amber")</f>
        <v/>
      </c>
      <c r="O85" s="32">
        <f>IF(OR($A85="",$E85=""),"",COUNTIFS($E$6:$E$305,$E85,$D$6:$D$305,"Active")+COUNTIFS($E$6:$E$305,$E85,$D$6:$D$305,"Paused"))</f>
        <v/>
      </c>
      <c r="P85" s="31">
        <f>IF($A85="","",IF($AE85=0,"○ Clear",IF($AA85=1,"△ No owner",IF($AC85=1,"△ Check Sits under",IF($AC85=2,"△ Outside the portfolio",IF($AB85=1,"△ No sponsor","△ No variance note"))))&amp;IF($AE85&gt;1," (+"&amp;($AE85-1)&amp;" more)","")))</f>
        <v/>
      </c>
      <c r="Q85" s="31">
        <f>IF(AND($A85&lt;&gt;"",OR($D85="Active",$D85="Paused")),1,0)</f>
        <v/>
      </c>
      <c r="R85" s="31">
        <f>IFERROR(INDEX($A$6:$A$305,MATCH(78,$S$6:$S$305,0)),"")</f>
        <v/>
      </c>
      <c r="S85" s="31">
        <f>IF(AND($A85&lt;&gt;"",$B85="Program"),COUNTIFS($B$6:$B85,"Program",$A$6:$A85,"&lt;&gt;"),"")</f>
        <v/>
      </c>
      <c r="T85" s="33">
        <f>IF(AND($A85&lt;&gt;"",$B85="Program"),SUMPRODUCT(MAX(($C$6:$C$305=$A85)*($B$6:$B$305="Project")*($D$6:$D$305&lt;&gt;"Proposed")*$I$6:$I$305)),0)</f>
        <v/>
      </c>
      <c r="U85" s="33">
        <f>IF($I85&lt;&gt;"",$I85,IF($T85&gt;0,$T85,""))</f>
        <v/>
      </c>
      <c r="V85" s="31">
        <f>IF(AND($A85&lt;&gt;"",$B85="Program"),SUMIFS($J$6:$J$305,$C$6:$C$305,$A85,$B$6:$B$305,"Project",$D$6:$D$305,"&lt;&gt;Proposed"),0)</f>
        <v/>
      </c>
      <c r="W85" s="31">
        <f>IF(AND($A85&lt;&gt;"",$B85="Program"),COUNTIFS($C$6:$C$305,$A85,$B$6:$B$305,"Project",$D$6:$D$305,"&lt;&gt;Proposed")-COUNTIFS($C$6:$C$305,$A85,$B$6:$B$305,"Project",$D$6:$D$305,"&lt;&gt;Proposed",$J$6:$J$305,"&gt;=0"),0)</f>
        <v/>
      </c>
      <c r="X85" s="31">
        <f>IF(OR($Q85=0,$H85=""),0,IF(AND($B85="Project",$H85&lt;TODAY()),3,IF($U85="",0,IF($U85&lt;=$H85,1,IF(NETWORKDAYS($H85,$U85)-1&gt;IF($B85="Program",Portfolio!$B$16,Portfolio!$B$15),3,2)))))</f>
        <v/>
      </c>
      <c r="Y85" s="31">
        <f>IF(OR($Q85=0,$K85="",$K85=0),0,IF(AND($B85="Project",$J85=""),0,IF(IF($B85="Program",$V85,$J85)&gt;$K85*(1+Portfolio!$B$17),3,IF(IF($B85="Program",$V85,$J85)&gt;$K85,2,IF(AND($B85="Program",OR($W85&gt;0,$V85=0)),0,1)))))</f>
        <v/>
      </c>
      <c r="Z85" s="31">
        <f>IF($A85="",0,IF($C85="Portfolio",1,IF(AND($B85="Project",$C85&lt;&gt;"",$C85&lt;&gt;"Outside the portfolio"),IFERROR(IF(AND(INDEX($B$6:$B$305,MATCH($C85,$A$6:$A$305,0))="Program",INDEX($C$6:$C$305,MATCH($C85,$A$6:$A$305,0))="Portfolio"),1,0),0),0)))</f>
        <v/>
      </c>
      <c r="AA85" s="31">
        <f>IF(AND($A85&lt;&gt;"",$E85="",OR($Q85=1,$D85="Proposed")),1,0)</f>
        <v/>
      </c>
      <c r="AB85" s="31">
        <f>IF(AND($A85&lt;&gt;"",$B85="Program",$F85="",$Q85=1),1,0)</f>
        <v/>
      </c>
      <c r="AC85" s="31">
        <f>IF(OR($A85="",$D85="Completed",$D85="Terminated"),0,IF($C85="",1,IF($C85="Portfolio",0,IF($C85="Outside the portfolio",IF($Q85=1,2,0),IF($B85="Project",IF(IFERROR(INDEX($B$6:$B$305,MATCH($C85,$A$6:$A$305,0)),"")="Program",0,1),1)))))</f>
        <v/>
      </c>
      <c r="AD85" s="31">
        <f>IF(AND($A85&lt;&gt;"",OR($M85="■ Red",$M85="◧ Amber"),$L85=""),1,0)</f>
        <v/>
      </c>
      <c r="AE85" s="31">
        <f>$AA85+$AB85+IF($AC85&gt;0,1,0)+$AD85</f>
        <v/>
      </c>
      <c r="AJ85" s="14" t="n"/>
      <c r="AK85" s="29" t="n"/>
      <c r="AL85" s="31">
        <f>IF(AND($Q85=1,$Z85=1),1,0)</f>
        <v/>
      </c>
      <c r="AM85" s="31">
        <f>IF(AND($AL85=1,$AJ85&lt;&gt;""),MAX(0,TODAY()-$AJ85),"")</f>
        <v/>
      </c>
      <c r="AN85" s="31">
        <f>IF(OR($AL85=0,COUNT($AJ$6:$AJ$305)=0),0,IF($AJ85="",1,IF(TODAY()-$AJ85&gt;Board!$B$40,1,0)))</f>
        <v/>
      </c>
      <c r="AO85" s="31">
        <f>IF($AL85=0,0,IF($M85="■ Red",3,IF($M85="◧ Amber",2,IF($M85="□ On track",1,0))))</f>
        <v/>
      </c>
      <c r="AP85" s="31">
        <f>IF($AL85=0,0,IF($AK85="Will not hold",3,IF($AK85="At risk",2,IF($AK85="Will hold",1,0))))</f>
        <v/>
      </c>
      <c r="AQ85" s="31">
        <f>IF($AL85=0,"",IF($AO85=3,0,IF($AO85=2,1,IF(AND($AP85&gt;=2,$AP85&gt;$AO85),2,""))))</f>
        <v/>
      </c>
      <c r="AR85" s="31">
        <f>IF($AQ85="","",$AQ85*1000+85)</f>
        <v/>
      </c>
      <c r="AS85" s="31">
        <f>IF(AND($AL85=1,$AO85&gt;=2,$AP85&gt;=1,$AP85&lt;$AO85),1,0)</f>
        <v/>
      </c>
      <c r="AT85" s="31">
        <f>IF(AND($AL85=1,$AO85&gt;=2,$AP85=0),1,0)</f>
        <v/>
      </c>
      <c r="AU85" s="31">
        <f>IF(AND($AL85=1,$U85&lt;&gt;"",$U85&lt;TODAY()),1,0)</f>
        <v/>
      </c>
      <c r="AV85" s="31">
        <f>IF(OR($A85="",$AJ85="",Portfolio!$B$10=""),0,IF($AJ85&lt;=Portfolio!$B$10,0,IF(AND($D85="Completed",$Z85=1),1,IF(AND($D85="Terminated",$Z85=1),2,IF(AND($Q85=1,$Z85=0),3,0)))))</f>
        <v/>
      </c>
      <c r="AW85" s="31">
        <f>IF($AV85&gt;0,COUNTIF($AV$6:$AV85,"&gt;0"),"")</f>
        <v/>
      </c>
      <c r="AX85" s="31">
        <f>IF($AL85=0,"",IF(AND($B85="Project",$H85&lt;&gt;"",$H85&lt;TODAY()),"Planned finish "&amp;TEXT($H85,"d mmm")&amp;" has passed",IF($X85&gt;=2,(NETWORKDAYS($H85,$U85)-1)&amp;" working days past plan","")))</f>
        <v/>
      </c>
      <c r="AY85" s="31">
        <f>IF($AL85=0,"",IF($Y85&gt;=2,"Over budget by "&amp;TEXT(IF($B85="Program",$V85,$J85)-$K85,"#,##0"),""))</f>
        <v/>
      </c>
      <c r="AZ85" s="31">
        <f>IF(AND($AL85=1,$U85&lt;&gt;""),IF(AND(N($U85)&gt;=TODAY(),N($U85)&lt;=TODAY()+Board!$B$41),1,0),0)</f>
        <v/>
      </c>
    </row>
    <row r="86">
      <c r="A86" s="29" t="n"/>
      <c r="B86" s="29" t="n"/>
      <c r="C86" s="29" t="n"/>
      <c r="D86" s="29" t="n"/>
      <c r="E86" s="29" t="n"/>
      <c r="F86" s="29" t="n"/>
      <c r="G86" s="29" t="n"/>
      <c r="H86" s="30" t="n"/>
      <c r="I86" s="30" t="n"/>
      <c r="J86" s="19" t="n"/>
      <c r="K86" s="19" t="n"/>
      <c r="L86" s="26" t="n"/>
      <c r="M86" s="31">
        <f>IF($A86="","",IF($D86="","Not read",IF($Q86=0,"Not counted",IF(MAX($X86,$Y86)=3,"■ Red",IF(MAX($X86,$Y86)=2,"◧ Amber",IF(MAX($X86,$Y86)=1,"□ On track","Not read"))))))</f>
        <v/>
      </c>
      <c r="N86" s="31">
        <f>IF(OR($A86="",$B86&lt;&gt;"Program"),"","■ "&amp;COUNTIFS($C$6:$C$305,$A86,$M$6:$M$305,"■ Red")&amp;" Red, ◧ "&amp;COUNTIFS($C$6:$C$305,$A86,$M$6:$M$305,"◧ Amber")&amp;" Amber")</f>
        <v/>
      </c>
      <c r="O86" s="32">
        <f>IF(OR($A86="",$E86=""),"",COUNTIFS($E$6:$E$305,$E86,$D$6:$D$305,"Active")+COUNTIFS($E$6:$E$305,$E86,$D$6:$D$305,"Paused"))</f>
        <v/>
      </c>
      <c r="P86" s="31">
        <f>IF($A86="","",IF($AE86=0,"○ Clear",IF($AA86=1,"△ No owner",IF($AC86=1,"△ Check Sits under",IF($AC86=2,"△ Outside the portfolio",IF($AB86=1,"△ No sponsor","△ No variance note"))))&amp;IF($AE86&gt;1," (+"&amp;($AE86-1)&amp;" more)","")))</f>
        <v/>
      </c>
      <c r="Q86" s="31">
        <f>IF(AND($A86&lt;&gt;"",OR($D86="Active",$D86="Paused")),1,0)</f>
        <v/>
      </c>
      <c r="R86" s="31">
        <f>IFERROR(INDEX($A$6:$A$305,MATCH(79,$S$6:$S$305,0)),"")</f>
        <v/>
      </c>
      <c r="S86" s="31">
        <f>IF(AND($A86&lt;&gt;"",$B86="Program"),COUNTIFS($B$6:$B86,"Program",$A$6:$A86,"&lt;&gt;"),"")</f>
        <v/>
      </c>
      <c r="T86" s="33">
        <f>IF(AND($A86&lt;&gt;"",$B86="Program"),SUMPRODUCT(MAX(($C$6:$C$305=$A86)*($B$6:$B$305="Project")*($D$6:$D$305&lt;&gt;"Proposed")*$I$6:$I$305)),0)</f>
        <v/>
      </c>
      <c r="U86" s="33">
        <f>IF($I86&lt;&gt;"",$I86,IF($T86&gt;0,$T86,""))</f>
        <v/>
      </c>
      <c r="V86" s="31">
        <f>IF(AND($A86&lt;&gt;"",$B86="Program"),SUMIFS($J$6:$J$305,$C$6:$C$305,$A86,$B$6:$B$305,"Project",$D$6:$D$305,"&lt;&gt;Proposed"),0)</f>
        <v/>
      </c>
      <c r="W86" s="31">
        <f>IF(AND($A86&lt;&gt;"",$B86="Program"),COUNTIFS($C$6:$C$305,$A86,$B$6:$B$305,"Project",$D$6:$D$305,"&lt;&gt;Proposed")-COUNTIFS($C$6:$C$305,$A86,$B$6:$B$305,"Project",$D$6:$D$305,"&lt;&gt;Proposed",$J$6:$J$305,"&gt;=0"),0)</f>
        <v/>
      </c>
      <c r="X86" s="31">
        <f>IF(OR($Q86=0,$H86=""),0,IF(AND($B86="Project",$H86&lt;TODAY()),3,IF($U86="",0,IF($U86&lt;=$H86,1,IF(NETWORKDAYS($H86,$U86)-1&gt;IF($B86="Program",Portfolio!$B$16,Portfolio!$B$15),3,2)))))</f>
        <v/>
      </c>
      <c r="Y86" s="31">
        <f>IF(OR($Q86=0,$K86="",$K86=0),0,IF(AND($B86="Project",$J86=""),0,IF(IF($B86="Program",$V86,$J86)&gt;$K86*(1+Portfolio!$B$17),3,IF(IF($B86="Program",$V86,$J86)&gt;$K86,2,IF(AND($B86="Program",OR($W86&gt;0,$V86=0)),0,1)))))</f>
        <v/>
      </c>
      <c r="Z86" s="31">
        <f>IF($A86="",0,IF($C86="Portfolio",1,IF(AND($B86="Project",$C86&lt;&gt;"",$C86&lt;&gt;"Outside the portfolio"),IFERROR(IF(AND(INDEX($B$6:$B$305,MATCH($C86,$A$6:$A$305,0))="Program",INDEX($C$6:$C$305,MATCH($C86,$A$6:$A$305,0))="Portfolio"),1,0),0),0)))</f>
        <v/>
      </c>
      <c r="AA86" s="31">
        <f>IF(AND($A86&lt;&gt;"",$E86="",OR($Q86=1,$D86="Proposed")),1,0)</f>
        <v/>
      </c>
      <c r="AB86" s="31">
        <f>IF(AND($A86&lt;&gt;"",$B86="Program",$F86="",$Q86=1),1,0)</f>
        <v/>
      </c>
      <c r="AC86" s="31">
        <f>IF(OR($A86="",$D86="Completed",$D86="Terminated"),0,IF($C86="",1,IF($C86="Portfolio",0,IF($C86="Outside the portfolio",IF($Q86=1,2,0),IF($B86="Project",IF(IFERROR(INDEX($B$6:$B$305,MATCH($C86,$A$6:$A$305,0)),"")="Program",0,1),1)))))</f>
        <v/>
      </c>
      <c r="AD86" s="31">
        <f>IF(AND($A86&lt;&gt;"",OR($M86="■ Red",$M86="◧ Amber"),$L86=""),1,0)</f>
        <v/>
      </c>
      <c r="AE86" s="31">
        <f>$AA86+$AB86+IF($AC86&gt;0,1,0)+$AD86</f>
        <v/>
      </c>
      <c r="AJ86" s="14" t="n"/>
      <c r="AK86" s="29" t="n"/>
      <c r="AL86" s="31">
        <f>IF(AND($Q86=1,$Z86=1),1,0)</f>
        <v/>
      </c>
      <c r="AM86" s="31">
        <f>IF(AND($AL86=1,$AJ86&lt;&gt;""),MAX(0,TODAY()-$AJ86),"")</f>
        <v/>
      </c>
      <c r="AN86" s="31">
        <f>IF(OR($AL86=0,COUNT($AJ$6:$AJ$305)=0),0,IF($AJ86="",1,IF(TODAY()-$AJ86&gt;Board!$B$40,1,0)))</f>
        <v/>
      </c>
      <c r="AO86" s="31">
        <f>IF($AL86=0,0,IF($M86="■ Red",3,IF($M86="◧ Amber",2,IF($M86="□ On track",1,0))))</f>
        <v/>
      </c>
      <c r="AP86" s="31">
        <f>IF($AL86=0,0,IF($AK86="Will not hold",3,IF($AK86="At risk",2,IF($AK86="Will hold",1,0))))</f>
        <v/>
      </c>
      <c r="AQ86" s="31">
        <f>IF($AL86=0,"",IF($AO86=3,0,IF($AO86=2,1,IF(AND($AP86&gt;=2,$AP86&gt;$AO86),2,""))))</f>
        <v/>
      </c>
      <c r="AR86" s="31">
        <f>IF($AQ86="","",$AQ86*1000+86)</f>
        <v/>
      </c>
      <c r="AS86" s="31">
        <f>IF(AND($AL86=1,$AO86&gt;=2,$AP86&gt;=1,$AP86&lt;$AO86),1,0)</f>
        <v/>
      </c>
      <c r="AT86" s="31">
        <f>IF(AND($AL86=1,$AO86&gt;=2,$AP86=0),1,0)</f>
        <v/>
      </c>
      <c r="AU86" s="31">
        <f>IF(AND($AL86=1,$U86&lt;&gt;"",$U86&lt;TODAY()),1,0)</f>
        <v/>
      </c>
      <c r="AV86" s="31">
        <f>IF(OR($A86="",$AJ86="",Portfolio!$B$10=""),0,IF($AJ86&lt;=Portfolio!$B$10,0,IF(AND($D86="Completed",$Z86=1),1,IF(AND($D86="Terminated",$Z86=1),2,IF(AND($Q86=1,$Z86=0),3,0)))))</f>
        <v/>
      </c>
      <c r="AW86" s="31">
        <f>IF($AV86&gt;0,COUNTIF($AV$6:$AV86,"&gt;0"),"")</f>
        <v/>
      </c>
      <c r="AX86" s="31">
        <f>IF($AL86=0,"",IF(AND($B86="Project",$H86&lt;&gt;"",$H86&lt;TODAY()),"Planned finish "&amp;TEXT($H86,"d mmm")&amp;" has passed",IF($X86&gt;=2,(NETWORKDAYS($H86,$U86)-1)&amp;" working days past plan","")))</f>
        <v/>
      </c>
      <c r="AY86" s="31">
        <f>IF($AL86=0,"",IF($Y86&gt;=2,"Over budget by "&amp;TEXT(IF($B86="Program",$V86,$J86)-$K86,"#,##0"),""))</f>
        <v/>
      </c>
      <c r="AZ86" s="31">
        <f>IF(AND($AL86=1,$U86&lt;&gt;""),IF(AND(N($U86)&gt;=TODAY(),N($U86)&lt;=TODAY()+Board!$B$41),1,0),0)</f>
        <v/>
      </c>
    </row>
    <row r="87">
      <c r="A87" s="29" t="n"/>
      <c r="B87" s="29" t="n"/>
      <c r="C87" s="29" t="n"/>
      <c r="D87" s="29" t="n"/>
      <c r="E87" s="29" t="n"/>
      <c r="F87" s="29" t="n"/>
      <c r="G87" s="29" t="n"/>
      <c r="H87" s="30" t="n"/>
      <c r="I87" s="30" t="n"/>
      <c r="J87" s="19" t="n"/>
      <c r="K87" s="19" t="n"/>
      <c r="L87" s="26" t="n"/>
      <c r="M87" s="31">
        <f>IF($A87="","",IF($D87="","Not read",IF($Q87=0,"Not counted",IF(MAX($X87,$Y87)=3,"■ Red",IF(MAX($X87,$Y87)=2,"◧ Amber",IF(MAX($X87,$Y87)=1,"□ On track","Not read"))))))</f>
        <v/>
      </c>
      <c r="N87" s="31">
        <f>IF(OR($A87="",$B87&lt;&gt;"Program"),"","■ "&amp;COUNTIFS($C$6:$C$305,$A87,$M$6:$M$305,"■ Red")&amp;" Red, ◧ "&amp;COUNTIFS($C$6:$C$305,$A87,$M$6:$M$305,"◧ Amber")&amp;" Amber")</f>
        <v/>
      </c>
      <c r="O87" s="32">
        <f>IF(OR($A87="",$E87=""),"",COUNTIFS($E$6:$E$305,$E87,$D$6:$D$305,"Active")+COUNTIFS($E$6:$E$305,$E87,$D$6:$D$305,"Paused"))</f>
        <v/>
      </c>
      <c r="P87" s="31">
        <f>IF($A87="","",IF($AE87=0,"○ Clear",IF($AA87=1,"△ No owner",IF($AC87=1,"△ Check Sits under",IF($AC87=2,"△ Outside the portfolio",IF($AB87=1,"△ No sponsor","△ No variance note"))))&amp;IF($AE87&gt;1," (+"&amp;($AE87-1)&amp;" more)","")))</f>
        <v/>
      </c>
      <c r="Q87" s="31">
        <f>IF(AND($A87&lt;&gt;"",OR($D87="Active",$D87="Paused")),1,0)</f>
        <v/>
      </c>
      <c r="R87" s="31">
        <f>IFERROR(INDEX($A$6:$A$305,MATCH(80,$S$6:$S$305,0)),"")</f>
        <v/>
      </c>
      <c r="S87" s="31">
        <f>IF(AND($A87&lt;&gt;"",$B87="Program"),COUNTIFS($B$6:$B87,"Program",$A$6:$A87,"&lt;&gt;"),"")</f>
        <v/>
      </c>
      <c r="T87" s="33">
        <f>IF(AND($A87&lt;&gt;"",$B87="Program"),SUMPRODUCT(MAX(($C$6:$C$305=$A87)*($B$6:$B$305="Project")*($D$6:$D$305&lt;&gt;"Proposed")*$I$6:$I$305)),0)</f>
        <v/>
      </c>
      <c r="U87" s="33">
        <f>IF($I87&lt;&gt;"",$I87,IF($T87&gt;0,$T87,""))</f>
        <v/>
      </c>
      <c r="V87" s="31">
        <f>IF(AND($A87&lt;&gt;"",$B87="Program"),SUMIFS($J$6:$J$305,$C$6:$C$305,$A87,$B$6:$B$305,"Project",$D$6:$D$305,"&lt;&gt;Proposed"),0)</f>
        <v/>
      </c>
      <c r="W87" s="31">
        <f>IF(AND($A87&lt;&gt;"",$B87="Program"),COUNTIFS($C$6:$C$305,$A87,$B$6:$B$305,"Project",$D$6:$D$305,"&lt;&gt;Proposed")-COUNTIFS($C$6:$C$305,$A87,$B$6:$B$305,"Project",$D$6:$D$305,"&lt;&gt;Proposed",$J$6:$J$305,"&gt;=0"),0)</f>
        <v/>
      </c>
      <c r="X87" s="31">
        <f>IF(OR($Q87=0,$H87=""),0,IF(AND($B87="Project",$H87&lt;TODAY()),3,IF($U87="",0,IF($U87&lt;=$H87,1,IF(NETWORKDAYS($H87,$U87)-1&gt;IF($B87="Program",Portfolio!$B$16,Portfolio!$B$15),3,2)))))</f>
        <v/>
      </c>
      <c r="Y87" s="31">
        <f>IF(OR($Q87=0,$K87="",$K87=0),0,IF(AND($B87="Project",$J87=""),0,IF(IF($B87="Program",$V87,$J87)&gt;$K87*(1+Portfolio!$B$17),3,IF(IF($B87="Program",$V87,$J87)&gt;$K87,2,IF(AND($B87="Program",OR($W87&gt;0,$V87=0)),0,1)))))</f>
        <v/>
      </c>
      <c r="Z87" s="31">
        <f>IF($A87="",0,IF($C87="Portfolio",1,IF(AND($B87="Project",$C87&lt;&gt;"",$C87&lt;&gt;"Outside the portfolio"),IFERROR(IF(AND(INDEX($B$6:$B$305,MATCH($C87,$A$6:$A$305,0))="Program",INDEX($C$6:$C$305,MATCH($C87,$A$6:$A$305,0))="Portfolio"),1,0),0),0)))</f>
        <v/>
      </c>
      <c r="AA87" s="31">
        <f>IF(AND($A87&lt;&gt;"",$E87="",OR($Q87=1,$D87="Proposed")),1,0)</f>
        <v/>
      </c>
      <c r="AB87" s="31">
        <f>IF(AND($A87&lt;&gt;"",$B87="Program",$F87="",$Q87=1),1,0)</f>
        <v/>
      </c>
      <c r="AC87" s="31">
        <f>IF(OR($A87="",$D87="Completed",$D87="Terminated"),0,IF($C87="",1,IF($C87="Portfolio",0,IF($C87="Outside the portfolio",IF($Q87=1,2,0),IF($B87="Project",IF(IFERROR(INDEX($B$6:$B$305,MATCH($C87,$A$6:$A$305,0)),"")="Program",0,1),1)))))</f>
        <v/>
      </c>
      <c r="AD87" s="31">
        <f>IF(AND($A87&lt;&gt;"",OR($M87="■ Red",$M87="◧ Amber"),$L87=""),1,0)</f>
        <v/>
      </c>
      <c r="AE87" s="31">
        <f>$AA87+$AB87+IF($AC87&gt;0,1,0)+$AD87</f>
        <v/>
      </c>
      <c r="AJ87" s="14" t="n"/>
      <c r="AK87" s="29" t="n"/>
      <c r="AL87" s="31">
        <f>IF(AND($Q87=1,$Z87=1),1,0)</f>
        <v/>
      </c>
      <c r="AM87" s="31">
        <f>IF(AND($AL87=1,$AJ87&lt;&gt;""),MAX(0,TODAY()-$AJ87),"")</f>
        <v/>
      </c>
      <c r="AN87" s="31">
        <f>IF(OR($AL87=0,COUNT($AJ$6:$AJ$305)=0),0,IF($AJ87="",1,IF(TODAY()-$AJ87&gt;Board!$B$40,1,0)))</f>
        <v/>
      </c>
      <c r="AO87" s="31">
        <f>IF($AL87=0,0,IF($M87="■ Red",3,IF($M87="◧ Amber",2,IF($M87="□ On track",1,0))))</f>
        <v/>
      </c>
      <c r="AP87" s="31">
        <f>IF($AL87=0,0,IF($AK87="Will not hold",3,IF($AK87="At risk",2,IF($AK87="Will hold",1,0))))</f>
        <v/>
      </c>
      <c r="AQ87" s="31">
        <f>IF($AL87=0,"",IF($AO87=3,0,IF($AO87=2,1,IF(AND($AP87&gt;=2,$AP87&gt;$AO87),2,""))))</f>
        <v/>
      </c>
      <c r="AR87" s="31">
        <f>IF($AQ87="","",$AQ87*1000+87)</f>
        <v/>
      </c>
      <c r="AS87" s="31">
        <f>IF(AND($AL87=1,$AO87&gt;=2,$AP87&gt;=1,$AP87&lt;$AO87),1,0)</f>
        <v/>
      </c>
      <c r="AT87" s="31">
        <f>IF(AND($AL87=1,$AO87&gt;=2,$AP87=0),1,0)</f>
        <v/>
      </c>
      <c r="AU87" s="31">
        <f>IF(AND($AL87=1,$U87&lt;&gt;"",$U87&lt;TODAY()),1,0)</f>
        <v/>
      </c>
      <c r="AV87" s="31">
        <f>IF(OR($A87="",$AJ87="",Portfolio!$B$10=""),0,IF($AJ87&lt;=Portfolio!$B$10,0,IF(AND($D87="Completed",$Z87=1),1,IF(AND($D87="Terminated",$Z87=1),2,IF(AND($Q87=1,$Z87=0),3,0)))))</f>
        <v/>
      </c>
      <c r="AW87" s="31">
        <f>IF($AV87&gt;0,COUNTIF($AV$6:$AV87,"&gt;0"),"")</f>
        <v/>
      </c>
      <c r="AX87" s="31">
        <f>IF($AL87=0,"",IF(AND($B87="Project",$H87&lt;&gt;"",$H87&lt;TODAY()),"Planned finish "&amp;TEXT($H87,"d mmm")&amp;" has passed",IF($X87&gt;=2,(NETWORKDAYS($H87,$U87)-1)&amp;" working days past plan","")))</f>
        <v/>
      </c>
      <c r="AY87" s="31">
        <f>IF($AL87=0,"",IF($Y87&gt;=2,"Over budget by "&amp;TEXT(IF($B87="Program",$V87,$J87)-$K87,"#,##0"),""))</f>
        <v/>
      </c>
      <c r="AZ87" s="31">
        <f>IF(AND($AL87=1,$U87&lt;&gt;""),IF(AND(N($U87)&gt;=TODAY(),N($U87)&lt;=TODAY()+Board!$B$41),1,0),0)</f>
        <v/>
      </c>
    </row>
    <row r="88">
      <c r="A88" s="29" t="n"/>
      <c r="B88" s="29" t="n"/>
      <c r="C88" s="29" t="n"/>
      <c r="D88" s="29" t="n"/>
      <c r="E88" s="29" t="n"/>
      <c r="F88" s="29" t="n"/>
      <c r="G88" s="29" t="n"/>
      <c r="H88" s="30" t="n"/>
      <c r="I88" s="30" t="n"/>
      <c r="J88" s="19" t="n"/>
      <c r="K88" s="19" t="n"/>
      <c r="L88" s="26" t="n"/>
      <c r="M88" s="31">
        <f>IF($A88="","",IF($D88="","Not read",IF($Q88=0,"Not counted",IF(MAX($X88,$Y88)=3,"■ Red",IF(MAX($X88,$Y88)=2,"◧ Amber",IF(MAX($X88,$Y88)=1,"□ On track","Not read"))))))</f>
        <v/>
      </c>
      <c r="N88" s="31">
        <f>IF(OR($A88="",$B88&lt;&gt;"Program"),"","■ "&amp;COUNTIFS($C$6:$C$305,$A88,$M$6:$M$305,"■ Red")&amp;" Red, ◧ "&amp;COUNTIFS($C$6:$C$305,$A88,$M$6:$M$305,"◧ Amber")&amp;" Amber")</f>
        <v/>
      </c>
      <c r="O88" s="32">
        <f>IF(OR($A88="",$E88=""),"",COUNTIFS($E$6:$E$305,$E88,$D$6:$D$305,"Active")+COUNTIFS($E$6:$E$305,$E88,$D$6:$D$305,"Paused"))</f>
        <v/>
      </c>
      <c r="P88" s="31">
        <f>IF($A88="","",IF($AE88=0,"○ Clear",IF($AA88=1,"△ No owner",IF($AC88=1,"△ Check Sits under",IF($AC88=2,"△ Outside the portfolio",IF($AB88=1,"△ No sponsor","△ No variance note"))))&amp;IF($AE88&gt;1," (+"&amp;($AE88-1)&amp;" more)","")))</f>
        <v/>
      </c>
      <c r="Q88" s="31">
        <f>IF(AND($A88&lt;&gt;"",OR($D88="Active",$D88="Paused")),1,0)</f>
        <v/>
      </c>
      <c r="R88" s="31">
        <f>IFERROR(INDEX($A$6:$A$305,MATCH(81,$S$6:$S$305,0)),"")</f>
        <v/>
      </c>
      <c r="S88" s="31">
        <f>IF(AND($A88&lt;&gt;"",$B88="Program"),COUNTIFS($B$6:$B88,"Program",$A$6:$A88,"&lt;&gt;"),"")</f>
        <v/>
      </c>
      <c r="T88" s="33">
        <f>IF(AND($A88&lt;&gt;"",$B88="Program"),SUMPRODUCT(MAX(($C$6:$C$305=$A88)*($B$6:$B$305="Project")*($D$6:$D$305&lt;&gt;"Proposed")*$I$6:$I$305)),0)</f>
        <v/>
      </c>
      <c r="U88" s="33">
        <f>IF($I88&lt;&gt;"",$I88,IF($T88&gt;0,$T88,""))</f>
        <v/>
      </c>
      <c r="V88" s="31">
        <f>IF(AND($A88&lt;&gt;"",$B88="Program"),SUMIFS($J$6:$J$305,$C$6:$C$305,$A88,$B$6:$B$305,"Project",$D$6:$D$305,"&lt;&gt;Proposed"),0)</f>
        <v/>
      </c>
      <c r="W88" s="31">
        <f>IF(AND($A88&lt;&gt;"",$B88="Program"),COUNTIFS($C$6:$C$305,$A88,$B$6:$B$305,"Project",$D$6:$D$305,"&lt;&gt;Proposed")-COUNTIFS($C$6:$C$305,$A88,$B$6:$B$305,"Project",$D$6:$D$305,"&lt;&gt;Proposed",$J$6:$J$305,"&gt;=0"),0)</f>
        <v/>
      </c>
      <c r="X88" s="31">
        <f>IF(OR($Q88=0,$H88=""),0,IF(AND($B88="Project",$H88&lt;TODAY()),3,IF($U88="",0,IF($U88&lt;=$H88,1,IF(NETWORKDAYS($H88,$U88)-1&gt;IF($B88="Program",Portfolio!$B$16,Portfolio!$B$15),3,2)))))</f>
        <v/>
      </c>
      <c r="Y88" s="31">
        <f>IF(OR($Q88=0,$K88="",$K88=0),0,IF(AND($B88="Project",$J88=""),0,IF(IF($B88="Program",$V88,$J88)&gt;$K88*(1+Portfolio!$B$17),3,IF(IF($B88="Program",$V88,$J88)&gt;$K88,2,IF(AND($B88="Program",OR($W88&gt;0,$V88=0)),0,1)))))</f>
        <v/>
      </c>
      <c r="Z88" s="31">
        <f>IF($A88="",0,IF($C88="Portfolio",1,IF(AND($B88="Project",$C88&lt;&gt;"",$C88&lt;&gt;"Outside the portfolio"),IFERROR(IF(AND(INDEX($B$6:$B$305,MATCH($C88,$A$6:$A$305,0))="Program",INDEX($C$6:$C$305,MATCH($C88,$A$6:$A$305,0))="Portfolio"),1,0),0),0)))</f>
        <v/>
      </c>
      <c r="AA88" s="31">
        <f>IF(AND($A88&lt;&gt;"",$E88="",OR($Q88=1,$D88="Proposed")),1,0)</f>
        <v/>
      </c>
      <c r="AB88" s="31">
        <f>IF(AND($A88&lt;&gt;"",$B88="Program",$F88="",$Q88=1),1,0)</f>
        <v/>
      </c>
      <c r="AC88" s="31">
        <f>IF(OR($A88="",$D88="Completed",$D88="Terminated"),0,IF($C88="",1,IF($C88="Portfolio",0,IF($C88="Outside the portfolio",IF($Q88=1,2,0),IF($B88="Project",IF(IFERROR(INDEX($B$6:$B$305,MATCH($C88,$A$6:$A$305,0)),"")="Program",0,1),1)))))</f>
        <v/>
      </c>
      <c r="AD88" s="31">
        <f>IF(AND($A88&lt;&gt;"",OR($M88="■ Red",$M88="◧ Amber"),$L88=""),1,0)</f>
        <v/>
      </c>
      <c r="AE88" s="31">
        <f>$AA88+$AB88+IF($AC88&gt;0,1,0)+$AD88</f>
        <v/>
      </c>
      <c r="AJ88" s="14" t="n"/>
      <c r="AK88" s="29" t="n"/>
      <c r="AL88" s="31">
        <f>IF(AND($Q88=1,$Z88=1),1,0)</f>
        <v/>
      </c>
      <c r="AM88" s="31">
        <f>IF(AND($AL88=1,$AJ88&lt;&gt;""),MAX(0,TODAY()-$AJ88),"")</f>
        <v/>
      </c>
      <c r="AN88" s="31">
        <f>IF(OR($AL88=0,COUNT($AJ$6:$AJ$305)=0),0,IF($AJ88="",1,IF(TODAY()-$AJ88&gt;Board!$B$40,1,0)))</f>
        <v/>
      </c>
      <c r="AO88" s="31">
        <f>IF($AL88=0,0,IF($M88="■ Red",3,IF($M88="◧ Amber",2,IF($M88="□ On track",1,0))))</f>
        <v/>
      </c>
      <c r="AP88" s="31">
        <f>IF($AL88=0,0,IF($AK88="Will not hold",3,IF($AK88="At risk",2,IF($AK88="Will hold",1,0))))</f>
        <v/>
      </c>
      <c r="AQ88" s="31">
        <f>IF($AL88=0,"",IF($AO88=3,0,IF($AO88=2,1,IF(AND($AP88&gt;=2,$AP88&gt;$AO88),2,""))))</f>
        <v/>
      </c>
      <c r="AR88" s="31">
        <f>IF($AQ88="","",$AQ88*1000+88)</f>
        <v/>
      </c>
      <c r="AS88" s="31">
        <f>IF(AND($AL88=1,$AO88&gt;=2,$AP88&gt;=1,$AP88&lt;$AO88),1,0)</f>
        <v/>
      </c>
      <c r="AT88" s="31">
        <f>IF(AND($AL88=1,$AO88&gt;=2,$AP88=0),1,0)</f>
        <v/>
      </c>
      <c r="AU88" s="31">
        <f>IF(AND($AL88=1,$U88&lt;&gt;"",$U88&lt;TODAY()),1,0)</f>
        <v/>
      </c>
      <c r="AV88" s="31">
        <f>IF(OR($A88="",$AJ88="",Portfolio!$B$10=""),0,IF($AJ88&lt;=Portfolio!$B$10,0,IF(AND($D88="Completed",$Z88=1),1,IF(AND($D88="Terminated",$Z88=1),2,IF(AND($Q88=1,$Z88=0),3,0)))))</f>
        <v/>
      </c>
      <c r="AW88" s="31">
        <f>IF($AV88&gt;0,COUNTIF($AV$6:$AV88,"&gt;0"),"")</f>
        <v/>
      </c>
      <c r="AX88" s="31">
        <f>IF($AL88=0,"",IF(AND($B88="Project",$H88&lt;&gt;"",$H88&lt;TODAY()),"Planned finish "&amp;TEXT($H88,"d mmm")&amp;" has passed",IF($X88&gt;=2,(NETWORKDAYS($H88,$U88)-1)&amp;" working days past plan","")))</f>
        <v/>
      </c>
      <c r="AY88" s="31">
        <f>IF($AL88=0,"",IF($Y88&gt;=2,"Over budget by "&amp;TEXT(IF($B88="Program",$V88,$J88)-$K88,"#,##0"),""))</f>
        <v/>
      </c>
      <c r="AZ88" s="31">
        <f>IF(AND($AL88=1,$U88&lt;&gt;""),IF(AND(N($U88)&gt;=TODAY(),N($U88)&lt;=TODAY()+Board!$B$41),1,0),0)</f>
        <v/>
      </c>
    </row>
    <row r="89">
      <c r="A89" s="29" t="n"/>
      <c r="B89" s="29" t="n"/>
      <c r="C89" s="29" t="n"/>
      <c r="D89" s="29" t="n"/>
      <c r="E89" s="29" t="n"/>
      <c r="F89" s="29" t="n"/>
      <c r="G89" s="29" t="n"/>
      <c r="H89" s="30" t="n"/>
      <c r="I89" s="30" t="n"/>
      <c r="J89" s="19" t="n"/>
      <c r="K89" s="19" t="n"/>
      <c r="L89" s="26" t="n"/>
      <c r="M89" s="31">
        <f>IF($A89="","",IF($D89="","Not read",IF($Q89=0,"Not counted",IF(MAX($X89,$Y89)=3,"■ Red",IF(MAX($X89,$Y89)=2,"◧ Amber",IF(MAX($X89,$Y89)=1,"□ On track","Not read"))))))</f>
        <v/>
      </c>
      <c r="N89" s="31">
        <f>IF(OR($A89="",$B89&lt;&gt;"Program"),"","■ "&amp;COUNTIFS($C$6:$C$305,$A89,$M$6:$M$305,"■ Red")&amp;" Red, ◧ "&amp;COUNTIFS($C$6:$C$305,$A89,$M$6:$M$305,"◧ Amber")&amp;" Amber")</f>
        <v/>
      </c>
      <c r="O89" s="32">
        <f>IF(OR($A89="",$E89=""),"",COUNTIFS($E$6:$E$305,$E89,$D$6:$D$305,"Active")+COUNTIFS($E$6:$E$305,$E89,$D$6:$D$305,"Paused"))</f>
        <v/>
      </c>
      <c r="P89" s="31">
        <f>IF($A89="","",IF($AE89=0,"○ Clear",IF($AA89=1,"△ No owner",IF($AC89=1,"△ Check Sits under",IF($AC89=2,"△ Outside the portfolio",IF($AB89=1,"△ No sponsor","△ No variance note"))))&amp;IF($AE89&gt;1," (+"&amp;($AE89-1)&amp;" more)","")))</f>
        <v/>
      </c>
      <c r="Q89" s="31">
        <f>IF(AND($A89&lt;&gt;"",OR($D89="Active",$D89="Paused")),1,0)</f>
        <v/>
      </c>
      <c r="R89" s="31">
        <f>IFERROR(INDEX($A$6:$A$305,MATCH(82,$S$6:$S$305,0)),"")</f>
        <v/>
      </c>
      <c r="S89" s="31">
        <f>IF(AND($A89&lt;&gt;"",$B89="Program"),COUNTIFS($B$6:$B89,"Program",$A$6:$A89,"&lt;&gt;"),"")</f>
        <v/>
      </c>
      <c r="T89" s="33">
        <f>IF(AND($A89&lt;&gt;"",$B89="Program"),SUMPRODUCT(MAX(($C$6:$C$305=$A89)*($B$6:$B$305="Project")*($D$6:$D$305&lt;&gt;"Proposed")*$I$6:$I$305)),0)</f>
        <v/>
      </c>
      <c r="U89" s="33">
        <f>IF($I89&lt;&gt;"",$I89,IF($T89&gt;0,$T89,""))</f>
        <v/>
      </c>
      <c r="V89" s="31">
        <f>IF(AND($A89&lt;&gt;"",$B89="Program"),SUMIFS($J$6:$J$305,$C$6:$C$305,$A89,$B$6:$B$305,"Project",$D$6:$D$305,"&lt;&gt;Proposed"),0)</f>
        <v/>
      </c>
      <c r="W89" s="31">
        <f>IF(AND($A89&lt;&gt;"",$B89="Program"),COUNTIFS($C$6:$C$305,$A89,$B$6:$B$305,"Project",$D$6:$D$305,"&lt;&gt;Proposed")-COUNTIFS($C$6:$C$305,$A89,$B$6:$B$305,"Project",$D$6:$D$305,"&lt;&gt;Proposed",$J$6:$J$305,"&gt;=0"),0)</f>
        <v/>
      </c>
      <c r="X89" s="31">
        <f>IF(OR($Q89=0,$H89=""),0,IF(AND($B89="Project",$H89&lt;TODAY()),3,IF($U89="",0,IF($U89&lt;=$H89,1,IF(NETWORKDAYS($H89,$U89)-1&gt;IF($B89="Program",Portfolio!$B$16,Portfolio!$B$15),3,2)))))</f>
        <v/>
      </c>
      <c r="Y89" s="31">
        <f>IF(OR($Q89=0,$K89="",$K89=0),0,IF(AND($B89="Project",$J89=""),0,IF(IF($B89="Program",$V89,$J89)&gt;$K89*(1+Portfolio!$B$17),3,IF(IF($B89="Program",$V89,$J89)&gt;$K89,2,IF(AND($B89="Program",OR($W89&gt;0,$V89=0)),0,1)))))</f>
        <v/>
      </c>
      <c r="Z89" s="31">
        <f>IF($A89="",0,IF($C89="Portfolio",1,IF(AND($B89="Project",$C89&lt;&gt;"",$C89&lt;&gt;"Outside the portfolio"),IFERROR(IF(AND(INDEX($B$6:$B$305,MATCH($C89,$A$6:$A$305,0))="Program",INDEX($C$6:$C$305,MATCH($C89,$A$6:$A$305,0))="Portfolio"),1,0),0),0)))</f>
        <v/>
      </c>
      <c r="AA89" s="31">
        <f>IF(AND($A89&lt;&gt;"",$E89="",OR($Q89=1,$D89="Proposed")),1,0)</f>
        <v/>
      </c>
      <c r="AB89" s="31">
        <f>IF(AND($A89&lt;&gt;"",$B89="Program",$F89="",$Q89=1),1,0)</f>
        <v/>
      </c>
      <c r="AC89" s="31">
        <f>IF(OR($A89="",$D89="Completed",$D89="Terminated"),0,IF($C89="",1,IF($C89="Portfolio",0,IF($C89="Outside the portfolio",IF($Q89=1,2,0),IF($B89="Project",IF(IFERROR(INDEX($B$6:$B$305,MATCH($C89,$A$6:$A$305,0)),"")="Program",0,1),1)))))</f>
        <v/>
      </c>
      <c r="AD89" s="31">
        <f>IF(AND($A89&lt;&gt;"",OR($M89="■ Red",$M89="◧ Amber"),$L89=""),1,0)</f>
        <v/>
      </c>
      <c r="AE89" s="31">
        <f>$AA89+$AB89+IF($AC89&gt;0,1,0)+$AD89</f>
        <v/>
      </c>
      <c r="AJ89" s="14" t="n"/>
      <c r="AK89" s="29" t="n"/>
      <c r="AL89" s="31">
        <f>IF(AND($Q89=1,$Z89=1),1,0)</f>
        <v/>
      </c>
      <c r="AM89" s="31">
        <f>IF(AND($AL89=1,$AJ89&lt;&gt;""),MAX(0,TODAY()-$AJ89),"")</f>
        <v/>
      </c>
      <c r="AN89" s="31">
        <f>IF(OR($AL89=0,COUNT($AJ$6:$AJ$305)=0),0,IF($AJ89="",1,IF(TODAY()-$AJ89&gt;Board!$B$40,1,0)))</f>
        <v/>
      </c>
      <c r="AO89" s="31">
        <f>IF($AL89=0,0,IF($M89="■ Red",3,IF($M89="◧ Amber",2,IF($M89="□ On track",1,0))))</f>
        <v/>
      </c>
      <c r="AP89" s="31">
        <f>IF($AL89=0,0,IF($AK89="Will not hold",3,IF($AK89="At risk",2,IF($AK89="Will hold",1,0))))</f>
        <v/>
      </c>
      <c r="AQ89" s="31">
        <f>IF($AL89=0,"",IF($AO89=3,0,IF($AO89=2,1,IF(AND($AP89&gt;=2,$AP89&gt;$AO89),2,""))))</f>
        <v/>
      </c>
      <c r="AR89" s="31">
        <f>IF($AQ89="","",$AQ89*1000+89)</f>
        <v/>
      </c>
      <c r="AS89" s="31">
        <f>IF(AND($AL89=1,$AO89&gt;=2,$AP89&gt;=1,$AP89&lt;$AO89),1,0)</f>
        <v/>
      </c>
      <c r="AT89" s="31">
        <f>IF(AND($AL89=1,$AO89&gt;=2,$AP89=0),1,0)</f>
        <v/>
      </c>
      <c r="AU89" s="31">
        <f>IF(AND($AL89=1,$U89&lt;&gt;"",$U89&lt;TODAY()),1,0)</f>
        <v/>
      </c>
      <c r="AV89" s="31">
        <f>IF(OR($A89="",$AJ89="",Portfolio!$B$10=""),0,IF($AJ89&lt;=Portfolio!$B$10,0,IF(AND($D89="Completed",$Z89=1),1,IF(AND($D89="Terminated",$Z89=1),2,IF(AND($Q89=1,$Z89=0),3,0)))))</f>
        <v/>
      </c>
      <c r="AW89" s="31">
        <f>IF($AV89&gt;0,COUNTIF($AV$6:$AV89,"&gt;0"),"")</f>
        <v/>
      </c>
      <c r="AX89" s="31">
        <f>IF($AL89=0,"",IF(AND($B89="Project",$H89&lt;&gt;"",$H89&lt;TODAY()),"Planned finish "&amp;TEXT($H89,"d mmm")&amp;" has passed",IF($X89&gt;=2,(NETWORKDAYS($H89,$U89)-1)&amp;" working days past plan","")))</f>
        <v/>
      </c>
      <c r="AY89" s="31">
        <f>IF($AL89=0,"",IF($Y89&gt;=2,"Over budget by "&amp;TEXT(IF($B89="Program",$V89,$J89)-$K89,"#,##0"),""))</f>
        <v/>
      </c>
      <c r="AZ89" s="31">
        <f>IF(AND($AL89=1,$U89&lt;&gt;""),IF(AND(N($U89)&gt;=TODAY(),N($U89)&lt;=TODAY()+Board!$B$41),1,0),0)</f>
        <v/>
      </c>
    </row>
    <row r="90">
      <c r="A90" s="29" t="n"/>
      <c r="B90" s="29" t="n"/>
      <c r="C90" s="29" t="n"/>
      <c r="D90" s="29" t="n"/>
      <c r="E90" s="29" t="n"/>
      <c r="F90" s="29" t="n"/>
      <c r="G90" s="29" t="n"/>
      <c r="H90" s="30" t="n"/>
      <c r="I90" s="30" t="n"/>
      <c r="J90" s="19" t="n"/>
      <c r="K90" s="19" t="n"/>
      <c r="L90" s="26" t="n"/>
      <c r="M90" s="31">
        <f>IF($A90="","",IF($D90="","Not read",IF($Q90=0,"Not counted",IF(MAX($X90,$Y90)=3,"■ Red",IF(MAX($X90,$Y90)=2,"◧ Amber",IF(MAX($X90,$Y90)=1,"□ On track","Not read"))))))</f>
        <v/>
      </c>
      <c r="N90" s="31">
        <f>IF(OR($A90="",$B90&lt;&gt;"Program"),"","■ "&amp;COUNTIFS($C$6:$C$305,$A90,$M$6:$M$305,"■ Red")&amp;" Red, ◧ "&amp;COUNTIFS($C$6:$C$305,$A90,$M$6:$M$305,"◧ Amber")&amp;" Amber")</f>
        <v/>
      </c>
      <c r="O90" s="32">
        <f>IF(OR($A90="",$E90=""),"",COUNTIFS($E$6:$E$305,$E90,$D$6:$D$305,"Active")+COUNTIFS($E$6:$E$305,$E90,$D$6:$D$305,"Paused"))</f>
        <v/>
      </c>
      <c r="P90" s="31">
        <f>IF($A90="","",IF($AE90=0,"○ Clear",IF($AA90=1,"△ No owner",IF($AC90=1,"△ Check Sits under",IF($AC90=2,"△ Outside the portfolio",IF($AB90=1,"△ No sponsor","△ No variance note"))))&amp;IF($AE90&gt;1," (+"&amp;($AE90-1)&amp;" more)","")))</f>
        <v/>
      </c>
      <c r="Q90" s="31">
        <f>IF(AND($A90&lt;&gt;"",OR($D90="Active",$D90="Paused")),1,0)</f>
        <v/>
      </c>
      <c r="R90" s="31">
        <f>IFERROR(INDEX($A$6:$A$305,MATCH(83,$S$6:$S$305,0)),"")</f>
        <v/>
      </c>
      <c r="S90" s="31">
        <f>IF(AND($A90&lt;&gt;"",$B90="Program"),COUNTIFS($B$6:$B90,"Program",$A$6:$A90,"&lt;&gt;"),"")</f>
        <v/>
      </c>
      <c r="T90" s="33">
        <f>IF(AND($A90&lt;&gt;"",$B90="Program"),SUMPRODUCT(MAX(($C$6:$C$305=$A90)*($B$6:$B$305="Project")*($D$6:$D$305&lt;&gt;"Proposed")*$I$6:$I$305)),0)</f>
        <v/>
      </c>
      <c r="U90" s="33">
        <f>IF($I90&lt;&gt;"",$I90,IF($T90&gt;0,$T90,""))</f>
        <v/>
      </c>
      <c r="V90" s="31">
        <f>IF(AND($A90&lt;&gt;"",$B90="Program"),SUMIFS($J$6:$J$305,$C$6:$C$305,$A90,$B$6:$B$305,"Project",$D$6:$D$305,"&lt;&gt;Proposed"),0)</f>
        <v/>
      </c>
      <c r="W90" s="31">
        <f>IF(AND($A90&lt;&gt;"",$B90="Program"),COUNTIFS($C$6:$C$305,$A90,$B$6:$B$305,"Project",$D$6:$D$305,"&lt;&gt;Proposed")-COUNTIFS($C$6:$C$305,$A90,$B$6:$B$305,"Project",$D$6:$D$305,"&lt;&gt;Proposed",$J$6:$J$305,"&gt;=0"),0)</f>
        <v/>
      </c>
      <c r="X90" s="31">
        <f>IF(OR($Q90=0,$H90=""),0,IF(AND($B90="Project",$H90&lt;TODAY()),3,IF($U90="",0,IF($U90&lt;=$H90,1,IF(NETWORKDAYS($H90,$U90)-1&gt;IF($B90="Program",Portfolio!$B$16,Portfolio!$B$15),3,2)))))</f>
        <v/>
      </c>
      <c r="Y90" s="31">
        <f>IF(OR($Q90=0,$K90="",$K90=0),0,IF(AND($B90="Project",$J90=""),0,IF(IF($B90="Program",$V90,$J90)&gt;$K90*(1+Portfolio!$B$17),3,IF(IF($B90="Program",$V90,$J90)&gt;$K90,2,IF(AND($B90="Program",OR($W90&gt;0,$V90=0)),0,1)))))</f>
        <v/>
      </c>
      <c r="Z90" s="31">
        <f>IF($A90="",0,IF($C90="Portfolio",1,IF(AND($B90="Project",$C90&lt;&gt;"",$C90&lt;&gt;"Outside the portfolio"),IFERROR(IF(AND(INDEX($B$6:$B$305,MATCH($C90,$A$6:$A$305,0))="Program",INDEX($C$6:$C$305,MATCH($C90,$A$6:$A$305,0))="Portfolio"),1,0),0),0)))</f>
        <v/>
      </c>
      <c r="AA90" s="31">
        <f>IF(AND($A90&lt;&gt;"",$E90="",OR($Q90=1,$D90="Proposed")),1,0)</f>
        <v/>
      </c>
      <c r="AB90" s="31">
        <f>IF(AND($A90&lt;&gt;"",$B90="Program",$F90="",$Q90=1),1,0)</f>
        <v/>
      </c>
      <c r="AC90" s="31">
        <f>IF(OR($A90="",$D90="Completed",$D90="Terminated"),0,IF($C90="",1,IF($C90="Portfolio",0,IF($C90="Outside the portfolio",IF($Q90=1,2,0),IF($B90="Project",IF(IFERROR(INDEX($B$6:$B$305,MATCH($C90,$A$6:$A$305,0)),"")="Program",0,1),1)))))</f>
        <v/>
      </c>
      <c r="AD90" s="31">
        <f>IF(AND($A90&lt;&gt;"",OR($M90="■ Red",$M90="◧ Amber"),$L90=""),1,0)</f>
        <v/>
      </c>
      <c r="AE90" s="31">
        <f>$AA90+$AB90+IF($AC90&gt;0,1,0)+$AD90</f>
        <v/>
      </c>
      <c r="AJ90" s="14" t="n"/>
      <c r="AK90" s="29" t="n"/>
      <c r="AL90" s="31">
        <f>IF(AND($Q90=1,$Z90=1),1,0)</f>
        <v/>
      </c>
      <c r="AM90" s="31">
        <f>IF(AND($AL90=1,$AJ90&lt;&gt;""),MAX(0,TODAY()-$AJ90),"")</f>
        <v/>
      </c>
      <c r="AN90" s="31">
        <f>IF(OR($AL90=0,COUNT($AJ$6:$AJ$305)=0),0,IF($AJ90="",1,IF(TODAY()-$AJ90&gt;Board!$B$40,1,0)))</f>
        <v/>
      </c>
      <c r="AO90" s="31">
        <f>IF($AL90=0,0,IF($M90="■ Red",3,IF($M90="◧ Amber",2,IF($M90="□ On track",1,0))))</f>
        <v/>
      </c>
      <c r="AP90" s="31">
        <f>IF($AL90=0,0,IF($AK90="Will not hold",3,IF($AK90="At risk",2,IF($AK90="Will hold",1,0))))</f>
        <v/>
      </c>
      <c r="AQ90" s="31">
        <f>IF($AL90=0,"",IF($AO90=3,0,IF($AO90=2,1,IF(AND($AP90&gt;=2,$AP90&gt;$AO90),2,""))))</f>
        <v/>
      </c>
      <c r="AR90" s="31">
        <f>IF($AQ90="","",$AQ90*1000+90)</f>
        <v/>
      </c>
      <c r="AS90" s="31">
        <f>IF(AND($AL90=1,$AO90&gt;=2,$AP90&gt;=1,$AP90&lt;$AO90),1,0)</f>
        <v/>
      </c>
      <c r="AT90" s="31">
        <f>IF(AND($AL90=1,$AO90&gt;=2,$AP90=0),1,0)</f>
        <v/>
      </c>
      <c r="AU90" s="31">
        <f>IF(AND($AL90=1,$U90&lt;&gt;"",$U90&lt;TODAY()),1,0)</f>
        <v/>
      </c>
      <c r="AV90" s="31">
        <f>IF(OR($A90="",$AJ90="",Portfolio!$B$10=""),0,IF($AJ90&lt;=Portfolio!$B$10,0,IF(AND($D90="Completed",$Z90=1),1,IF(AND($D90="Terminated",$Z90=1),2,IF(AND($Q90=1,$Z90=0),3,0)))))</f>
        <v/>
      </c>
      <c r="AW90" s="31">
        <f>IF($AV90&gt;0,COUNTIF($AV$6:$AV90,"&gt;0"),"")</f>
        <v/>
      </c>
      <c r="AX90" s="31">
        <f>IF($AL90=0,"",IF(AND($B90="Project",$H90&lt;&gt;"",$H90&lt;TODAY()),"Planned finish "&amp;TEXT($H90,"d mmm")&amp;" has passed",IF($X90&gt;=2,(NETWORKDAYS($H90,$U90)-1)&amp;" working days past plan","")))</f>
        <v/>
      </c>
      <c r="AY90" s="31">
        <f>IF($AL90=0,"",IF($Y90&gt;=2,"Over budget by "&amp;TEXT(IF($B90="Program",$V90,$J90)-$K90,"#,##0"),""))</f>
        <v/>
      </c>
      <c r="AZ90" s="31">
        <f>IF(AND($AL90=1,$U90&lt;&gt;""),IF(AND(N($U90)&gt;=TODAY(),N($U90)&lt;=TODAY()+Board!$B$41),1,0),0)</f>
        <v/>
      </c>
    </row>
    <row r="91">
      <c r="A91" s="29" t="n"/>
      <c r="B91" s="29" t="n"/>
      <c r="C91" s="29" t="n"/>
      <c r="D91" s="29" t="n"/>
      <c r="E91" s="29" t="n"/>
      <c r="F91" s="29" t="n"/>
      <c r="G91" s="29" t="n"/>
      <c r="H91" s="30" t="n"/>
      <c r="I91" s="30" t="n"/>
      <c r="J91" s="19" t="n"/>
      <c r="K91" s="19" t="n"/>
      <c r="L91" s="26" t="n"/>
      <c r="M91" s="31">
        <f>IF($A91="","",IF($D91="","Not read",IF($Q91=0,"Not counted",IF(MAX($X91,$Y91)=3,"■ Red",IF(MAX($X91,$Y91)=2,"◧ Amber",IF(MAX($X91,$Y91)=1,"□ On track","Not read"))))))</f>
        <v/>
      </c>
      <c r="N91" s="31">
        <f>IF(OR($A91="",$B91&lt;&gt;"Program"),"","■ "&amp;COUNTIFS($C$6:$C$305,$A91,$M$6:$M$305,"■ Red")&amp;" Red, ◧ "&amp;COUNTIFS($C$6:$C$305,$A91,$M$6:$M$305,"◧ Amber")&amp;" Amber")</f>
        <v/>
      </c>
      <c r="O91" s="32">
        <f>IF(OR($A91="",$E91=""),"",COUNTIFS($E$6:$E$305,$E91,$D$6:$D$305,"Active")+COUNTIFS($E$6:$E$305,$E91,$D$6:$D$305,"Paused"))</f>
        <v/>
      </c>
      <c r="P91" s="31">
        <f>IF($A91="","",IF($AE91=0,"○ Clear",IF($AA91=1,"△ No owner",IF($AC91=1,"△ Check Sits under",IF($AC91=2,"△ Outside the portfolio",IF($AB91=1,"△ No sponsor","△ No variance note"))))&amp;IF($AE91&gt;1," (+"&amp;($AE91-1)&amp;" more)","")))</f>
        <v/>
      </c>
      <c r="Q91" s="31">
        <f>IF(AND($A91&lt;&gt;"",OR($D91="Active",$D91="Paused")),1,0)</f>
        <v/>
      </c>
      <c r="R91" s="31">
        <f>IFERROR(INDEX($A$6:$A$305,MATCH(84,$S$6:$S$305,0)),"")</f>
        <v/>
      </c>
      <c r="S91" s="31">
        <f>IF(AND($A91&lt;&gt;"",$B91="Program"),COUNTIFS($B$6:$B91,"Program",$A$6:$A91,"&lt;&gt;"),"")</f>
        <v/>
      </c>
      <c r="T91" s="33">
        <f>IF(AND($A91&lt;&gt;"",$B91="Program"),SUMPRODUCT(MAX(($C$6:$C$305=$A91)*($B$6:$B$305="Project")*($D$6:$D$305&lt;&gt;"Proposed")*$I$6:$I$305)),0)</f>
        <v/>
      </c>
      <c r="U91" s="33">
        <f>IF($I91&lt;&gt;"",$I91,IF($T91&gt;0,$T91,""))</f>
        <v/>
      </c>
      <c r="V91" s="31">
        <f>IF(AND($A91&lt;&gt;"",$B91="Program"),SUMIFS($J$6:$J$305,$C$6:$C$305,$A91,$B$6:$B$305,"Project",$D$6:$D$305,"&lt;&gt;Proposed"),0)</f>
        <v/>
      </c>
      <c r="W91" s="31">
        <f>IF(AND($A91&lt;&gt;"",$B91="Program"),COUNTIFS($C$6:$C$305,$A91,$B$6:$B$305,"Project",$D$6:$D$305,"&lt;&gt;Proposed")-COUNTIFS($C$6:$C$305,$A91,$B$6:$B$305,"Project",$D$6:$D$305,"&lt;&gt;Proposed",$J$6:$J$305,"&gt;=0"),0)</f>
        <v/>
      </c>
      <c r="X91" s="31">
        <f>IF(OR($Q91=0,$H91=""),0,IF(AND($B91="Project",$H91&lt;TODAY()),3,IF($U91="",0,IF($U91&lt;=$H91,1,IF(NETWORKDAYS($H91,$U91)-1&gt;IF($B91="Program",Portfolio!$B$16,Portfolio!$B$15),3,2)))))</f>
        <v/>
      </c>
      <c r="Y91" s="31">
        <f>IF(OR($Q91=0,$K91="",$K91=0),0,IF(AND($B91="Project",$J91=""),0,IF(IF($B91="Program",$V91,$J91)&gt;$K91*(1+Portfolio!$B$17),3,IF(IF($B91="Program",$V91,$J91)&gt;$K91,2,IF(AND($B91="Program",OR($W91&gt;0,$V91=0)),0,1)))))</f>
        <v/>
      </c>
      <c r="Z91" s="31">
        <f>IF($A91="",0,IF($C91="Portfolio",1,IF(AND($B91="Project",$C91&lt;&gt;"",$C91&lt;&gt;"Outside the portfolio"),IFERROR(IF(AND(INDEX($B$6:$B$305,MATCH($C91,$A$6:$A$305,0))="Program",INDEX($C$6:$C$305,MATCH($C91,$A$6:$A$305,0))="Portfolio"),1,0),0),0)))</f>
        <v/>
      </c>
      <c r="AA91" s="31">
        <f>IF(AND($A91&lt;&gt;"",$E91="",OR($Q91=1,$D91="Proposed")),1,0)</f>
        <v/>
      </c>
      <c r="AB91" s="31">
        <f>IF(AND($A91&lt;&gt;"",$B91="Program",$F91="",$Q91=1),1,0)</f>
        <v/>
      </c>
      <c r="AC91" s="31">
        <f>IF(OR($A91="",$D91="Completed",$D91="Terminated"),0,IF($C91="",1,IF($C91="Portfolio",0,IF($C91="Outside the portfolio",IF($Q91=1,2,0),IF($B91="Project",IF(IFERROR(INDEX($B$6:$B$305,MATCH($C91,$A$6:$A$305,0)),"")="Program",0,1),1)))))</f>
        <v/>
      </c>
      <c r="AD91" s="31">
        <f>IF(AND($A91&lt;&gt;"",OR($M91="■ Red",$M91="◧ Amber"),$L91=""),1,0)</f>
        <v/>
      </c>
      <c r="AE91" s="31">
        <f>$AA91+$AB91+IF($AC91&gt;0,1,0)+$AD91</f>
        <v/>
      </c>
      <c r="AJ91" s="14" t="n"/>
      <c r="AK91" s="29" t="n"/>
      <c r="AL91" s="31">
        <f>IF(AND($Q91=1,$Z91=1),1,0)</f>
        <v/>
      </c>
      <c r="AM91" s="31">
        <f>IF(AND($AL91=1,$AJ91&lt;&gt;""),MAX(0,TODAY()-$AJ91),"")</f>
        <v/>
      </c>
      <c r="AN91" s="31">
        <f>IF(OR($AL91=0,COUNT($AJ$6:$AJ$305)=0),0,IF($AJ91="",1,IF(TODAY()-$AJ91&gt;Board!$B$40,1,0)))</f>
        <v/>
      </c>
      <c r="AO91" s="31">
        <f>IF($AL91=0,0,IF($M91="■ Red",3,IF($M91="◧ Amber",2,IF($M91="□ On track",1,0))))</f>
        <v/>
      </c>
      <c r="AP91" s="31">
        <f>IF($AL91=0,0,IF($AK91="Will not hold",3,IF($AK91="At risk",2,IF($AK91="Will hold",1,0))))</f>
        <v/>
      </c>
      <c r="AQ91" s="31">
        <f>IF($AL91=0,"",IF($AO91=3,0,IF($AO91=2,1,IF(AND($AP91&gt;=2,$AP91&gt;$AO91),2,""))))</f>
        <v/>
      </c>
      <c r="AR91" s="31">
        <f>IF($AQ91="","",$AQ91*1000+91)</f>
        <v/>
      </c>
      <c r="AS91" s="31">
        <f>IF(AND($AL91=1,$AO91&gt;=2,$AP91&gt;=1,$AP91&lt;$AO91),1,0)</f>
        <v/>
      </c>
      <c r="AT91" s="31">
        <f>IF(AND($AL91=1,$AO91&gt;=2,$AP91=0),1,0)</f>
        <v/>
      </c>
      <c r="AU91" s="31">
        <f>IF(AND($AL91=1,$U91&lt;&gt;"",$U91&lt;TODAY()),1,0)</f>
        <v/>
      </c>
      <c r="AV91" s="31">
        <f>IF(OR($A91="",$AJ91="",Portfolio!$B$10=""),0,IF($AJ91&lt;=Portfolio!$B$10,0,IF(AND($D91="Completed",$Z91=1),1,IF(AND($D91="Terminated",$Z91=1),2,IF(AND($Q91=1,$Z91=0),3,0)))))</f>
        <v/>
      </c>
      <c r="AW91" s="31">
        <f>IF($AV91&gt;0,COUNTIF($AV$6:$AV91,"&gt;0"),"")</f>
        <v/>
      </c>
      <c r="AX91" s="31">
        <f>IF($AL91=0,"",IF(AND($B91="Project",$H91&lt;&gt;"",$H91&lt;TODAY()),"Planned finish "&amp;TEXT($H91,"d mmm")&amp;" has passed",IF($X91&gt;=2,(NETWORKDAYS($H91,$U91)-1)&amp;" working days past plan","")))</f>
        <v/>
      </c>
      <c r="AY91" s="31">
        <f>IF($AL91=0,"",IF($Y91&gt;=2,"Over budget by "&amp;TEXT(IF($B91="Program",$V91,$J91)-$K91,"#,##0"),""))</f>
        <v/>
      </c>
      <c r="AZ91" s="31">
        <f>IF(AND($AL91=1,$U91&lt;&gt;""),IF(AND(N($U91)&gt;=TODAY(),N($U91)&lt;=TODAY()+Board!$B$41),1,0),0)</f>
        <v/>
      </c>
    </row>
    <row r="92">
      <c r="A92" s="29" t="n"/>
      <c r="B92" s="29" t="n"/>
      <c r="C92" s="29" t="n"/>
      <c r="D92" s="29" t="n"/>
      <c r="E92" s="29" t="n"/>
      <c r="F92" s="29" t="n"/>
      <c r="G92" s="29" t="n"/>
      <c r="H92" s="30" t="n"/>
      <c r="I92" s="30" t="n"/>
      <c r="J92" s="19" t="n"/>
      <c r="K92" s="19" t="n"/>
      <c r="L92" s="26" t="n"/>
      <c r="M92" s="31">
        <f>IF($A92="","",IF($D92="","Not read",IF($Q92=0,"Not counted",IF(MAX($X92,$Y92)=3,"■ Red",IF(MAX($X92,$Y92)=2,"◧ Amber",IF(MAX($X92,$Y92)=1,"□ On track","Not read"))))))</f>
        <v/>
      </c>
      <c r="N92" s="31">
        <f>IF(OR($A92="",$B92&lt;&gt;"Program"),"","■ "&amp;COUNTIFS($C$6:$C$305,$A92,$M$6:$M$305,"■ Red")&amp;" Red, ◧ "&amp;COUNTIFS($C$6:$C$305,$A92,$M$6:$M$305,"◧ Amber")&amp;" Amber")</f>
        <v/>
      </c>
      <c r="O92" s="32">
        <f>IF(OR($A92="",$E92=""),"",COUNTIFS($E$6:$E$305,$E92,$D$6:$D$305,"Active")+COUNTIFS($E$6:$E$305,$E92,$D$6:$D$305,"Paused"))</f>
        <v/>
      </c>
      <c r="P92" s="31">
        <f>IF($A92="","",IF($AE92=0,"○ Clear",IF($AA92=1,"△ No owner",IF($AC92=1,"△ Check Sits under",IF($AC92=2,"△ Outside the portfolio",IF($AB92=1,"△ No sponsor","△ No variance note"))))&amp;IF($AE92&gt;1," (+"&amp;($AE92-1)&amp;" more)","")))</f>
        <v/>
      </c>
      <c r="Q92" s="31">
        <f>IF(AND($A92&lt;&gt;"",OR($D92="Active",$D92="Paused")),1,0)</f>
        <v/>
      </c>
      <c r="R92" s="31">
        <f>IFERROR(INDEX($A$6:$A$305,MATCH(85,$S$6:$S$305,0)),"")</f>
        <v/>
      </c>
      <c r="S92" s="31">
        <f>IF(AND($A92&lt;&gt;"",$B92="Program"),COUNTIFS($B$6:$B92,"Program",$A$6:$A92,"&lt;&gt;"),"")</f>
        <v/>
      </c>
      <c r="T92" s="33">
        <f>IF(AND($A92&lt;&gt;"",$B92="Program"),SUMPRODUCT(MAX(($C$6:$C$305=$A92)*($B$6:$B$305="Project")*($D$6:$D$305&lt;&gt;"Proposed")*$I$6:$I$305)),0)</f>
        <v/>
      </c>
      <c r="U92" s="33">
        <f>IF($I92&lt;&gt;"",$I92,IF($T92&gt;0,$T92,""))</f>
        <v/>
      </c>
      <c r="V92" s="31">
        <f>IF(AND($A92&lt;&gt;"",$B92="Program"),SUMIFS($J$6:$J$305,$C$6:$C$305,$A92,$B$6:$B$305,"Project",$D$6:$D$305,"&lt;&gt;Proposed"),0)</f>
        <v/>
      </c>
      <c r="W92" s="31">
        <f>IF(AND($A92&lt;&gt;"",$B92="Program"),COUNTIFS($C$6:$C$305,$A92,$B$6:$B$305,"Project",$D$6:$D$305,"&lt;&gt;Proposed")-COUNTIFS($C$6:$C$305,$A92,$B$6:$B$305,"Project",$D$6:$D$305,"&lt;&gt;Proposed",$J$6:$J$305,"&gt;=0"),0)</f>
        <v/>
      </c>
      <c r="X92" s="31">
        <f>IF(OR($Q92=0,$H92=""),0,IF(AND($B92="Project",$H92&lt;TODAY()),3,IF($U92="",0,IF($U92&lt;=$H92,1,IF(NETWORKDAYS($H92,$U92)-1&gt;IF($B92="Program",Portfolio!$B$16,Portfolio!$B$15),3,2)))))</f>
        <v/>
      </c>
      <c r="Y92" s="31">
        <f>IF(OR($Q92=0,$K92="",$K92=0),0,IF(AND($B92="Project",$J92=""),0,IF(IF($B92="Program",$V92,$J92)&gt;$K92*(1+Portfolio!$B$17),3,IF(IF($B92="Program",$V92,$J92)&gt;$K92,2,IF(AND($B92="Program",OR($W92&gt;0,$V92=0)),0,1)))))</f>
        <v/>
      </c>
      <c r="Z92" s="31">
        <f>IF($A92="",0,IF($C92="Portfolio",1,IF(AND($B92="Project",$C92&lt;&gt;"",$C92&lt;&gt;"Outside the portfolio"),IFERROR(IF(AND(INDEX($B$6:$B$305,MATCH($C92,$A$6:$A$305,0))="Program",INDEX($C$6:$C$305,MATCH($C92,$A$6:$A$305,0))="Portfolio"),1,0),0),0)))</f>
        <v/>
      </c>
      <c r="AA92" s="31">
        <f>IF(AND($A92&lt;&gt;"",$E92="",OR($Q92=1,$D92="Proposed")),1,0)</f>
        <v/>
      </c>
      <c r="AB92" s="31">
        <f>IF(AND($A92&lt;&gt;"",$B92="Program",$F92="",$Q92=1),1,0)</f>
        <v/>
      </c>
      <c r="AC92" s="31">
        <f>IF(OR($A92="",$D92="Completed",$D92="Terminated"),0,IF($C92="",1,IF($C92="Portfolio",0,IF($C92="Outside the portfolio",IF($Q92=1,2,0),IF($B92="Project",IF(IFERROR(INDEX($B$6:$B$305,MATCH($C92,$A$6:$A$305,0)),"")="Program",0,1),1)))))</f>
        <v/>
      </c>
      <c r="AD92" s="31">
        <f>IF(AND($A92&lt;&gt;"",OR($M92="■ Red",$M92="◧ Amber"),$L92=""),1,0)</f>
        <v/>
      </c>
      <c r="AE92" s="31">
        <f>$AA92+$AB92+IF($AC92&gt;0,1,0)+$AD92</f>
        <v/>
      </c>
      <c r="AJ92" s="14" t="n"/>
      <c r="AK92" s="29" t="n"/>
      <c r="AL92" s="31">
        <f>IF(AND($Q92=1,$Z92=1),1,0)</f>
        <v/>
      </c>
      <c r="AM92" s="31">
        <f>IF(AND($AL92=1,$AJ92&lt;&gt;""),MAX(0,TODAY()-$AJ92),"")</f>
        <v/>
      </c>
      <c r="AN92" s="31">
        <f>IF(OR($AL92=0,COUNT($AJ$6:$AJ$305)=0),0,IF($AJ92="",1,IF(TODAY()-$AJ92&gt;Board!$B$40,1,0)))</f>
        <v/>
      </c>
      <c r="AO92" s="31">
        <f>IF($AL92=0,0,IF($M92="■ Red",3,IF($M92="◧ Amber",2,IF($M92="□ On track",1,0))))</f>
        <v/>
      </c>
      <c r="AP92" s="31">
        <f>IF($AL92=0,0,IF($AK92="Will not hold",3,IF($AK92="At risk",2,IF($AK92="Will hold",1,0))))</f>
        <v/>
      </c>
      <c r="AQ92" s="31">
        <f>IF($AL92=0,"",IF($AO92=3,0,IF($AO92=2,1,IF(AND($AP92&gt;=2,$AP92&gt;$AO92),2,""))))</f>
        <v/>
      </c>
      <c r="AR92" s="31">
        <f>IF($AQ92="","",$AQ92*1000+92)</f>
        <v/>
      </c>
      <c r="AS92" s="31">
        <f>IF(AND($AL92=1,$AO92&gt;=2,$AP92&gt;=1,$AP92&lt;$AO92),1,0)</f>
        <v/>
      </c>
      <c r="AT92" s="31">
        <f>IF(AND($AL92=1,$AO92&gt;=2,$AP92=0),1,0)</f>
        <v/>
      </c>
      <c r="AU92" s="31">
        <f>IF(AND($AL92=1,$U92&lt;&gt;"",$U92&lt;TODAY()),1,0)</f>
        <v/>
      </c>
      <c r="AV92" s="31">
        <f>IF(OR($A92="",$AJ92="",Portfolio!$B$10=""),0,IF($AJ92&lt;=Portfolio!$B$10,0,IF(AND($D92="Completed",$Z92=1),1,IF(AND($D92="Terminated",$Z92=1),2,IF(AND($Q92=1,$Z92=0),3,0)))))</f>
        <v/>
      </c>
      <c r="AW92" s="31">
        <f>IF($AV92&gt;0,COUNTIF($AV$6:$AV92,"&gt;0"),"")</f>
        <v/>
      </c>
      <c r="AX92" s="31">
        <f>IF($AL92=0,"",IF(AND($B92="Project",$H92&lt;&gt;"",$H92&lt;TODAY()),"Planned finish "&amp;TEXT($H92,"d mmm")&amp;" has passed",IF($X92&gt;=2,(NETWORKDAYS($H92,$U92)-1)&amp;" working days past plan","")))</f>
        <v/>
      </c>
      <c r="AY92" s="31">
        <f>IF($AL92=0,"",IF($Y92&gt;=2,"Over budget by "&amp;TEXT(IF($B92="Program",$V92,$J92)-$K92,"#,##0"),""))</f>
        <v/>
      </c>
      <c r="AZ92" s="31">
        <f>IF(AND($AL92=1,$U92&lt;&gt;""),IF(AND(N($U92)&gt;=TODAY(),N($U92)&lt;=TODAY()+Board!$B$41),1,0),0)</f>
        <v/>
      </c>
    </row>
    <row r="93">
      <c r="A93" s="29" t="n"/>
      <c r="B93" s="29" t="n"/>
      <c r="C93" s="29" t="n"/>
      <c r="D93" s="29" t="n"/>
      <c r="E93" s="29" t="n"/>
      <c r="F93" s="29" t="n"/>
      <c r="G93" s="29" t="n"/>
      <c r="H93" s="30" t="n"/>
      <c r="I93" s="30" t="n"/>
      <c r="J93" s="19" t="n"/>
      <c r="K93" s="19" t="n"/>
      <c r="L93" s="26" t="n"/>
      <c r="M93" s="31">
        <f>IF($A93="","",IF($D93="","Not read",IF($Q93=0,"Not counted",IF(MAX($X93,$Y93)=3,"■ Red",IF(MAX($X93,$Y93)=2,"◧ Amber",IF(MAX($X93,$Y93)=1,"□ On track","Not read"))))))</f>
        <v/>
      </c>
      <c r="N93" s="31">
        <f>IF(OR($A93="",$B93&lt;&gt;"Program"),"","■ "&amp;COUNTIFS($C$6:$C$305,$A93,$M$6:$M$305,"■ Red")&amp;" Red, ◧ "&amp;COUNTIFS($C$6:$C$305,$A93,$M$6:$M$305,"◧ Amber")&amp;" Amber")</f>
        <v/>
      </c>
      <c r="O93" s="32">
        <f>IF(OR($A93="",$E93=""),"",COUNTIFS($E$6:$E$305,$E93,$D$6:$D$305,"Active")+COUNTIFS($E$6:$E$305,$E93,$D$6:$D$305,"Paused"))</f>
        <v/>
      </c>
      <c r="P93" s="31">
        <f>IF($A93="","",IF($AE93=0,"○ Clear",IF($AA93=1,"△ No owner",IF($AC93=1,"△ Check Sits under",IF($AC93=2,"△ Outside the portfolio",IF($AB93=1,"△ No sponsor","△ No variance note"))))&amp;IF($AE93&gt;1," (+"&amp;($AE93-1)&amp;" more)","")))</f>
        <v/>
      </c>
      <c r="Q93" s="31">
        <f>IF(AND($A93&lt;&gt;"",OR($D93="Active",$D93="Paused")),1,0)</f>
        <v/>
      </c>
      <c r="R93" s="31">
        <f>IFERROR(INDEX($A$6:$A$305,MATCH(86,$S$6:$S$305,0)),"")</f>
        <v/>
      </c>
      <c r="S93" s="31">
        <f>IF(AND($A93&lt;&gt;"",$B93="Program"),COUNTIFS($B$6:$B93,"Program",$A$6:$A93,"&lt;&gt;"),"")</f>
        <v/>
      </c>
      <c r="T93" s="33">
        <f>IF(AND($A93&lt;&gt;"",$B93="Program"),SUMPRODUCT(MAX(($C$6:$C$305=$A93)*($B$6:$B$305="Project")*($D$6:$D$305&lt;&gt;"Proposed")*$I$6:$I$305)),0)</f>
        <v/>
      </c>
      <c r="U93" s="33">
        <f>IF($I93&lt;&gt;"",$I93,IF($T93&gt;0,$T93,""))</f>
        <v/>
      </c>
      <c r="V93" s="31">
        <f>IF(AND($A93&lt;&gt;"",$B93="Program"),SUMIFS($J$6:$J$305,$C$6:$C$305,$A93,$B$6:$B$305,"Project",$D$6:$D$305,"&lt;&gt;Proposed"),0)</f>
        <v/>
      </c>
      <c r="W93" s="31">
        <f>IF(AND($A93&lt;&gt;"",$B93="Program"),COUNTIFS($C$6:$C$305,$A93,$B$6:$B$305,"Project",$D$6:$D$305,"&lt;&gt;Proposed")-COUNTIFS($C$6:$C$305,$A93,$B$6:$B$305,"Project",$D$6:$D$305,"&lt;&gt;Proposed",$J$6:$J$305,"&gt;=0"),0)</f>
        <v/>
      </c>
      <c r="X93" s="31">
        <f>IF(OR($Q93=0,$H93=""),0,IF(AND($B93="Project",$H93&lt;TODAY()),3,IF($U93="",0,IF($U93&lt;=$H93,1,IF(NETWORKDAYS($H93,$U93)-1&gt;IF($B93="Program",Portfolio!$B$16,Portfolio!$B$15),3,2)))))</f>
        <v/>
      </c>
      <c r="Y93" s="31">
        <f>IF(OR($Q93=0,$K93="",$K93=0),0,IF(AND($B93="Project",$J93=""),0,IF(IF($B93="Program",$V93,$J93)&gt;$K93*(1+Portfolio!$B$17),3,IF(IF($B93="Program",$V93,$J93)&gt;$K93,2,IF(AND($B93="Program",OR($W93&gt;0,$V93=0)),0,1)))))</f>
        <v/>
      </c>
      <c r="Z93" s="31">
        <f>IF($A93="",0,IF($C93="Portfolio",1,IF(AND($B93="Project",$C93&lt;&gt;"",$C93&lt;&gt;"Outside the portfolio"),IFERROR(IF(AND(INDEX($B$6:$B$305,MATCH($C93,$A$6:$A$305,0))="Program",INDEX($C$6:$C$305,MATCH($C93,$A$6:$A$305,0))="Portfolio"),1,0),0),0)))</f>
        <v/>
      </c>
      <c r="AA93" s="31">
        <f>IF(AND($A93&lt;&gt;"",$E93="",OR($Q93=1,$D93="Proposed")),1,0)</f>
        <v/>
      </c>
      <c r="AB93" s="31">
        <f>IF(AND($A93&lt;&gt;"",$B93="Program",$F93="",$Q93=1),1,0)</f>
        <v/>
      </c>
      <c r="AC93" s="31">
        <f>IF(OR($A93="",$D93="Completed",$D93="Terminated"),0,IF($C93="",1,IF($C93="Portfolio",0,IF($C93="Outside the portfolio",IF($Q93=1,2,0),IF($B93="Project",IF(IFERROR(INDEX($B$6:$B$305,MATCH($C93,$A$6:$A$305,0)),"")="Program",0,1),1)))))</f>
        <v/>
      </c>
      <c r="AD93" s="31">
        <f>IF(AND($A93&lt;&gt;"",OR($M93="■ Red",$M93="◧ Amber"),$L93=""),1,0)</f>
        <v/>
      </c>
      <c r="AE93" s="31">
        <f>$AA93+$AB93+IF($AC93&gt;0,1,0)+$AD93</f>
        <v/>
      </c>
      <c r="AJ93" s="14" t="n"/>
      <c r="AK93" s="29" t="n"/>
      <c r="AL93" s="31">
        <f>IF(AND($Q93=1,$Z93=1),1,0)</f>
        <v/>
      </c>
      <c r="AM93" s="31">
        <f>IF(AND($AL93=1,$AJ93&lt;&gt;""),MAX(0,TODAY()-$AJ93),"")</f>
        <v/>
      </c>
      <c r="AN93" s="31">
        <f>IF(OR($AL93=0,COUNT($AJ$6:$AJ$305)=0),0,IF($AJ93="",1,IF(TODAY()-$AJ93&gt;Board!$B$40,1,0)))</f>
        <v/>
      </c>
      <c r="AO93" s="31">
        <f>IF($AL93=0,0,IF($M93="■ Red",3,IF($M93="◧ Amber",2,IF($M93="□ On track",1,0))))</f>
        <v/>
      </c>
      <c r="AP93" s="31">
        <f>IF($AL93=0,0,IF($AK93="Will not hold",3,IF($AK93="At risk",2,IF($AK93="Will hold",1,0))))</f>
        <v/>
      </c>
      <c r="AQ93" s="31">
        <f>IF($AL93=0,"",IF($AO93=3,0,IF($AO93=2,1,IF(AND($AP93&gt;=2,$AP93&gt;$AO93),2,""))))</f>
        <v/>
      </c>
      <c r="AR93" s="31">
        <f>IF($AQ93="","",$AQ93*1000+93)</f>
        <v/>
      </c>
      <c r="AS93" s="31">
        <f>IF(AND($AL93=1,$AO93&gt;=2,$AP93&gt;=1,$AP93&lt;$AO93),1,0)</f>
        <v/>
      </c>
      <c r="AT93" s="31">
        <f>IF(AND($AL93=1,$AO93&gt;=2,$AP93=0),1,0)</f>
        <v/>
      </c>
      <c r="AU93" s="31">
        <f>IF(AND($AL93=1,$U93&lt;&gt;"",$U93&lt;TODAY()),1,0)</f>
        <v/>
      </c>
      <c r="AV93" s="31">
        <f>IF(OR($A93="",$AJ93="",Portfolio!$B$10=""),0,IF($AJ93&lt;=Portfolio!$B$10,0,IF(AND($D93="Completed",$Z93=1),1,IF(AND($D93="Terminated",$Z93=1),2,IF(AND($Q93=1,$Z93=0),3,0)))))</f>
        <v/>
      </c>
      <c r="AW93" s="31">
        <f>IF($AV93&gt;0,COUNTIF($AV$6:$AV93,"&gt;0"),"")</f>
        <v/>
      </c>
      <c r="AX93" s="31">
        <f>IF($AL93=0,"",IF(AND($B93="Project",$H93&lt;&gt;"",$H93&lt;TODAY()),"Planned finish "&amp;TEXT($H93,"d mmm")&amp;" has passed",IF($X93&gt;=2,(NETWORKDAYS($H93,$U93)-1)&amp;" working days past plan","")))</f>
        <v/>
      </c>
      <c r="AY93" s="31">
        <f>IF($AL93=0,"",IF($Y93&gt;=2,"Over budget by "&amp;TEXT(IF($B93="Program",$V93,$J93)-$K93,"#,##0"),""))</f>
        <v/>
      </c>
      <c r="AZ93" s="31">
        <f>IF(AND($AL93=1,$U93&lt;&gt;""),IF(AND(N($U93)&gt;=TODAY(),N($U93)&lt;=TODAY()+Board!$B$41),1,0),0)</f>
        <v/>
      </c>
    </row>
    <row r="94">
      <c r="A94" s="29" t="n"/>
      <c r="B94" s="29" t="n"/>
      <c r="C94" s="29" t="n"/>
      <c r="D94" s="29" t="n"/>
      <c r="E94" s="29" t="n"/>
      <c r="F94" s="29" t="n"/>
      <c r="G94" s="29" t="n"/>
      <c r="H94" s="30" t="n"/>
      <c r="I94" s="30" t="n"/>
      <c r="J94" s="19" t="n"/>
      <c r="K94" s="19" t="n"/>
      <c r="L94" s="26" t="n"/>
      <c r="M94" s="31">
        <f>IF($A94="","",IF($D94="","Not read",IF($Q94=0,"Not counted",IF(MAX($X94,$Y94)=3,"■ Red",IF(MAX($X94,$Y94)=2,"◧ Amber",IF(MAX($X94,$Y94)=1,"□ On track","Not read"))))))</f>
        <v/>
      </c>
      <c r="N94" s="31">
        <f>IF(OR($A94="",$B94&lt;&gt;"Program"),"","■ "&amp;COUNTIFS($C$6:$C$305,$A94,$M$6:$M$305,"■ Red")&amp;" Red, ◧ "&amp;COUNTIFS($C$6:$C$305,$A94,$M$6:$M$305,"◧ Amber")&amp;" Amber")</f>
        <v/>
      </c>
      <c r="O94" s="32">
        <f>IF(OR($A94="",$E94=""),"",COUNTIFS($E$6:$E$305,$E94,$D$6:$D$305,"Active")+COUNTIFS($E$6:$E$305,$E94,$D$6:$D$305,"Paused"))</f>
        <v/>
      </c>
      <c r="P94" s="31">
        <f>IF($A94="","",IF($AE94=0,"○ Clear",IF($AA94=1,"△ No owner",IF($AC94=1,"△ Check Sits under",IF($AC94=2,"△ Outside the portfolio",IF($AB94=1,"△ No sponsor","△ No variance note"))))&amp;IF($AE94&gt;1," (+"&amp;($AE94-1)&amp;" more)","")))</f>
        <v/>
      </c>
      <c r="Q94" s="31">
        <f>IF(AND($A94&lt;&gt;"",OR($D94="Active",$D94="Paused")),1,0)</f>
        <v/>
      </c>
      <c r="R94" s="31">
        <f>IFERROR(INDEX($A$6:$A$305,MATCH(87,$S$6:$S$305,0)),"")</f>
        <v/>
      </c>
      <c r="S94" s="31">
        <f>IF(AND($A94&lt;&gt;"",$B94="Program"),COUNTIFS($B$6:$B94,"Program",$A$6:$A94,"&lt;&gt;"),"")</f>
        <v/>
      </c>
      <c r="T94" s="33">
        <f>IF(AND($A94&lt;&gt;"",$B94="Program"),SUMPRODUCT(MAX(($C$6:$C$305=$A94)*($B$6:$B$305="Project")*($D$6:$D$305&lt;&gt;"Proposed")*$I$6:$I$305)),0)</f>
        <v/>
      </c>
      <c r="U94" s="33">
        <f>IF($I94&lt;&gt;"",$I94,IF($T94&gt;0,$T94,""))</f>
        <v/>
      </c>
      <c r="V94" s="31">
        <f>IF(AND($A94&lt;&gt;"",$B94="Program"),SUMIFS($J$6:$J$305,$C$6:$C$305,$A94,$B$6:$B$305,"Project",$D$6:$D$305,"&lt;&gt;Proposed"),0)</f>
        <v/>
      </c>
      <c r="W94" s="31">
        <f>IF(AND($A94&lt;&gt;"",$B94="Program"),COUNTIFS($C$6:$C$305,$A94,$B$6:$B$305,"Project",$D$6:$D$305,"&lt;&gt;Proposed")-COUNTIFS($C$6:$C$305,$A94,$B$6:$B$305,"Project",$D$6:$D$305,"&lt;&gt;Proposed",$J$6:$J$305,"&gt;=0"),0)</f>
        <v/>
      </c>
      <c r="X94" s="31">
        <f>IF(OR($Q94=0,$H94=""),0,IF(AND($B94="Project",$H94&lt;TODAY()),3,IF($U94="",0,IF($U94&lt;=$H94,1,IF(NETWORKDAYS($H94,$U94)-1&gt;IF($B94="Program",Portfolio!$B$16,Portfolio!$B$15),3,2)))))</f>
        <v/>
      </c>
      <c r="Y94" s="31">
        <f>IF(OR($Q94=0,$K94="",$K94=0),0,IF(AND($B94="Project",$J94=""),0,IF(IF($B94="Program",$V94,$J94)&gt;$K94*(1+Portfolio!$B$17),3,IF(IF($B94="Program",$V94,$J94)&gt;$K94,2,IF(AND($B94="Program",OR($W94&gt;0,$V94=0)),0,1)))))</f>
        <v/>
      </c>
      <c r="Z94" s="31">
        <f>IF($A94="",0,IF($C94="Portfolio",1,IF(AND($B94="Project",$C94&lt;&gt;"",$C94&lt;&gt;"Outside the portfolio"),IFERROR(IF(AND(INDEX($B$6:$B$305,MATCH($C94,$A$6:$A$305,0))="Program",INDEX($C$6:$C$305,MATCH($C94,$A$6:$A$305,0))="Portfolio"),1,0),0),0)))</f>
        <v/>
      </c>
      <c r="AA94" s="31">
        <f>IF(AND($A94&lt;&gt;"",$E94="",OR($Q94=1,$D94="Proposed")),1,0)</f>
        <v/>
      </c>
      <c r="AB94" s="31">
        <f>IF(AND($A94&lt;&gt;"",$B94="Program",$F94="",$Q94=1),1,0)</f>
        <v/>
      </c>
      <c r="AC94" s="31">
        <f>IF(OR($A94="",$D94="Completed",$D94="Terminated"),0,IF($C94="",1,IF($C94="Portfolio",0,IF($C94="Outside the portfolio",IF($Q94=1,2,0),IF($B94="Project",IF(IFERROR(INDEX($B$6:$B$305,MATCH($C94,$A$6:$A$305,0)),"")="Program",0,1),1)))))</f>
        <v/>
      </c>
      <c r="AD94" s="31">
        <f>IF(AND($A94&lt;&gt;"",OR($M94="■ Red",$M94="◧ Amber"),$L94=""),1,0)</f>
        <v/>
      </c>
      <c r="AE94" s="31">
        <f>$AA94+$AB94+IF($AC94&gt;0,1,0)+$AD94</f>
        <v/>
      </c>
      <c r="AJ94" s="14" t="n"/>
      <c r="AK94" s="29" t="n"/>
      <c r="AL94" s="31">
        <f>IF(AND($Q94=1,$Z94=1),1,0)</f>
        <v/>
      </c>
      <c r="AM94" s="31">
        <f>IF(AND($AL94=1,$AJ94&lt;&gt;""),MAX(0,TODAY()-$AJ94),"")</f>
        <v/>
      </c>
      <c r="AN94" s="31">
        <f>IF(OR($AL94=0,COUNT($AJ$6:$AJ$305)=0),0,IF($AJ94="",1,IF(TODAY()-$AJ94&gt;Board!$B$40,1,0)))</f>
        <v/>
      </c>
      <c r="AO94" s="31">
        <f>IF($AL94=0,0,IF($M94="■ Red",3,IF($M94="◧ Amber",2,IF($M94="□ On track",1,0))))</f>
        <v/>
      </c>
      <c r="AP94" s="31">
        <f>IF($AL94=0,0,IF($AK94="Will not hold",3,IF($AK94="At risk",2,IF($AK94="Will hold",1,0))))</f>
        <v/>
      </c>
      <c r="AQ94" s="31">
        <f>IF($AL94=0,"",IF($AO94=3,0,IF($AO94=2,1,IF(AND($AP94&gt;=2,$AP94&gt;$AO94),2,""))))</f>
        <v/>
      </c>
      <c r="AR94" s="31">
        <f>IF($AQ94="","",$AQ94*1000+94)</f>
        <v/>
      </c>
      <c r="AS94" s="31">
        <f>IF(AND($AL94=1,$AO94&gt;=2,$AP94&gt;=1,$AP94&lt;$AO94),1,0)</f>
        <v/>
      </c>
      <c r="AT94" s="31">
        <f>IF(AND($AL94=1,$AO94&gt;=2,$AP94=0),1,0)</f>
        <v/>
      </c>
      <c r="AU94" s="31">
        <f>IF(AND($AL94=1,$U94&lt;&gt;"",$U94&lt;TODAY()),1,0)</f>
        <v/>
      </c>
      <c r="AV94" s="31">
        <f>IF(OR($A94="",$AJ94="",Portfolio!$B$10=""),0,IF($AJ94&lt;=Portfolio!$B$10,0,IF(AND($D94="Completed",$Z94=1),1,IF(AND($D94="Terminated",$Z94=1),2,IF(AND($Q94=1,$Z94=0),3,0)))))</f>
        <v/>
      </c>
      <c r="AW94" s="31">
        <f>IF($AV94&gt;0,COUNTIF($AV$6:$AV94,"&gt;0"),"")</f>
        <v/>
      </c>
      <c r="AX94" s="31">
        <f>IF($AL94=0,"",IF(AND($B94="Project",$H94&lt;&gt;"",$H94&lt;TODAY()),"Planned finish "&amp;TEXT($H94,"d mmm")&amp;" has passed",IF($X94&gt;=2,(NETWORKDAYS($H94,$U94)-1)&amp;" working days past plan","")))</f>
        <v/>
      </c>
      <c r="AY94" s="31">
        <f>IF($AL94=0,"",IF($Y94&gt;=2,"Over budget by "&amp;TEXT(IF($B94="Program",$V94,$J94)-$K94,"#,##0"),""))</f>
        <v/>
      </c>
      <c r="AZ94" s="31">
        <f>IF(AND($AL94=1,$U94&lt;&gt;""),IF(AND(N($U94)&gt;=TODAY(),N($U94)&lt;=TODAY()+Board!$B$41),1,0),0)</f>
        <v/>
      </c>
    </row>
    <row r="95">
      <c r="A95" s="29" t="n"/>
      <c r="B95" s="29" t="n"/>
      <c r="C95" s="29" t="n"/>
      <c r="D95" s="29" t="n"/>
      <c r="E95" s="29" t="n"/>
      <c r="F95" s="29" t="n"/>
      <c r="G95" s="29" t="n"/>
      <c r="H95" s="30" t="n"/>
      <c r="I95" s="30" t="n"/>
      <c r="J95" s="19" t="n"/>
      <c r="K95" s="19" t="n"/>
      <c r="L95" s="26" t="n"/>
      <c r="M95" s="31">
        <f>IF($A95="","",IF($D95="","Not read",IF($Q95=0,"Not counted",IF(MAX($X95,$Y95)=3,"■ Red",IF(MAX($X95,$Y95)=2,"◧ Amber",IF(MAX($X95,$Y95)=1,"□ On track","Not read"))))))</f>
        <v/>
      </c>
      <c r="N95" s="31">
        <f>IF(OR($A95="",$B95&lt;&gt;"Program"),"","■ "&amp;COUNTIFS($C$6:$C$305,$A95,$M$6:$M$305,"■ Red")&amp;" Red, ◧ "&amp;COUNTIFS($C$6:$C$305,$A95,$M$6:$M$305,"◧ Amber")&amp;" Amber")</f>
        <v/>
      </c>
      <c r="O95" s="32">
        <f>IF(OR($A95="",$E95=""),"",COUNTIFS($E$6:$E$305,$E95,$D$6:$D$305,"Active")+COUNTIFS($E$6:$E$305,$E95,$D$6:$D$305,"Paused"))</f>
        <v/>
      </c>
      <c r="P95" s="31">
        <f>IF($A95="","",IF($AE95=0,"○ Clear",IF($AA95=1,"△ No owner",IF($AC95=1,"△ Check Sits under",IF($AC95=2,"△ Outside the portfolio",IF($AB95=1,"△ No sponsor","△ No variance note"))))&amp;IF($AE95&gt;1," (+"&amp;($AE95-1)&amp;" more)","")))</f>
        <v/>
      </c>
      <c r="Q95" s="31">
        <f>IF(AND($A95&lt;&gt;"",OR($D95="Active",$D95="Paused")),1,0)</f>
        <v/>
      </c>
      <c r="R95" s="31">
        <f>IFERROR(INDEX($A$6:$A$305,MATCH(88,$S$6:$S$305,0)),"")</f>
        <v/>
      </c>
      <c r="S95" s="31">
        <f>IF(AND($A95&lt;&gt;"",$B95="Program"),COUNTIFS($B$6:$B95,"Program",$A$6:$A95,"&lt;&gt;"),"")</f>
        <v/>
      </c>
      <c r="T95" s="33">
        <f>IF(AND($A95&lt;&gt;"",$B95="Program"),SUMPRODUCT(MAX(($C$6:$C$305=$A95)*($B$6:$B$305="Project")*($D$6:$D$305&lt;&gt;"Proposed")*$I$6:$I$305)),0)</f>
        <v/>
      </c>
      <c r="U95" s="33">
        <f>IF($I95&lt;&gt;"",$I95,IF($T95&gt;0,$T95,""))</f>
        <v/>
      </c>
      <c r="V95" s="31">
        <f>IF(AND($A95&lt;&gt;"",$B95="Program"),SUMIFS($J$6:$J$305,$C$6:$C$305,$A95,$B$6:$B$305,"Project",$D$6:$D$305,"&lt;&gt;Proposed"),0)</f>
        <v/>
      </c>
      <c r="W95" s="31">
        <f>IF(AND($A95&lt;&gt;"",$B95="Program"),COUNTIFS($C$6:$C$305,$A95,$B$6:$B$305,"Project",$D$6:$D$305,"&lt;&gt;Proposed")-COUNTIFS($C$6:$C$305,$A95,$B$6:$B$305,"Project",$D$6:$D$305,"&lt;&gt;Proposed",$J$6:$J$305,"&gt;=0"),0)</f>
        <v/>
      </c>
      <c r="X95" s="31">
        <f>IF(OR($Q95=0,$H95=""),0,IF(AND($B95="Project",$H95&lt;TODAY()),3,IF($U95="",0,IF($U95&lt;=$H95,1,IF(NETWORKDAYS($H95,$U95)-1&gt;IF($B95="Program",Portfolio!$B$16,Portfolio!$B$15),3,2)))))</f>
        <v/>
      </c>
      <c r="Y95" s="31">
        <f>IF(OR($Q95=0,$K95="",$K95=0),0,IF(AND($B95="Project",$J95=""),0,IF(IF($B95="Program",$V95,$J95)&gt;$K95*(1+Portfolio!$B$17),3,IF(IF($B95="Program",$V95,$J95)&gt;$K95,2,IF(AND($B95="Program",OR($W95&gt;0,$V95=0)),0,1)))))</f>
        <v/>
      </c>
      <c r="Z95" s="31">
        <f>IF($A95="",0,IF($C95="Portfolio",1,IF(AND($B95="Project",$C95&lt;&gt;"",$C95&lt;&gt;"Outside the portfolio"),IFERROR(IF(AND(INDEX($B$6:$B$305,MATCH($C95,$A$6:$A$305,0))="Program",INDEX($C$6:$C$305,MATCH($C95,$A$6:$A$305,0))="Portfolio"),1,0),0),0)))</f>
        <v/>
      </c>
      <c r="AA95" s="31">
        <f>IF(AND($A95&lt;&gt;"",$E95="",OR($Q95=1,$D95="Proposed")),1,0)</f>
        <v/>
      </c>
      <c r="AB95" s="31">
        <f>IF(AND($A95&lt;&gt;"",$B95="Program",$F95="",$Q95=1),1,0)</f>
        <v/>
      </c>
      <c r="AC95" s="31">
        <f>IF(OR($A95="",$D95="Completed",$D95="Terminated"),0,IF($C95="",1,IF($C95="Portfolio",0,IF($C95="Outside the portfolio",IF($Q95=1,2,0),IF($B95="Project",IF(IFERROR(INDEX($B$6:$B$305,MATCH($C95,$A$6:$A$305,0)),"")="Program",0,1),1)))))</f>
        <v/>
      </c>
      <c r="AD95" s="31">
        <f>IF(AND($A95&lt;&gt;"",OR($M95="■ Red",$M95="◧ Amber"),$L95=""),1,0)</f>
        <v/>
      </c>
      <c r="AE95" s="31">
        <f>$AA95+$AB95+IF($AC95&gt;0,1,0)+$AD95</f>
        <v/>
      </c>
      <c r="AJ95" s="14" t="n"/>
      <c r="AK95" s="29" t="n"/>
      <c r="AL95" s="31">
        <f>IF(AND($Q95=1,$Z95=1),1,0)</f>
        <v/>
      </c>
      <c r="AM95" s="31">
        <f>IF(AND($AL95=1,$AJ95&lt;&gt;""),MAX(0,TODAY()-$AJ95),"")</f>
        <v/>
      </c>
      <c r="AN95" s="31">
        <f>IF(OR($AL95=0,COUNT($AJ$6:$AJ$305)=0),0,IF($AJ95="",1,IF(TODAY()-$AJ95&gt;Board!$B$40,1,0)))</f>
        <v/>
      </c>
      <c r="AO95" s="31">
        <f>IF($AL95=0,0,IF($M95="■ Red",3,IF($M95="◧ Amber",2,IF($M95="□ On track",1,0))))</f>
        <v/>
      </c>
      <c r="AP95" s="31">
        <f>IF($AL95=0,0,IF($AK95="Will not hold",3,IF($AK95="At risk",2,IF($AK95="Will hold",1,0))))</f>
        <v/>
      </c>
      <c r="AQ95" s="31">
        <f>IF($AL95=0,"",IF($AO95=3,0,IF($AO95=2,1,IF(AND($AP95&gt;=2,$AP95&gt;$AO95),2,""))))</f>
        <v/>
      </c>
      <c r="AR95" s="31">
        <f>IF($AQ95="","",$AQ95*1000+95)</f>
        <v/>
      </c>
      <c r="AS95" s="31">
        <f>IF(AND($AL95=1,$AO95&gt;=2,$AP95&gt;=1,$AP95&lt;$AO95),1,0)</f>
        <v/>
      </c>
      <c r="AT95" s="31">
        <f>IF(AND($AL95=1,$AO95&gt;=2,$AP95=0),1,0)</f>
        <v/>
      </c>
      <c r="AU95" s="31">
        <f>IF(AND($AL95=1,$U95&lt;&gt;"",$U95&lt;TODAY()),1,0)</f>
        <v/>
      </c>
      <c r="AV95" s="31">
        <f>IF(OR($A95="",$AJ95="",Portfolio!$B$10=""),0,IF($AJ95&lt;=Portfolio!$B$10,0,IF(AND($D95="Completed",$Z95=1),1,IF(AND($D95="Terminated",$Z95=1),2,IF(AND($Q95=1,$Z95=0),3,0)))))</f>
        <v/>
      </c>
      <c r="AW95" s="31">
        <f>IF($AV95&gt;0,COUNTIF($AV$6:$AV95,"&gt;0"),"")</f>
        <v/>
      </c>
      <c r="AX95" s="31">
        <f>IF($AL95=0,"",IF(AND($B95="Project",$H95&lt;&gt;"",$H95&lt;TODAY()),"Planned finish "&amp;TEXT($H95,"d mmm")&amp;" has passed",IF($X95&gt;=2,(NETWORKDAYS($H95,$U95)-1)&amp;" working days past plan","")))</f>
        <v/>
      </c>
      <c r="AY95" s="31">
        <f>IF($AL95=0,"",IF($Y95&gt;=2,"Over budget by "&amp;TEXT(IF($B95="Program",$V95,$J95)-$K95,"#,##0"),""))</f>
        <v/>
      </c>
      <c r="AZ95" s="31">
        <f>IF(AND($AL95=1,$U95&lt;&gt;""),IF(AND(N($U95)&gt;=TODAY(),N($U95)&lt;=TODAY()+Board!$B$41),1,0),0)</f>
        <v/>
      </c>
    </row>
    <row r="96">
      <c r="A96" s="29" t="n"/>
      <c r="B96" s="29" t="n"/>
      <c r="C96" s="29" t="n"/>
      <c r="D96" s="29" t="n"/>
      <c r="E96" s="29" t="n"/>
      <c r="F96" s="29" t="n"/>
      <c r="G96" s="29" t="n"/>
      <c r="H96" s="30" t="n"/>
      <c r="I96" s="30" t="n"/>
      <c r="J96" s="19" t="n"/>
      <c r="K96" s="19" t="n"/>
      <c r="L96" s="26" t="n"/>
      <c r="M96" s="31">
        <f>IF($A96="","",IF($D96="","Not read",IF($Q96=0,"Not counted",IF(MAX($X96,$Y96)=3,"■ Red",IF(MAX($X96,$Y96)=2,"◧ Amber",IF(MAX($X96,$Y96)=1,"□ On track","Not read"))))))</f>
        <v/>
      </c>
      <c r="N96" s="31">
        <f>IF(OR($A96="",$B96&lt;&gt;"Program"),"","■ "&amp;COUNTIFS($C$6:$C$305,$A96,$M$6:$M$305,"■ Red")&amp;" Red, ◧ "&amp;COUNTIFS($C$6:$C$305,$A96,$M$6:$M$305,"◧ Amber")&amp;" Amber")</f>
        <v/>
      </c>
      <c r="O96" s="32">
        <f>IF(OR($A96="",$E96=""),"",COUNTIFS($E$6:$E$305,$E96,$D$6:$D$305,"Active")+COUNTIFS($E$6:$E$305,$E96,$D$6:$D$305,"Paused"))</f>
        <v/>
      </c>
      <c r="P96" s="31">
        <f>IF($A96="","",IF($AE96=0,"○ Clear",IF($AA96=1,"△ No owner",IF($AC96=1,"△ Check Sits under",IF($AC96=2,"△ Outside the portfolio",IF($AB96=1,"△ No sponsor","△ No variance note"))))&amp;IF($AE96&gt;1," (+"&amp;($AE96-1)&amp;" more)","")))</f>
        <v/>
      </c>
      <c r="Q96" s="31">
        <f>IF(AND($A96&lt;&gt;"",OR($D96="Active",$D96="Paused")),1,0)</f>
        <v/>
      </c>
      <c r="R96" s="31">
        <f>IFERROR(INDEX($A$6:$A$305,MATCH(89,$S$6:$S$305,0)),"")</f>
        <v/>
      </c>
      <c r="S96" s="31">
        <f>IF(AND($A96&lt;&gt;"",$B96="Program"),COUNTIFS($B$6:$B96,"Program",$A$6:$A96,"&lt;&gt;"),"")</f>
        <v/>
      </c>
      <c r="T96" s="33">
        <f>IF(AND($A96&lt;&gt;"",$B96="Program"),SUMPRODUCT(MAX(($C$6:$C$305=$A96)*($B$6:$B$305="Project")*($D$6:$D$305&lt;&gt;"Proposed")*$I$6:$I$305)),0)</f>
        <v/>
      </c>
      <c r="U96" s="33">
        <f>IF($I96&lt;&gt;"",$I96,IF($T96&gt;0,$T96,""))</f>
        <v/>
      </c>
      <c r="V96" s="31">
        <f>IF(AND($A96&lt;&gt;"",$B96="Program"),SUMIFS($J$6:$J$305,$C$6:$C$305,$A96,$B$6:$B$305,"Project",$D$6:$D$305,"&lt;&gt;Proposed"),0)</f>
        <v/>
      </c>
      <c r="W96" s="31">
        <f>IF(AND($A96&lt;&gt;"",$B96="Program"),COUNTIFS($C$6:$C$305,$A96,$B$6:$B$305,"Project",$D$6:$D$305,"&lt;&gt;Proposed")-COUNTIFS($C$6:$C$305,$A96,$B$6:$B$305,"Project",$D$6:$D$305,"&lt;&gt;Proposed",$J$6:$J$305,"&gt;=0"),0)</f>
        <v/>
      </c>
      <c r="X96" s="31">
        <f>IF(OR($Q96=0,$H96=""),0,IF(AND($B96="Project",$H96&lt;TODAY()),3,IF($U96="",0,IF($U96&lt;=$H96,1,IF(NETWORKDAYS($H96,$U96)-1&gt;IF($B96="Program",Portfolio!$B$16,Portfolio!$B$15),3,2)))))</f>
        <v/>
      </c>
      <c r="Y96" s="31">
        <f>IF(OR($Q96=0,$K96="",$K96=0),0,IF(AND($B96="Project",$J96=""),0,IF(IF($B96="Program",$V96,$J96)&gt;$K96*(1+Portfolio!$B$17),3,IF(IF($B96="Program",$V96,$J96)&gt;$K96,2,IF(AND($B96="Program",OR($W96&gt;0,$V96=0)),0,1)))))</f>
        <v/>
      </c>
      <c r="Z96" s="31">
        <f>IF($A96="",0,IF($C96="Portfolio",1,IF(AND($B96="Project",$C96&lt;&gt;"",$C96&lt;&gt;"Outside the portfolio"),IFERROR(IF(AND(INDEX($B$6:$B$305,MATCH($C96,$A$6:$A$305,0))="Program",INDEX($C$6:$C$305,MATCH($C96,$A$6:$A$305,0))="Portfolio"),1,0),0),0)))</f>
        <v/>
      </c>
      <c r="AA96" s="31">
        <f>IF(AND($A96&lt;&gt;"",$E96="",OR($Q96=1,$D96="Proposed")),1,0)</f>
        <v/>
      </c>
      <c r="AB96" s="31">
        <f>IF(AND($A96&lt;&gt;"",$B96="Program",$F96="",$Q96=1),1,0)</f>
        <v/>
      </c>
      <c r="AC96" s="31">
        <f>IF(OR($A96="",$D96="Completed",$D96="Terminated"),0,IF($C96="",1,IF($C96="Portfolio",0,IF($C96="Outside the portfolio",IF($Q96=1,2,0),IF($B96="Project",IF(IFERROR(INDEX($B$6:$B$305,MATCH($C96,$A$6:$A$305,0)),"")="Program",0,1),1)))))</f>
        <v/>
      </c>
      <c r="AD96" s="31">
        <f>IF(AND($A96&lt;&gt;"",OR($M96="■ Red",$M96="◧ Amber"),$L96=""),1,0)</f>
        <v/>
      </c>
      <c r="AE96" s="31">
        <f>$AA96+$AB96+IF($AC96&gt;0,1,0)+$AD96</f>
        <v/>
      </c>
      <c r="AJ96" s="14" t="n"/>
      <c r="AK96" s="29" t="n"/>
      <c r="AL96" s="31">
        <f>IF(AND($Q96=1,$Z96=1),1,0)</f>
        <v/>
      </c>
      <c r="AM96" s="31">
        <f>IF(AND($AL96=1,$AJ96&lt;&gt;""),MAX(0,TODAY()-$AJ96),"")</f>
        <v/>
      </c>
      <c r="AN96" s="31">
        <f>IF(OR($AL96=0,COUNT($AJ$6:$AJ$305)=0),0,IF($AJ96="",1,IF(TODAY()-$AJ96&gt;Board!$B$40,1,0)))</f>
        <v/>
      </c>
      <c r="AO96" s="31">
        <f>IF($AL96=0,0,IF($M96="■ Red",3,IF($M96="◧ Amber",2,IF($M96="□ On track",1,0))))</f>
        <v/>
      </c>
      <c r="AP96" s="31">
        <f>IF($AL96=0,0,IF($AK96="Will not hold",3,IF($AK96="At risk",2,IF($AK96="Will hold",1,0))))</f>
        <v/>
      </c>
      <c r="AQ96" s="31">
        <f>IF($AL96=0,"",IF($AO96=3,0,IF($AO96=2,1,IF(AND($AP96&gt;=2,$AP96&gt;$AO96),2,""))))</f>
        <v/>
      </c>
      <c r="AR96" s="31">
        <f>IF($AQ96="","",$AQ96*1000+96)</f>
        <v/>
      </c>
      <c r="AS96" s="31">
        <f>IF(AND($AL96=1,$AO96&gt;=2,$AP96&gt;=1,$AP96&lt;$AO96),1,0)</f>
        <v/>
      </c>
      <c r="AT96" s="31">
        <f>IF(AND($AL96=1,$AO96&gt;=2,$AP96=0),1,0)</f>
        <v/>
      </c>
      <c r="AU96" s="31">
        <f>IF(AND($AL96=1,$U96&lt;&gt;"",$U96&lt;TODAY()),1,0)</f>
        <v/>
      </c>
      <c r="AV96" s="31">
        <f>IF(OR($A96="",$AJ96="",Portfolio!$B$10=""),0,IF($AJ96&lt;=Portfolio!$B$10,0,IF(AND($D96="Completed",$Z96=1),1,IF(AND($D96="Terminated",$Z96=1),2,IF(AND($Q96=1,$Z96=0),3,0)))))</f>
        <v/>
      </c>
      <c r="AW96" s="31">
        <f>IF($AV96&gt;0,COUNTIF($AV$6:$AV96,"&gt;0"),"")</f>
        <v/>
      </c>
      <c r="AX96" s="31">
        <f>IF($AL96=0,"",IF(AND($B96="Project",$H96&lt;&gt;"",$H96&lt;TODAY()),"Planned finish "&amp;TEXT($H96,"d mmm")&amp;" has passed",IF($X96&gt;=2,(NETWORKDAYS($H96,$U96)-1)&amp;" working days past plan","")))</f>
        <v/>
      </c>
      <c r="AY96" s="31">
        <f>IF($AL96=0,"",IF($Y96&gt;=2,"Over budget by "&amp;TEXT(IF($B96="Program",$V96,$J96)-$K96,"#,##0"),""))</f>
        <v/>
      </c>
      <c r="AZ96" s="31">
        <f>IF(AND($AL96=1,$U96&lt;&gt;""),IF(AND(N($U96)&gt;=TODAY(),N($U96)&lt;=TODAY()+Board!$B$41),1,0),0)</f>
        <v/>
      </c>
    </row>
    <row r="97">
      <c r="A97" s="29" t="n"/>
      <c r="B97" s="29" t="n"/>
      <c r="C97" s="29" t="n"/>
      <c r="D97" s="29" t="n"/>
      <c r="E97" s="29" t="n"/>
      <c r="F97" s="29" t="n"/>
      <c r="G97" s="29" t="n"/>
      <c r="H97" s="30" t="n"/>
      <c r="I97" s="30" t="n"/>
      <c r="J97" s="19" t="n"/>
      <c r="K97" s="19" t="n"/>
      <c r="L97" s="26" t="n"/>
      <c r="M97" s="31">
        <f>IF($A97="","",IF($D97="","Not read",IF($Q97=0,"Not counted",IF(MAX($X97,$Y97)=3,"■ Red",IF(MAX($X97,$Y97)=2,"◧ Amber",IF(MAX($X97,$Y97)=1,"□ On track","Not read"))))))</f>
        <v/>
      </c>
      <c r="N97" s="31">
        <f>IF(OR($A97="",$B97&lt;&gt;"Program"),"","■ "&amp;COUNTIFS($C$6:$C$305,$A97,$M$6:$M$305,"■ Red")&amp;" Red, ◧ "&amp;COUNTIFS($C$6:$C$305,$A97,$M$6:$M$305,"◧ Amber")&amp;" Amber")</f>
        <v/>
      </c>
      <c r="O97" s="32">
        <f>IF(OR($A97="",$E97=""),"",COUNTIFS($E$6:$E$305,$E97,$D$6:$D$305,"Active")+COUNTIFS($E$6:$E$305,$E97,$D$6:$D$305,"Paused"))</f>
        <v/>
      </c>
      <c r="P97" s="31">
        <f>IF($A97="","",IF($AE97=0,"○ Clear",IF($AA97=1,"△ No owner",IF($AC97=1,"△ Check Sits under",IF($AC97=2,"△ Outside the portfolio",IF($AB97=1,"△ No sponsor","△ No variance note"))))&amp;IF($AE97&gt;1," (+"&amp;($AE97-1)&amp;" more)","")))</f>
        <v/>
      </c>
      <c r="Q97" s="31">
        <f>IF(AND($A97&lt;&gt;"",OR($D97="Active",$D97="Paused")),1,0)</f>
        <v/>
      </c>
      <c r="R97" s="31">
        <f>IFERROR(INDEX($A$6:$A$305,MATCH(90,$S$6:$S$305,0)),"")</f>
        <v/>
      </c>
      <c r="S97" s="31">
        <f>IF(AND($A97&lt;&gt;"",$B97="Program"),COUNTIFS($B$6:$B97,"Program",$A$6:$A97,"&lt;&gt;"),"")</f>
        <v/>
      </c>
      <c r="T97" s="33">
        <f>IF(AND($A97&lt;&gt;"",$B97="Program"),SUMPRODUCT(MAX(($C$6:$C$305=$A97)*($B$6:$B$305="Project")*($D$6:$D$305&lt;&gt;"Proposed")*$I$6:$I$305)),0)</f>
        <v/>
      </c>
      <c r="U97" s="33">
        <f>IF($I97&lt;&gt;"",$I97,IF($T97&gt;0,$T97,""))</f>
        <v/>
      </c>
      <c r="V97" s="31">
        <f>IF(AND($A97&lt;&gt;"",$B97="Program"),SUMIFS($J$6:$J$305,$C$6:$C$305,$A97,$B$6:$B$305,"Project",$D$6:$D$305,"&lt;&gt;Proposed"),0)</f>
        <v/>
      </c>
      <c r="W97" s="31">
        <f>IF(AND($A97&lt;&gt;"",$B97="Program"),COUNTIFS($C$6:$C$305,$A97,$B$6:$B$305,"Project",$D$6:$D$305,"&lt;&gt;Proposed")-COUNTIFS($C$6:$C$305,$A97,$B$6:$B$305,"Project",$D$6:$D$305,"&lt;&gt;Proposed",$J$6:$J$305,"&gt;=0"),0)</f>
        <v/>
      </c>
      <c r="X97" s="31">
        <f>IF(OR($Q97=0,$H97=""),0,IF(AND($B97="Project",$H97&lt;TODAY()),3,IF($U97="",0,IF($U97&lt;=$H97,1,IF(NETWORKDAYS($H97,$U97)-1&gt;IF($B97="Program",Portfolio!$B$16,Portfolio!$B$15),3,2)))))</f>
        <v/>
      </c>
      <c r="Y97" s="31">
        <f>IF(OR($Q97=0,$K97="",$K97=0),0,IF(AND($B97="Project",$J97=""),0,IF(IF($B97="Program",$V97,$J97)&gt;$K97*(1+Portfolio!$B$17),3,IF(IF($B97="Program",$V97,$J97)&gt;$K97,2,IF(AND($B97="Program",OR($W97&gt;0,$V97=0)),0,1)))))</f>
        <v/>
      </c>
      <c r="Z97" s="31">
        <f>IF($A97="",0,IF($C97="Portfolio",1,IF(AND($B97="Project",$C97&lt;&gt;"",$C97&lt;&gt;"Outside the portfolio"),IFERROR(IF(AND(INDEX($B$6:$B$305,MATCH($C97,$A$6:$A$305,0))="Program",INDEX($C$6:$C$305,MATCH($C97,$A$6:$A$305,0))="Portfolio"),1,0),0),0)))</f>
        <v/>
      </c>
      <c r="AA97" s="31">
        <f>IF(AND($A97&lt;&gt;"",$E97="",OR($Q97=1,$D97="Proposed")),1,0)</f>
        <v/>
      </c>
      <c r="AB97" s="31">
        <f>IF(AND($A97&lt;&gt;"",$B97="Program",$F97="",$Q97=1),1,0)</f>
        <v/>
      </c>
      <c r="AC97" s="31">
        <f>IF(OR($A97="",$D97="Completed",$D97="Terminated"),0,IF($C97="",1,IF($C97="Portfolio",0,IF($C97="Outside the portfolio",IF($Q97=1,2,0),IF($B97="Project",IF(IFERROR(INDEX($B$6:$B$305,MATCH($C97,$A$6:$A$305,0)),"")="Program",0,1),1)))))</f>
        <v/>
      </c>
      <c r="AD97" s="31">
        <f>IF(AND($A97&lt;&gt;"",OR($M97="■ Red",$M97="◧ Amber"),$L97=""),1,0)</f>
        <v/>
      </c>
      <c r="AE97" s="31">
        <f>$AA97+$AB97+IF($AC97&gt;0,1,0)+$AD97</f>
        <v/>
      </c>
      <c r="AJ97" s="14" t="n"/>
      <c r="AK97" s="29" t="n"/>
      <c r="AL97" s="31">
        <f>IF(AND($Q97=1,$Z97=1),1,0)</f>
        <v/>
      </c>
      <c r="AM97" s="31">
        <f>IF(AND($AL97=1,$AJ97&lt;&gt;""),MAX(0,TODAY()-$AJ97),"")</f>
        <v/>
      </c>
      <c r="AN97" s="31">
        <f>IF(OR($AL97=0,COUNT($AJ$6:$AJ$305)=0),0,IF($AJ97="",1,IF(TODAY()-$AJ97&gt;Board!$B$40,1,0)))</f>
        <v/>
      </c>
      <c r="AO97" s="31">
        <f>IF($AL97=0,0,IF($M97="■ Red",3,IF($M97="◧ Amber",2,IF($M97="□ On track",1,0))))</f>
        <v/>
      </c>
      <c r="AP97" s="31">
        <f>IF($AL97=0,0,IF($AK97="Will not hold",3,IF($AK97="At risk",2,IF($AK97="Will hold",1,0))))</f>
        <v/>
      </c>
      <c r="AQ97" s="31">
        <f>IF($AL97=0,"",IF($AO97=3,0,IF($AO97=2,1,IF(AND($AP97&gt;=2,$AP97&gt;$AO97),2,""))))</f>
        <v/>
      </c>
      <c r="AR97" s="31">
        <f>IF($AQ97="","",$AQ97*1000+97)</f>
        <v/>
      </c>
      <c r="AS97" s="31">
        <f>IF(AND($AL97=1,$AO97&gt;=2,$AP97&gt;=1,$AP97&lt;$AO97),1,0)</f>
        <v/>
      </c>
      <c r="AT97" s="31">
        <f>IF(AND($AL97=1,$AO97&gt;=2,$AP97=0),1,0)</f>
        <v/>
      </c>
      <c r="AU97" s="31">
        <f>IF(AND($AL97=1,$U97&lt;&gt;"",$U97&lt;TODAY()),1,0)</f>
        <v/>
      </c>
      <c r="AV97" s="31">
        <f>IF(OR($A97="",$AJ97="",Portfolio!$B$10=""),0,IF($AJ97&lt;=Portfolio!$B$10,0,IF(AND($D97="Completed",$Z97=1),1,IF(AND($D97="Terminated",$Z97=1),2,IF(AND($Q97=1,$Z97=0),3,0)))))</f>
        <v/>
      </c>
      <c r="AW97" s="31">
        <f>IF($AV97&gt;0,COUNTIF($AV$6:$AV97,"&gt;0"),"")</f>
        <v/>
      </c>
      <c r="AX97" s="31">
        <f>IF($AL97=0,"",IF(AND($B97="Project",$H97&lt;&gt;"",$H97&lt;TODAY()),"Planned finish "&amp;TEXT($H97,"d mmm")&amp;" has passed",IF($X97&gt;=2,(NETWORKDAYS($H97,$U97)-1)&amp;" working days past plan","")))</f>
        <v/>
      </c>
      <c r="AY97" s="31">
        <f>IF($AL97=0,"",IF($Y97&gt;=2,"Over budget by "&amp;TEXT(IF($B97="Program",$V97,$J97)-$K97,"#,##0"),""))</f>
        <v/>
      </c>
      <c r="AZ97" s="31">
        <f>IF(AND($AL97=1,$U97&lt;&gt;""),IF(AND(N($U97)&gt;=TODAY(),N($U97)&lt;=TODAY()+Board!$B$41),1,0),0)</f>
        <v/>
      </c>
    </row>
    <row r="98">
      <c r="A98" s="29" t="n"/>
      <c r="B98" s="29" t="n"/>
      <c r="C98" s="29" t="n"/>
      <c r="D98" s="29" t="n"/>
      <c r="E98" s="29" t="n"/>
      <c r="F98" s="29" t="n"/>
      <c r="G98" s="29" t="n"/>
      <c r="H98" s="30" t="n"/>
      <c r="I98" s="30" t="n"/>
      <c r="J98" s="19" t="n"/>
      <c r="K98" s="19" t="n"/>
      <c r="L98" s="26" t="n"/>
      <c r="M98" s="31">
        <f>IF($A98="","",IF($D98="","Not read",IF($Q98=0,"Not counted",IF(MAX($X98,$Y98)=3,"■ Red",IF(MAX($X98,$Y98)=2,"◧ Amber",IF(MAX($X98,$Y98)=1,"□ On track","Not read"))))))</f>
        <v/>
      </c>
      <c r="N98" s="31">
        <f>IF(OR($A98="",$B98&lt;&gt;"Program"),"","■ "&amp;COUNTIFS($C$6:$C$305,$A98,$M$6:$M$305,"■ Red")&amp;" Red, ◧ "&amp;COUNTIFS($C$6:$C$305,$A98,$M$6:$M$305,"◧ Amber")&amp;" Amber")</f>
        <v/>
      </c>
      <c r="O98" s="32">
        <f>IF(OR($A98="",$E98=""),"",COUNTIFS($E$6:$E$305,$E98,$D$6:$D$305,"Active")+COUNTIFS($E$6:$E$305,$E98,$D$6:$D$305,"Paused"))</f>
        <v/>
      </c>
      <c r="P98" s="31">
        <f>IF($A98="","",IF($AE98=0,"○ Clear",IF($AA98=1,"△ No owner",IF($AC98=1,"△ Check Sits under",IF($AC98=2,"△ Outside the portfolio",IF($AB98=1,"△ No sponsor","△ No variance note"))))&amp;IF($AE98&gt;1," (+"&amp;($AE98-1)&amp;" more)","")))</f>
        <v/>
      </c>
      <c r="Q98" s="31">
        <f>IF(AND($A98&lt;&gt;"",OR($D98="Active",$D98="Paused")),1,0)</f>
        <v/>
      </c>
      <c r="R98" s="31">
        <f>IFERROR(INDEX($A$6:$A$305,MATCH(91,$S$6:$S$305,0)),"")</f>
        <v/>
      </c>
      <c r="S98" s="31">
        <f>IF(AND($A98&lt;&gt;"",$B98="Program"),COUNTIFS($B$6:$B98,"Program",$A$6:$A98,"&lt;&gt;"),"")</f>
        <v/>
      </c>
      <c r="T98" s="33">
        <f>IF(AND($A98&lt;&gt;"",$B98="Program"),SUMPRODUCT(MAX(($C$6:$C$305=$A98)*($B$6:$B$305="Project")*($D$6:$D$305&lt;&gt;"Proposed")*$I$6:$I$305)),0)</f>
        <v/>
      </c>
      <c r="U98" s="33">
        <f>IF($I98&lt;&gt;"",$I98,IF($T98&gt;0,$T98,""))</f>
        <v/>
      </c>
      <c r="V98" s="31">
        <f>IF(AND($A98&lt;&gt;"",$B98="Program"),SUMIFS($J$6:$J$305,$C$6:$C$305,$A98,$B$6:$B$305,"Project",$D$6:$D$305,"&lt;&gt;Proposed"),0)</f>
        <v/>
      </c>
      <c r="W98" s="31">
        <f>IF(AND($A98&lt;&gt;"",$B98="Program"),COUNTIFS($C$6:$C$305,$A98,$B$6:$B$305,"Project",$D$6:$D$305,"&lt;&gt;Proposed")-COUNTIFS($C$6:$C$305,$A98,$B$6:$B$305,"Project",$D$6:$D$305,"&lt;&gt;Proposed",$J$6:$J$305,"&gt;=0"),0)</f>
        <v/>
      </c>
      <c r="X98" s="31">
        <f>IF(OR($Q98=0,$H98=""),0,IF(AND($B98="Project",$H98&lt;TODAY()),3,IF($U98="",0,IF($U98&lt;=$H98,1,IF(NETWORKDAYS($H98,$U98)-1&gt;IF($B98="Program",Portfolio!$B$16,Portfolio!$B$15),3,2)))))</f>
        <v/>
      </c>
      <c r="Y98" s="31">
        <f>IF(OR($Q98=0,$K98="",$K98=0),0,IF(AND($B98="Project",$J98=""),0,IF(IF($B98="Program",$V98,$J98)&gt;$K98*(1+Portfolio!$B$17),3,IF(IF($B98="Program",$V98,$J98)&gt;$K98,2,IF(AND($B98="Program",OR($W98&gt;0,$V98=0)),0,1)))))</f>
        <v/>
      </c>
      <c r="Z98" s="31">
        <f>IF($A98="",0,IF($C98="Portfolio",1,IF(AND($B98="Project",$C98&lt;&gt;"",$C98&lt;&gt;"Outside the portfolio"),IFERROR(IF(AND(INDEX($B$6:$B$305,MATCH($C98,$A$6:$A$305,0))="Program",INDEX($C$6:$C$305,MATCH($C98,$A$6:$A$305,0))="Portfolio"),1,0),0),0)))</f>
        <v/>
      </c>
      <c r="AA98" s="31">
        <f>IF(AND($A98&lt;&gt;"",$E98="",OR($Q98=1,$D98="Proposed")),1,0)</f>
        <v/>
      </c>
      <c r="AB98" s="31">
        <f>IF(AND($A98&lt;&gt;"",$B98="Program",$F98="",$Q98=1),1,0)</f>
        <v/>
      </c>
      <c r="AC98" s="31">
        <f>IF(OR($A98="",$D98="Completed",$D98="Terminated"),0,IF($C98="",1,IF($C98="Portfolio",0,IF($C98="Outside the portfolio",IF($Q98=1,2,0),IF($B98="Project",IF(IFERROR(INDEX($B$6:$B$305,MATCH($C98,$A$6:$A$305,0)),"")="Program",0,1),1)))))</f>
        <v/>
      </c>
      <c r="AD98" s="31">
        <f>IF(AND($A98&lt;&gt;"",OR($M98="■ Red",$M98="◧ Amber"),$L98=""),1,0)</f>
        <v/>
      </c>
      <c r="AE98" s="31">
        <f>$AA98+$AB98+IF($AC98&gt;0,1,0)+$AD98</f>
        <v/>
      </c>
      <c r="AJ98" s="14" t="n"/>
      <c r="AK98" s="29" t="n"/>
      <c r="AL98" s="31">
        <f>IF(AND($Q98=1,$Z98=1),1,0)</f>
        <v/>
      </c>
      <c r="AM98" s="31">
        <f>IF(AND($AL98=1,$AJ98&lt;&gt;""),MAX(0,TODAY()-$AJ98),"")</f>
        <v/>
      </c>
      <c r="AN98" s="31">
        <f>IF(OR($AL98=0,COUNT($AJ$6:$AJ$305)=0),0,IF($AJ98="",1,IF(TODAY()-$AJ98&gt;Board!$B$40,1,0)))</f>
        <v/>
      </c>
      <c r="AO98" s="31">
        <f>IF($AL98=0,0,IF($M98="■ Red",3,IF($M98="◧ Amber",2,IF($M98="□ On track",1,0))))</f>
        <v/>
      </c>
      <c r="AP98" s="31">
        <f>IF($AL98=0,0,IF($AK98="Will not hold",3,IF($AK98="At risk",2,IF($AK98="Will hold",1,0))))</f>
        <v/>
      </c>
      <c r="AQ98" s="31">
        <f>IF($AL98=0,"",IF($AO98=3,0,IF($AO98=2,1,IF(AND($AP98&gt;=2,$AP98&gt;$AO98),2,""))))</f>
        <v/>
      </c>
      <c r="AR98" s="31">
        <f>IF($AQ98="","",$AQ98*1000+98)</f>
        <v/>
      </c>
      <c r="AS98" s="31">
        <f>IF(AND($AL98=1,$AO98&gt;=2,$AP98&gt;=1,$AP98&lt;$AO98),1,0)</f>
        <v/>
      </c>
      <c r="AT98" s="31">
        <f>IF(AND($AL98=1,$AO98&gt;=2,$AP98=0),1,0)</f>
        <v/>
      </c>
      <c r="AU98" s="31">
        <f>IF(AND($AL98=1,$U98&lt;&gt;"",$U98&lt;TODAY()),1,0)</f>
        <v/>
      </c>
      <c r="AV98" s="31">
        <f>IF(OR($A98="",$AJ98="",Portfolio!$B$10=""),0,IF($AJ98&lt;=Portfolio!$B$10,0,IF(AND($D98="Completed",$Z98=1),1,IF(AND($D98="Terminated",$Z98=1),2,IF(AND($Q98=1,$Z98=0),3,0)))))</f>
        <v/>
      </c>
      <c r="AW98" s="31">
        <f>IF($AV98&gt;0,COUNTIF($AV$6:$AV98,"&gt;0"),"")</f>
        <v/>
      </c>
      <c r="AX98" s="31">
        <f>IF($AL98=0,"",IF(AND($B98="Project",$H98&lt;&gt;"",$H98&lt;TODAY()),"Planned finish "&amp;TEXT($H98,"d mmm")&amp;" has passed",IF($X98&gt;=2,(NETWORKDAYS($H98,$U98)-1)&amp;" working days past plan","")))</f>
        <v/>
      </c>
      <c r="AY98" s="31">
        <f>IF($AL98=0,"",IF($Y98&gt;=2,"Over budget by "&amp;TEXT(IF($B98="Program",$V98,$J98)-$K98,"#,##0"),""))</f>
        <v/>
      </c>
      <c r="AZ98" s="31">
        <f>IF(AND($AL98=1,$U98&lt;&gt;""),IF(AND(N($U98)&gt;=TODAY(),N($U98)&lt;=TODAY()+Board!$B$41),1,0),0)</f>
        <v/>
      </c>
    </row>
    <row r="99">
      <c r="A99" s="29" t="n"/>
      <c r="B99" s="29" t="n"/>
      <c r="C99" s="29" t="n"/>
      <c r="D99" s="29" t="n"/>
      <c r="E99" s="29" t="n"/>
      <c r="F99" s="29" t="n"/>
      <c r="G99" s="29" t="n"/>
      <c r="H99" s="30" t="n"/>
      <c r="I99" s="30" t="n"/>
      <c r="J99" s="19" t="n"/>
      <c r="K99" s="19" t="n"/>
      <c r="L99" s="26" t="n"/>
      <c r="M99" s="31">
        <f>IF($A99="","",IF($D99="","Not read",IF($Q99=0,"Not counted",IF(MAX($X99,$Y99)=3,"■ Red",IF(MAX($X99,$Y99)=2,"◧ Amber",IF(MAX($X99,$Y99)=1,"□ On track","Not read"))))))</f>
        <v/>
      </c>
      <c r="N99" s="31">
        <f>IF(OR($A99="",$B99&lt;&gt;"Program"),"","■ "&amp;COUNTIFS($C$6:$C$305,$A99,$M$6:$M$305,"■ Red")&amp;" Red, ◧ "&amp;COUNTIFS($C$6:$C$305,$A99,$M$6:$M$305,"◧ Amber")&amp;" Amber")</f>
        <v/>
      </c>
      <c r="O99" s="32">
        <f>IF(OR($A99="",$E99=""),"",COUNTIFS($E$6:$E$305,$E99,$D$6:$D$305,"Active")+COUNTIFS($E$6:$E$305,$E99,$D$6:$D$305,"Paused"))</f>
        <v/>
      </c>
      <c r="P99" s="31">
        <f>IF($A99="","",IF($AE99=0,"○ Clear",IF($AA99=1,"△ No owner",IF($AC99=1,"△ Check Sits under",IF($AC99=2,"△ Outside the portfolio",IF($AB99=1,"△ No sponsor","△ No variance note"))))&amp;IF($AE99&gt;1," (+"&amp;($AE99-1)&amp;" more)","")))</f>
        <v/>
      </c>
      <c r="Q99" s="31">
        <f>IF(AND($A99&lt;&gt;"",OR($D99="Active",$D99="Paused")),1,0)</f>
        <v/>
      </c>
      <c r="R99" s="31">
        <f>IFERROR(INDEX($A$6:$A$305,MATCH(92,$S$6:$S$305,0)),"")</f>
        <v/>
      </c>
      <c r="S99" s="31">
        <f>IF(AND($A99&lt;&gt;"",$B99="Program"),COUNTIFS($B$6:$B99,"Program",$A$6:$A99,"&lt;&gt;"),"")</f>
        <v/>
      </c>
      <c r="T99" s="33">
        <f>IF(AND($A99&lt;&gt;"",$B99="Program"),SUMPRODUCT(MAX(($C$6:$C$305=$A99)*($B$6:$B$305="Project")*($D$6:$D$305&lt;&gt;"Proposed")*$I$6:$I$305)),0)</f>
        <v/>
      </c>
      <c r="U99" s="33">
        <f>IF($I99&lt;&gt;"",$I99,IF($T99&gt;0,$T99,""))</f>
        <v/>
      </c>
      <c r="V99" s="31">
        <f>IF(AND($A99&lt;&gt;"",$B99="Program"),SUMIFS($J$6:$J$305,$C$6:$C$305,$A99,$B$6:$B$305,"Project",$D$6:$D$305,"&lt;&gt;Proposed"),0)</f>
        <v/>
      </c>
      <c r="W99" s="31">
        <f>IF(AND($A99&lt;&gt;"",$B99="Program"),COUNTIFS($C$6:$C$305,$A99,$B$6:$B$305,"Project",$D$6:$D$305,"&lt;&gt;Proposed")-COUNTIFS($C$6:$C$305,$A99,$B$6:$B$305,"Project",$D$6:$D$305,"&lt;&gt;Proposed",$J$6:$J$305,"&gt;=0"),0)</f>
        <v/>
      </c>
      <c r="X99" s="31">
        <f>IF(OR($Q99=0,$H99=""),0,IF(AND($B99="Project",$H99&lt;TODAY()),3,IF($U99="",0,IF($U99&lt;=$H99,1,IF(NETWORKDAYS($H99,$U99)-1&gt;IF($B99="Program",Portfolio!$B$16,Portfolio!$B$15),3,2)))))</f>
        <v/>
      </c>
      <c r="Y99" s="31">
        <f>IF(OR($Q99=0,$K99="",$K99=0),0,IF(AND($B99="Project",$J99=""),0,IF(IF($B99="Program",$V99,$J99)&gt;$K99*(1+Portfolio!$B$17),3,IF(IF($B99="Program",$V99,$J99)&gt;$K99,2,IF(AND($B99="Program",OR($W99&gt;0,$V99=0)),0,1)))))</f>
        <v/>
      </c>
      <c r="Z99" s="31">
        <f>IF($A99="",0,IF($C99="Portfolio",1,IF(AND($B99="Project",$C99&lt;&gt;"",$C99&lt;&gt;"Outside the portfolio"),IFERROR(IF(AND(INDEX($B$6:$B$305,MATCH($C99,$A$6:$A$305,0))="Program",INDEX($C$6:$C$305,MATCH($C99,$A$6:$A$305,0))="Portfolio"),1,0),0),0)))</f>
        <v/>
      </c>
      <c r="AA99" s="31">
        <f>IF(AND($A99&lt;&gt;"",$E99="",OR($Q99=1,$D99="Proposed")),1,0)</f>
        <v/>
      </c>
      <c r="AB99" s="31">
        <f>IF(AND($A99&lt;&gt;"",$B99="Program",$F99="",$Q99=1),1,0)</f>
        <v/>
      </c>
      <c r="AC99" s="31">
        <f>IF(OR($A99="",$D99="Completed",$D99="Terminated"),0,IF($C99="",1,IF($C99="Portfolio",0,IF($C99="Outside the portfolio",IF($Q99=1,2,0),IF($B99="Project",IF(IFERROR(INDEX($B$6:$B$305,MATCH($C99,$A$6:$A$305,0)),"")="Program",0,1),1)))))</f>
        <v/>
      </c>
      <c r="AD99" s="31">
        <f>IF(AND($A99&lt;&gt;"",OR($M99="■ Red",$M99="◧ Amber"),$L99=""),1,0)</f>
        <v/>
      </c>
      <c r="AE99" s="31">
        <f>$AA99+$AB99+IF($AC99&gt;0,1,0)+$AD99</f>
        <v/>
      </c>
      <c r="AJ99" s="14" t="n"/>
      <c r="AK99" s="29" t="n"/>
      <c r="AL99" s="31">
        <f>IF(AND($Q99=1,$Z99=1),1,0)</f>
        <v/>
      </c>
      <c r="AM99" s="31">
        <f>IF(AND($AL99=1,$AJ99&lt;&gt;""),MAX(0,TODAY()-$AJ99),"")</f>
        <v/>
      </c>
      <c r="AN99" s="31">
        <f>IF(OR($AL99=0,COUNT($AJ$6:$AJ$305)=0),0,IF($AJ99="",1,IF(TODAY()-$AJ99&gt;Board!$B$40,1,0)))</f>
        <v/>
      </c>
      <c r="AO99" s="31">
        <f>IF($AL99=0,0,IF($M99="■ Red",3,IF($M99="◧ Amber",2,IF($M99="□ On track",1,0))))</f>
        <v/>
      </c>
      <c r="AP99" s="31">
        <f>IF($AL99=0,0,IF($AK99="Will not hold",3,IF($AK99="At risk",2,IF($AK99="Will hold",1,0))))</f>
        <v/>
      </c>
      <c r="AQ99" s="31">
        <f>IF($AL99=0,"",IF($AO99=3,0,IF($AO99=2,1,IF(AND($AP99&gt;=2,$AP99&gt;$AO99),2,""))))</f>
        <v/>
      </c>
      <c r="AR99" s="31">
        <f>IF($AQ99="","",$AQ99*1000+99)</f>
        <v/>
      </c>
      <c r="AS99" s="31">
        <f>IF(AND($AL99=1,$AO99&gt;=2,$AP99&gt;=1,$AP99&lt;$AO99),1,0)</f>
        <v/>
      </c>
      <c r="AT99" s="31">
        <f>IF(AND($AL99=1,$AO99&gt;=2,$AP99=0),1,0)</f>
        <v/>
      </c>
      <c r="AU99" s="31">
        <f>IF(AND($AL99=1,$U99&lt;&gt;"",$U99&lt;TODAY()),1,0)</f>
        <v/>
      </c>
      <c r="AV99" s="31">
        <f>IF(OR($A99="",$AJ99="",Portfolio!$B$10=""),0,IF($AJ99&lt;=Portfolio!$B$10,0,IF(AND($D99="Completed",$Z99=1),1,IF(AND($D99="Terminated",$Z99=1),2,IF(AND($Q99=1,$Z99=0),3,0)))))</f>
        <v/>
      </c>
      <c r="AW99" s="31">
        <f>IF($AV99&gt;0,COUNTIF($AV$6:$AV99,"&gt;0"),"")</f>
        <v/>
      </c>
      <c r="AX99" s="31">
        <f>IF($AL99=0,"",IF(AND($B99="Project",$H99&lt;&gt;"",$H99&lt;TODAY()),"Planned finish "&amp;TEXT($H99,"d mmm")&amp;" has passed",IF($X99&gt;=2,(NETWORKDAYS($H99,$U99)-1)&amp;" working days past plan","")))</f>
        <v/>
      </c>
      <c r="AY99" s="31">
        <f>IF($AL99=0,"",IF($Y99&gt;=2,"Over budget by "&amp;TEXT(IF($B99="Program",$V99,$J99)-$K99,"#,##0"),""))</f>
        <v/>
      </c>
      <c r="AZ99" s="31">
        <f>IF(AND($AL99=1,$U99&lt;&gt;""),IF(AND(N($U99)&gt;=TODAY(),N($U99)&lt;=TODAY()+Board!$B$41),1,0),0)</f>
        <v/>
      </c>
    </row>
    <row r="100">
      <c r="A100" s="29" t="n"/>
      <c r="B100" s="29" t="n"/>
      <c r="C100" s="29" t="n"/>
      <c r="D100" s="29" t="n"/>
      <c r="E100" s="29" t="n"/>
      <c r="F100" s="29" t="n"/>
      <c r="G100" s="29" t="n"/>
      <c r="H100" s="30" t="n"/>
      <c r="I100" s="30" t="n"/>
      <c r="J100" s="19" t="n"/>
      <c r="K100" s="19" t="n"/>
      <c r="L100" s="26" t="n"/>
      <c r="M100" s="31">
        <f>IF($A100="","",IF($D100="","Not read",IF($Q100=0,"Not counted",IF(MAX($X100,$Y100)=3,"■ Red",IF(MAX($X100,$Y100)=2,"◧ Amber",IF(MAX($X100,$Y100)=1,"□ On track","Not read"))))))</f>
        <v/>
      </c>
      <c r="N100" s="31">
        <f>IF(OR($A100="",$B100&lt;&gt;"Program"),"","■ "&amp;COUNTIFS($C$6:$C$305,$A100,$M$6:$M$305,"■ Red")&amp;" Red, ◧ "&amp;COUNTIFS($C$6:$C$305,$A100,$M$6:$M$305,"◧ Amber")&amp;" Amber")</f>
        <v/>
      </c>
      <c r="O100" s="32">
        <f>IF(OR($A100="",$E100=""),"",COUNTIFS($E$6:$E$305,$E100,$D$6:$D$305,"Active")+COUNTIFS($E$6:$E$305,$E100,$D$6:$D$305,"Paused"))</f>
        <v/>
      </c>
      <c r="P100" s="31">
        <f>IF($A100="","",IF($AE100=0,"○ Clear",IF($AA100=1,"△ No owner",IF($AC100=1,"△ Check Sits under",IF($AC100=2,"△ Outside the portfolio",IF($AB100=1,"△ No sponsor","△ No variance note"))))&amp;IF($AE100&gt;1," (+"&amp;($AE100-1)&amp;" more)","")))</f>
        <v/>
      </c>
      <c r="Q100" s="31">
        <f>IF(AND($A100&lt;&gt;"",OR($D100="Active",$D100="Paused")),1,0)</f>
        <v/>
      </c>
      <c r="R100" s="31">
        <f>IFERROR(INDEX($A$6:$A$305,MATCH(93,$S$6:$S$305,0)),"")</f>
        <v/>
      </c>
      <c r="S100" s="31">
        <f>IF(AND($A100&lt;&gt;"",$B100="Program"),COUNTIFS($B$6:$B100,"Program",$A$6:$A100,"&lt;&gt;"),"")</f>
        <v/>
      </c>
      <c r="T100" s="33">
        <f>IF(AND($A100&lt;&gt;"",$B100="Program"),SUMPRODUCT(MAX(($C$6:$C$305=$A100)*($B$6:$B$305="Project")*($D$6:$D$305&lt;&gt;"Proposed")*$I$6:$I$305)),0)</f>
        <v/>
      </c>
      <c r="U100" s="33">
        <f>IF($I100&lt;&gt;"",$I100,IF($T100&gt;0,$T100,""))</f>
        <v/>
      </c>
      <c r="V100" s="31">
        <f>IF(AND($A100&lt;&gt;"",$B100="Program"),SUMIFS($J$6:$J$305,$C$6:$C$305,$A100,$B$6:$B$305,"Project",$D$6:$D$305,"&lt;&gt;Proposed"),0)</f>
        <v/>
      </c>
      <c r="W100" s="31">
        <f>IF(AND($A100&lt;&gt;"",$B100="Program"),COUNTIFS($C$6:$C$305,$A100,$B$6:$B$305,"Project",$D$6:$D$305,"&lt;&gt;Proposed")-COUNTIFS($C$6:$C$305,$A100,$B$6:$B$305,"Project",$D$6:$D$305,"&lt;&gt;Proposed",$J$6:$J$305,"&gt;=0"),0)</f>
        <v/>
      </c>
      <c r="X100" s="31">
        <f>IF(OR($Q100=0,$H100=""),0,IF(AND($B100="Project",$H100&lt;TODAY()),3,IF($U100="",0,IF($U100&lt;=$H100,1,IF(NETWORKDAYS($H100,$U100)-1&gt;IF($B100="Program",Portfolio!$B$16,Portfolio!$B$15),3,2)))))</f>
        <v/>
      </c>
      <c r="Y100" s="31">
        <f>IF(OR($Q100=0,$K100="",$K100=0),0,IF(AND($B100="Project",$J100=""),0,IF(IF($B100="Program",$V100,$J100)&gt;$K100*(1+Portfolio!$B$17),3,IF(IF($B100="Program",$V100,$J100)&gt;$K100,2,IF(AND($B100="Program",OR($W100&gt;0,$V100=0)),0,1)))))</f>
        <v/>
      </c>
      <c r="Z100" s="31">
        <f>IF($A100="",0,IF($C100="Portfolio",1,IF(AND($B100="Project",$C100&lt;&gt;"",$C100&lt;&gt;"Outside the portfolio"),IFERROR(IF(AND(INDEX($B$6:$B$305,MATCH($C100,$A$6:$A$305,0))="Program",INDEX($C$6:$C$305,MATCH($C100,$A$6:$A$305,0))="Portfolio"),1,0),0),0)))</f>
        <v/>
      </c>
      <c r="AA100" s="31">
        <f>IF(AND($A100&lt;&gt;"",$E100="",OR($Q100=1,$D100="Proposed")),1,0)</f>
        <v/>
      </c>
      <c r="AB100" s="31">
        <f>IF(AND($A100&lt;&gt;"",$B100="Program",$F100="",$Q100=1),1,0)</f>
        <v/>
      </c>
      <c r="AC100" s="31">
        <f>IF(OR($A100="",$D100="Completed",$D100="Terminated"),0,IF($C100="",1,IF($C100="Portfolio",0,IF($C100="Outside the portfolio",IF($Q100=1,2,0),IF($B100="Project",IF(IFERROR(INDEX($B$6:$B$305,MATCH($C100,$A$6:$A$305,0)),"")="Program",0,1),1)))))</f>
        <v/>
      </c>
      <c r="AD100" s="31">
        <f>IF(AND($A100&lt;&gt;"",OR($M100="■ Red",$M100="◧ Amber"),$L100=""),1,0)</f>
        <v/>
      </c>
      <c r="AE100" s="31">
        <f>$AA100+$AB100+IF($AC100&gt;0,1,0)+$AD100</f>
        <v/>
      </c>
      <c r="AJ100" s="14" t="n"/>
      <c r="AK100" s="29" t="n"/>
      <c r="AL100" s="31">
        <f>IF(AND($Q100=1,$Z100=1),1,0)</f>
        <v/>
      </c>
      <c r="AM100" s="31">
        <f>IF(AND($AL100=1,$AJ100&lt;&gt;""),MAX(0,TODAY()-$AJ100),"")</f>
        <v/>
      </c>
      <c r="AN100" s="31">
        <f>IF(OR($AL100=0,COUNT($AJ$6:$AJ$305)=0),0,IF($AJ100="",1,IF(TODAY()-$AJ100&gt;Board!$B$40,1,0)))</f>
        <v/>
      </c>
      <c r="AO100" s="31">
        <f>IF($AL100=0,0,IF($M100="■ Red",3,IF($M100="◧ Amber",2,IF($M100="□ On track",1,0))))</f>
        <v/>
      </c>
      <c r="AP100" s="31">
        <f>IF($AL100=0,0,IF($AK100="Will not hold",3,IF($AK100="At risk",2,IF($AK100="Will hold",1,0))))</f>
        <v/>
      </c>
      <c r="AQ100" s="31">
        <f>IF($AL100=0,"",IF($AO100=3,0,IF($AO100=2,1,IF(AND($AP100&gt;=2,$AP100&gt;$AO100),2,""))))</f>
        <v/>
      </c>
      <c r="AR100" s="31">
        <f>IF($AQ100="","",$AQ100*1000+100)</f>
        <v/>
      </c>
      <c r="AS100" s="31">
        <f>IF(AND($AL100=1,$AO100&gt;=2,$AP100&gt;=1,$AP100&lt;$AO100),1,0)</f>
        <v/>
      </c>
      <c r="AT100" s="31">
        <f>IF(AND($AL100=1,$AO100&gt;=2,$AP100=0),1,0)</f>
        <v/>
      </c>
      <c r="AU100" s="31">
        <f>IF(AND($AL100=1,$U100&lt;&gt;"",$U100&lt;TODAY()),1,0)</f>
        <v/>
      </c>
      <c r="AV100" s="31">
        <f>IF(OR($A100="",$AJ100="",Portfolio!$B$10=""),0,IF($AJ100&lt;=Portfolio!$B$10,0,IF(AND($D100="Completed",$Z100=1),1,IF(AND($D100="Terminated",$Z100=1),2,IF(AND($Q100=1,$Z100=0),3,0)))))</f>
        <v/>
      </c>
      <c r="AW100" s="31">
        <f>IF($AV100&gt;0,COUNTIF($AV$6:$AV100,"&gt;0"),"")</f>
        <v/>
      </c>
      <c r="AX100" s="31">
        <f>IF($AL100=0,"",IF(AND($B100="Project",$H100&lt;&gt;"",$H100&lt;TODAY()),"Planned finish "&amp;TEXT($H100,"d mmm")&amp;" has passed",IF($X100&gt;=2,(NETWORKDAYS($H100,$U100)-1)&amp;" working days past plan","")))</f>
        <v/>
      </c>
      <c r="AY100" s="31">
        <f>IF($AL100=0,"",IF($Y100&gt;=2,"Over budget by "&amp;TEXT(IF($B100="Program",$V100,$J100)-$K100,"#,##0"),""))</f>
        <v/>
      </c>
      <c r="AZ100" s="31">
        <f>IF(AND($AL100=1,$U100&lt;&gt;""),IF(AND(N($U100)&gt;=TODAY(),N($U100)&lt;=TODAY()+Board!$B$41),1,0),0)</f>
        <v/>
      </c>
    </row>
    <row r="101">
      <c r="A101" s="29" t="n"/>
      <c r="B101" s="29" t="n"/>
      <c r="C101" s="29" t="n"/>
      <c r="D101" s="29" t="n"/>
      <c r="E101" s="29" t="n"/>
      <c r="F101" s="29" t="n"/>
      <c r="G101" s="29" t="n"/>
      <c r="H101" s="30" t="n"/>
      <c r="I101" s="30" t="n"/>
      <c r="J101" s="19" t="n"/>
      <c r="K101" s="19" t="n"/>
      <c r="L101" s="26" t="n"/>
      <c r="M101" s="31">
        <f>IF($A101="","",IF($D101="","Not read",IF($Q101=0,"Not counted",IF(MAX($X101,$Y101)=3,"■ Red",IF(MAX($X101,$Y101)=2,"◧ Amber",IF(MAX($X101,$Y101)=1,"□ On track","Not read"))))))</f>
        <v/>
      </c>
      <c r="N101" s="31">
        <f>IF(OR($A101="",$B101&lt;&gt;"Program"),"","■ "&amp;COUNTIFS($C$6:$C$305,$A101,$M$6:$M$305,"■ Red")&amp;" Red, ◧ "&amp;COUNTIFS($C$6:$C$305,$A101,$M$6:$M$305,"◧ Amber")&amp;" Amber")</f>
        <v/>
      </c>
      <c r="O101" s="32">
        <f>IF(OR($A101="",$E101=""),"",COUNTIFS($E$6:$E$305,$E101,$D$6:$D$305,"Active")+COUNTIFS($E$6:$E$305,$E101,$D$6:$D$305,"Paused"))</f>
        <v/>
      </c>
      <c r="P101" s="31">
        <f>IF($A101="","",IF($AE101=0,"○ Clear",IF($AA101=1,"△ No owner",IF($AC101=1,"△ Check Sits under",IF($AC101=2,"△ Outside the portfolio",IF($AB101=1,"△ No sponsor","△ No variance note"))))&amp;IF($AE101&gt;1," (+"&amp;($AE101-1)&amp;" more)","")))</f>
        <v/>
      </c>
      <c r="Q101" s="31">
        <f>IF(AND($A101&lt;&gt;"",OR($D101="Active",$D101="Paused")),1,0)</f>
        <v/>
      </c>
      <c r="R101" s="31">
        <f>IFERROR(INDEX($A$6:$A$305,MATCH(94,$S$6:$S$305,0)),"")</f>
        <v/>
      </c>
      <c r="S101" s="31">
        <f>IF(AND($A101&lt;&gt;"",$B101="Program"),COUNTIFS($B$6:$B101,"Program",$A$6:$A101,"&lt;&gt;"),"")</f>
        <v/>
      </c>
      <c r="T101" s="33">
        <f>IF(AND($A101&lt;&gt;"",$B101="Program"),SUMPRODUCT(MAX(($C$6:$C$305=$A101)*($B$6:$B$305="Project")*($D$6:$D$305&lt;&gt;"Proposed")*$I$6:$I$305)),0)</f>
        <v/>
      </c>
      <c r="U101" s="33">
        <f>IF($I101&lt;&gt;"",$I101,IF($T101&gt;0,$T101,""))</f>
        <v/>
      </c>
      <c r="V101" s="31">
        <f>IF(AND($A101&lt;&gt;"",$B101="Program"),SUMIFS($J$6:$J$305,$C$6:$C$305,$A101,$B$6:$B$305,"Project",$D$6:$D$305,"&lt;&gt;Proposed"),0)</f>
        <v/>
      </c>
      <c r="W101" s="31">
        <f>IF(AND($A101&lt;&gt;"",$B101="Program"),COUNTIFS($C$6:$C$305,$A101,$B$6:$B$305,"Project",$D$6:$D$305,"&lt;&gt;Proposed")-COUNTIFS($C$6:$C$305,$A101,$B$6:$B$305,"Project",$D$6:$D$305,"&lt;&gt;Proposed",$J$6:$J$305,"&gt;=0"),0)</f>
        <v/>
      </c>
      <c r="X101" s="31">
        <f>IF(OR($Q101=0,$H101=""),0,IF(AND($B101="Project",$H101&lt;TODAY()),3,IF($U101="",0,IF($U101&lt;=$H101,1,IF(NETWORKDAYS($H101,$U101)-1&gt;IF($B101="Program",Portfolio!$B$16,Portfolio!$B$15),3,2)))))</f>
        <v/>
      </c>
      <c r="Y101" s="31">
        <f>IF(OR($Q101=0,$K101="",$K101=0),0,IF(AND($B101="Project",$J101=""),0,IF(IF($B101="Program",$V101,$J101)&gt;$K101*(1+Portfolio!$B$17),3,IF(IF($B101="Program",$V101,$J101)&gt;$K101,2,IF(AND($B101="Program",OR($W101&gt;0,$V101=0)),0,1)))))</f>
        <v/>
      </c>
      <c r="Z101" s="31">
        <f>IF($A101="",0,IF($C101="Portfolio",1,IF(AND($B101="Project",$C101&lt;&gt;"",$C101&lt;&gt;"Outside the portfolio"),IFERROR(IF(AND(INDEX($B$6:$B$305,MATCH($C101,$A$6:$A$305,0))="Program",INDEX($C$6:$C$305,MATCH($C101,$A$6:$A$305,0))="Portfolio"),1,0),0),0)))</f>
        <v/>
      </c>
      <c r="AA101" s="31">
        <f>IF(AND($A101&lt;&gt;"",$E101="",OR($Q101=1,$D101="Proposed")),1,0)</f>
        <v/>
      </c>
      <c r="AB101" s="31">
        <f>IF(AND($A101&lt;&gt;"",$B101="Program",$F101="",$Q101=1),1,0)</f>
        <v/>
      </c>
      <c r="AC101" s="31">
        <f>IF(OR($A101="",$D101="Completed",$D101="Terminated"),0,IF($C101="",1,IF($C101="Portfolio",0,IF($C101="Outside the portfolio",IF($Q101=1,2,0),IF($B101="Project",IF(IFERROR(INDEX($B$6:$B$305,MATCH($C101,$A$6:$A$305,0)),"")="Program",0,1),1)))))</f>
        <v/>
      </c>
      <c r="AD101" s="31">
        <f>IF(AND($A101&lt;&gt;"",OR($M101="■ Red",$M101="◧ Amber"),$L101=""),1,0)</f>
        <v/>
      </c>
      <c r="AE101" s="31">
        <f>$AA101+$AB101+IF($AC101&gt;0,1,0)+$AD101</f>
        <v/>
      </c>
      <c r="AJ101" s="14" t="n"/>
      <c r="AK101" s="29" t="n"/>
      <c r="AL101" s="31">
        <f>IF(AND($Q101=1,$Z101=1),1,0)</f>
        <v/>
      </c>
      <c r="AM101" s="31">
        <f>IF(AND($AL101=1,$AJ101&lt;&gt;""),MAX(0,TODAY()-$AJ101),"")</f>
        <v/>
      </c>
      <c r="AN101" s="31">
        <f>IF(OR($AL101=0,COUNT($AJ$6:$AJ$305)=0),0,IF($AJ101="",1,IF(TODAY()-$AJ101&gt;Board!$B$40,1,0)))</f>
        <v/>
      </c>
      <c r="AO101" s="31">
        <f>IF($AL101=0,0,IF($M101="■ Red",3,IF($M101="◧ Amber",2,IF($M101="□ On track",1,0))))</f>
        <v/>
      </c>
      <c r="AP101" s="31">
        <f>IF($AL101=0,0,IF($AK101="Will not hold",3,IF($AK101="At risk",2,IF($AK101="Will hold",1,0))))</f>
        <v/>
      </c>
      <c r="AQ101" s="31">
        <f>IF($AL101=0,"",IF($AO101=3,0,IF($AO101=2,1,IF(AND($AP101&gt;=2,$AP101&gt;$AO101),2,""))))</f>
        <v/>
      </c>
      <c r="AR101" s="31">
        <f>IF($AQ101="","",$AQ101*1000+101)</f>
        <v/>
      </c>
      <c r="AS101" s="31">
        <f>IF(AND($AL101=1,$AO101&gt;=2,$AP101&gt;=1,$AP101&lt;$AO101),1,0)</f>
        <v/>
      </c>
      <c r="AT101" s="31">
        <f>IF(AND($AL101=1,$AO101&gt;=2,$AP101=0),1,0)</f>
        <v/>
      </c>
      <c r="AU101" s="31">
        <f>IF(AND($AL101=1,$U101&lt;&gt;"",$U101&lt;TODAY()),1,0)</f>
        <v/>
      </c>
      <c r="AV101" s="31">
        <f>IF(OR($A101="",$AJ101="",Portfolio!$B$10=""),0,IF($AJ101&lt;=Portfolio!$B$10,0,IF(AND($D101="Completed",$Z101=1),1,IF(AND($D101="Terminated",$Z101=1),2,IF(AND($Q101=1,$Z101=0),3,0)))))</f>
        <v/>
      </c>
      <c r="AW101" s="31">
        <f>IF($AV101&gt;0,COUNTIF($AV$6:$AV101,"&gt;0"),"")</f>
        <v/>
      </c>
      <c r="AX101" s="31">
        <f>IF($AL101=0,"",IF(AND($B101="Project",$H101&lt;&gt;"",$H101&lt;TODAY()),"Planned finish "&amp;TEXT($H101,"d mmm")&amp;" has passed",IF($X101&gt;=2,(NETWORKDAYS($H101,$U101)-1)&amp;" working days past plan","")))</f>
        <v/>
      </c>
      <c r="AY101" s="31">
        <f>IF($AL101=0,"",IF($Y101&gt;=2,"Over budget by "&amp;TEXT(IF($B101="Program",$V101,$J101)-$K101,"#,##0"),""))</f>
        <v/>
      </c>
      <c r="AZ101" s="31">
        <f>IF(AND($AL101=1,$U101&lt;&gt;""),IF(AND(N($U101)&gt;=TODAY(),N($U101)&lt;=TODAY()+Board!$B$41),1,0),0)</f>
        <v/>
      </c>
    </row>
    <row r="102">
      <c r="A102" s="29" t="n"/>
      <c r="B102" s="29" t="n"/>
      <c r="C102" s="29" t="n"/>
      <c r="D102" s="29" t="n"/>
      <c r="E102" s="29" t="n"/>
      <c r="F102" s="29" t="n"/>
      <c r="G102" s="29" t="n"/>
      <c r="H102" s="30" t="n"/>
      <c r="I102" s="30" t="n"/>
      <c r="J102" s="19" t="n"/>
      <c r="K102" s="19" t="n"/>
      <c r="L102" s="26" t="n"/>
      <c r="M102" s="31">
        <f>IF($A102="","",IF($D102="","Not read",IF($Q102=0,"Not counted",IF(MAX($X102,$Y102)=3,"■ Red",IF(MAX($X102,$Y102)=2,"◧ Amber",IF(MAX($X102,$Y102)=1,"□ On track","Not read"))))))</f>
        <v/>
      </c>
      <c r="N102" s="31">
        <f>IF(OR($A102="",$B102&lt;&gt;"Program"),"","■ "&amp;COUNTIFS($C$6:$C$305,$A102,$M$6:$M$305,"■ Red")&amp;" Red, ◧ "&amp;COUNTIFS($C$6:$C$305,$A102,$M$6:$M$305,"◧ Amber")&amp;" Amber")</f>
        <v/>
      </c>
      <c r="O102" s="32">
        <f>IF(OR($A102="",$E102=""),"",COUNTIFS($E$6:$E$305,$E102,$D$6:$D$305,"Active")+COUNTIFS($E$6:$E$305,$E102,$D$6:$D$305,"Paused"))</f>
        <v/>
      </c>
      <c r="P102" s="31">
        <f>IF($A102="","",IF($AE102=0,"○ Clear",IF($AA102=1,"△ No owner",IF($AC102=1,"△ Check Sits under",IF($AC102=2,"△ Outside the portfolio",IF($AB102=1,"△ No sponsor","△ No variance note"))))&amp;IF($AE102&gt;1," (+"&amp;($AE102-1)&amp;" more)","")))</f>
        <v/>
      </c>
      <c r="Q102" s="31">
        <f>IF(AND($A102&lt;&gt;"",OR($D102="Active",$D102="Paused")),1,0)</f>
        <v/>
      </c>
      <c r="R102" s="31">
        <f>IFERROR(INDEX($A$6:$A$305,MATCH(95,$S$6:$S$305,0)),"")</f>
        <v/>
      </c>
      <c r="S102" s="31">
        <f>IF(AND($A102&lt;&gt;"",$B102="Program"),COUNTIFS($B$6:$B102,"Program",$A$6:$A102,"&lt;&gt;"),"")</f>
        <v/>
      </c>
      <c r="T102" s="33">
        <f>IF(AND($A102&lt;&gt;"",$B102="Program"),SUMPRODUCT(MAX(($C$6:$C$305=$A102)*($B$6:$B$305="Project")*($D$6:$D$305&lt;&gt;"Proposed")*$I$6:$I$305)),0)</f>
        <v/>
      </c>
      <c r="U102" s="33">
        <f>IF($I102&lt;&gt;"",$I102,IF($T102&gt;0,$T102,""))</f>
        <v/>
      </c>
      <c r="V102" s="31">
        <f>IF(AND($A102&lt;&gt;"",$B102="Program"),SUMIFS($J$6:$J$305,$C$6:$C$305,$A102,$B$6:$B$305,"Project",$D$6:$D$305,"&lt;&gt;Proposed"),0)</f>
        <v/>
      </c>
      <c r="W102" s="31">
        <f>IF(AND($A102&lt;&gt;"",$B102="Program"),COUNTIFS($C$6:$C$305,$A102,$B$6:$B$305,"Project",$D$6:$D$305,"&lt;&gt;Proposed")-COUNTIFS($C$6:$C$305,$A102,$B$6:$B$305,"Project",$D$6:$D$305,"&lt;&gt;Proposed",$J$6:$J$305,"&gt;=0"),0)</f>
        <v/>
      </c>
      <c r="X102" s="31">
        <f>IF(OR($Q102=0,$H102=""),0,IF(AND($B102="Project",$H102&lt;TODAY()),3,IF($U102="",0,IF($U102&lt;=$H102,1,IF(NETWORKDAYS($H102,$U102)-1&gt;IF($B102="Program",Portfolio!$B$16,Portfolio!$B$15),3,2)))))</f>
        <v/>
      </c>
      <c r="Y102" s="31">
        <f>IF(OR($Q102=0,$K102="",$K102=0),0,IF(AND($B102="Project",$J102=""),0,IF(IF($B102="Program",$V102,$J102)&gt;$K102*(1+Portfolio!$B$17),3,IF(IF($B102="Program",$V102,$J102)&gt;$K102,2,IF(AND($B102="Program",OR($W102&gt;0,$V102=0)),0,1)))))</f>
        <v/>
      </c>
      <c r="Z102" s="31">
        <f>IF($A102="",0,IF($C102="Portfolio",1,IF(AND($B102="Project",$C102&lt;&gt;"",$C102&lt;&gt;"Outside the portfolio"),IFERROR(IF(AND(INDEX($B$6:$B$305,MATCH($C102,$A$6:$A$305,0))="Program",INDEX($C$6:$C$305,MATCH($C102,$A$6:$A$305,0))="Portfolio"),1,0),0),0)))</f>
        <v/>
      </c>
      <c r="AA102" s="31">
        <f>IF(AND($A102&lt;&gt;"",$E102="",OR($Q102=1,$D102="Proposed")),1,0)</f>
        <v/>
      </c>
      <c r="AB102" s="31">
        <f>IF(AND($A102&lt;&gt;"",$B102="Program",$F102="",$Q102=1),1,0)</f>
        <v/>
      </c>
      <c r="AC102" s="31">
        <f>IF(OR($A102="",$D102="Completed",$D102="Terminated"),0,IF($C102="",1,IF($C102="Portfolio",0,IF($C102="Outside the portfolio",IF($Q102=1,2,0),IF($B102="Project",IF(IFERROR(INDEX($B$6:$B$305,MATCH($C102,$A$6:$A$305,0)),"")="Program",0,1),1)))))</f>
        <v/>
      </c>
      <c r="AD102" s="31">
        <f>IF(AND($A102&lt;&gt;"",OR($M102="■ Red",$M102="◧ Amber"),$L102=""),1,0)</f>
        <v/>
      </c>
      <c r="AE102" s="31">
        <f>$AA102+$AB102+IF($AC102&gt;0,1,0)+$AD102</f>
        <v/>
      </c>
      <c r="AJ102" s="14" t="n"/>
      <c r="AK102" s="29" t="n"/>
      <c r="AL102" s="31">
        <f>IF(AND($Q102=1,$Z102=1),1,0)</f>
        <v/>
      </c>
      <c r="AM102" s="31">
        <f>IF(AND($AL102=1,$AJ102&lt;&gt;""),MAX(0,TODAY()-$AJ102),"")</f>
        <v/>
      </c>
      <c r="AN102" s="31">
        <f>IF(OR($AL102=0,COUNT($AJ$6:$AJ$305)=0),0,IF($AJ102="",1,IF(TODAY()-$AJ102&gt;Board!$B$40,1,0)))</f>
        <v/>
      </c>
      <c r="AO102" s="31">
        <f>IF($AL102=0,0,IF($M102="■ Red",3,IF($M102="◧ Amber",2,IF($M102="□ On track",1,0))))</f>
        <v/>
      </c>
      <c r="AP102" s="31">
        <f>IF($AL102=0,0,IF($AK102="Will not hold",3,IF($AK102="At risk",2,IF($AK102="Will hold",1,0))))</f>
        <v/>
      </c>
      <c r="AQ102" s="31">
        <f>IF($AL102=0,"",IF($AO102=3,0,IF($AO102=2,1,IF(AND($AP102&gt;=2,$AP102&gt;$AO102),2,""))))</f>
        <v/>
      </c>
      <c r="AR102" s="31">
        <f>IF($AQ102="","",$AQ102*1000+102)</f>
        <v/>
      </c>
      <c r="AS102" s="31">
        <f>IF(AND($AL102=1,$AO102&gt;=2,$AP102&gt;=1,$AP102&lt;$AO102),1,0)</f>
        <v/>
      </c>
      <c r="AT102" s="31">
        <f>IF(AND($AL102=1,$AO102&gt;=2,$AP102=0),1,0)</f>
        <v/>
      </c>
      <c r="AU102" s="31">
        <f>IF(AND($AL102=1,$U102&lt;&gt;"",$U102&lt;TODAY()),1,0)</f>
        <v/>
      </c>
      <c r="AV102" s="31">
        <f>IF(OR($A102="",$AJ102="",Portfolio!$B$10=""),0,IF($AJ102&lt;=Portfolio!$B$10,0,IF(AND($D102="Completed",$Z102=1),1,IF(AND($D102="Terminated",$Z102=1),2,IF(AND($Q102=1,$Z102=0),3,0)))))</f>
        <v/>
      </c>
      <c r="AW102" s="31">
        <f>IF($AV102&gt;0,COUNTIF($AV$6:$AV102,"&gt;0"),"")</f>
        <v/>
      </c>
      <c r="AX102" s="31">
        <f>IF($AL102=0,"",IF(AND($B102="Project",$H102&lt;&gt;"",$H102&lt;TODAY()),"Planned finish "&amp;TEXT($H102,"d mmm")&amp;" has passed",IF($X102&gt;=2,(NETWORKDAYS($H102,$U102)-1)&amp;" working days past plan","")))</f>
        <v/>
      </c>
      <c r="AY102" s="31">
        <f>IF($AL102=0,"",IF($Y102&gt;=2,"Over budget by "&amp;TEXT(IF($B102="Program",$V102,$J102)-$K102,"#,##0"),""))</f>
        <v/>
      </c>
      <c r="AZ102" s="31">
        <f>IF(AND($AL102=1,$U102&lt;&gt;""),IF(AND(N($U102)&gt;=TODAY(),N($U102)&lt;=TODAY()+Board!$B$41),1,0),0)</f>
        <v/>
      </c>
    </row>
    <row r="103">
      <c r="A103" s="29" t="n"/>
      <c r="B103" s="29" t="n"/>
      <c r="C103" s="29" t="n"/>
      <c r="D103" s="29" t="n"/>
      <c r="E103" s="29" t="n"/>
      <c r="F103" s="29" t="n"/>
      <c r="G103" s="29" t="n"/>
      <c r="H103" s="30" t="n"/>
      <c r="I103" s="30" t="n"/>
      <c r="J103" s="19" t="n"/>
      <c r="K103" s="19" t="n"/>
      <c r="L103" s="26" t="n"/>
      <c r="M103" s="31">
        <f>IF($A103="","",IF($D103="","Not read",IF($Q103=0,"Not counted",IF(MAX($X103,$Y103)=3,"■ Red",IF(MAX($X103,$Y103)=2,"◧ Amber",IF(MAX($X103,$Y103)=1,"□ On track","Not read"))))))</f>
        <v/>
      </c>
      <c r="N103" s="31">
        <f>IF(OR($A103="",$B103&lt;&gt;"Program"),"","■ "&amp;COUNTIFS($C$6:$C$305,$A103,$M$6:$M$305,"■ Red")&amp;" Red, ◧ "&amp;COUNTIFS($C$6:$C$305,$A103,$M$6:$M$305,"◧ Amber")&amp;" Amber")</f>
        <v/>
      </c>
      <c r="O103" s="32">
        <f>IF(OR($A103="",$E103=""),"",COUNTIFS($E$6:$E$305,$E103,$D$6:$D$305,"Active")+COUNTIFS($E$6:$E$305,$E103,$D$6:$D$305,"Paused"))</f>
        <v/>
      </c>
      <c r="P103" s="31">
        <f>IF($A103="","",IF($AE103=0,"○ Clear",IF($AA103=1,"△ No owner",IF($AC103=1,"△ Check Sits under",IF($AC103=2,"△ Outside the portfolio",IF($AB103=1,"△ No sponsor","△ No variance note"))))&amp;IF($AE103&gt;1," (+"&amp;($AE103-1)&amp;" more)","")))</f>
        <v/>
      </c>
      <c r="Q103" s="31">
        <f>IF(AND($A103&lt;&gt;"",OR($D103="Active",$D103="Paused")),1,0)</f>
        <v/>
      </c>
      <c r="R103" s="31">
        <f>IFERROR(INDEX($A$6:$A$305,MATCH(96,$S$6:$S$305,0)),"")</f>
        <v/>
      </c>
      <c r="S103" s="31">
        <f>IF(AND($A103&lt;&gt;"",$B103="Program"),COUNTIFS($B$6:$B103,"Program",$A$6:$A103,"&lt;&gt;"),"")</f>
        <v/>
      </c>
      <c r="T103" s="33">
        <f>IF(AND($A103&lt;&gt;"",$B103="Program"),SUMPRODUCT(MAX(($C$6:$C$305=$A103)*($B$6:$B$305="Project")*($D$6:$D$305&lt;&gt;"Proposed")*$I$6:$I$305)),0)</f>
        <v/>
      </c>
      <c r="U103" s="33">
        <f>IF($I103&lt;&gt;"",$I103,IF($T103&gt;0,$T103,""))</f>
        <v/>
      </c>
      <c r="V103" s="31">
        <f>IF(AND($A103&lt;&gt;"",$B103="Program"),SUMIFS($J$6:$J$305,$C$6:$C$305,$A103,$B$6:$B$305,"Project",$D$6:$D$305,"&lt;&gt;Proposed"),0)</f>
        <v/>
      </c>
      <c r="W103" s="31">
        <f>IF(AND($A103&lt;&gt;"",$B103="Program"),COUNTIFS($C$6:$C$305,$A103,$B$6:$B$305,"Project",$D$6:$D$305,"&lt;&gt;Proposed")-COUNTIFS($C$6:$C$305,$A103,$B$6:$B$305,"Project",$D$6:$D$305,"&lt;&gt;Proposed",$J$6:$J$305,"&gt;=0"),0)</f>
        <v/>
      </c>
      <c r="X103" s="31">
        <f>IF(OR($Q103=0,$H103=""),0,IF(AND($B103="Project",$H103&lt;TODAY()),3,IF($U103="",0,IF($U103&lt;=$H103,1,IF(NETWORKDAYS($H103,$U103)-1&gt;IF($B103="Program",Portfolio!$B$16,Portfolio!$B$15),3,2)))))</f>
        <v/>
      </c>
      <c r="Y103" s="31">
        <f>IF(OR($Q103=0,$K103="",$K103=0),0,IF(AND($B103="Project",$J103=""),0,IF(IF($B103="Program",$V103,$J103)&gt;$K103*(1+Portfolio!$B$17),3,IF(IF($B103="Program",$V103,$J103)&gt;$K103,2,IF(AND($B103="Program",OR($W103&gt;0,$V103=0)),0,1)))))</f>
        <v/>
      </c>
      <c r="Z103" s="31">
        <f>IF($A103="",0,IF($C103="Portfolio",1,IF(AND($B103="Project",$C103&lt;&gt;"",$C103&lt;&gt;"Outside the portfolio"),IFERROR(IF(AND(INDEX($B$6:$B$305,MATCH($C103,$A$6:$A$305,0))="Program",INDEX($C$6:$C$305,MATCH($C103,$A$6:$A$305,0))="Portfolio"),1,0),0),0)))</f>
        <v/>
      </c>
      <c r="AA103" s="31">
        <f>IF(AND($A103&lt;&gt;"",$E103="",OR($Q103=1,$D103="Proposed")),1,0)</f>
        <v/>
      </c>
      <c r="AB103" s="31">
        <f>IF(AND($A103&lt;&gt;"",$B103="Program",$F103="",$Q103=1),1,0)</f>
        <v/>
      </c>
      <c r="AC103" s="31">
        <f>IF(OR($A103="",$D103="Completed",$D103="Terminated"),0,IF($C103="",1,IF($C103="Portfolio",0,IF($C103="Outside the portfolio",IF($Q103=1,2,0),IF($B103="Project",IF(IFERROR(INDEX($B$6:$B$305,MATCH($C103,$A$6:$A$305,0)),"")="Program",0,1),1)))))</f>
        <v/>
      </c>
      <c r="AD103" s="31">
        <f>IF(AND($A103&lt;&gt;"",OR($M103="■ Red",$M103="◧ Amber"),$L103=""),1,0)</f>
        <v/>
      </c>
      <c r="AE103" s="31">
        <f>$AA103+$AB103+IF($AC103&gt;0,1,0)+$AD103</f>
        <v/>
      </c>
      <c r="AJ103" s="14" t="n"/>
      <c r="AK103" s="29" t="n"/>
      <c r="AL103" s="31">
        <f>IF(AND($Q103=1,$Z103=1),1,0)</f>
        <v/>
      </c>
      <c r="AM103" s="31">
        <f>IF(AND($AL103=1,$AJ103&lt;&gt;""),MAX(0,TODAY()-$AJ103),"")</f>
        <v/>
      </c>
      <c r="AN103" s="31">
        <f>IF(OR($AL103=0,COUNT($AJ$6:$AJ$305)=0),0,IF($AJ103="",1,IF(TODAY()-$AJ103&gt;Board!$B$40,1,0)))</f>
        <v/>
      </c>
      <c r="AO103" s="31">
        <f>IF($AL103=0,0,IF($M103="■ Red",3,IF($M103="◧ Amber",2,IF($M103="□ On track",1,0))))</f>
        <v/>
      </c>
      <c r="AP103" s="31">
        <f>IF($AL103=0,0,IF($AK103="Will not hold",3,IF($AK103="At risk",2,IF($AK103="Will hold",1,0))))</f>
        <v/>
      </c>
      <c r="AQ103" s="31">
        <f>IF($AL103=0,"",IF($AO103=3,0,IF($AO103=2,1,IF(AND($AP103&gt;=2,$AP103&gt;$AO103),2,""))))</f>
        <v/>
      </c>
      <c r="AR103" s="31">
        <f>IF($AQ103="","",$AQ103*1000+103)</f>
        <v/>
      </c>
      <c r="AS103" s="31">
        <f>IF(AND($AL103=1,$AO103&gt;=2,$AP103&gt;=1,$AP103&lt;$AO103),1,0)</f>
        <v/>
      </c>
      <c r="AT103" s="31">
        <f>IF(AND($AL103=1,$AO103&gt;=2,$AP103=0),1,0)</f>
        <v/>
      </c>
      <c r="AU103" s="31">
        <f>IF(AND($AL103=1,$U103&lt;&gt;"",$U103&lt;TODAY()),1,0)</f>
        <v/>
      </c>
      <c r="AV103" s="31">
        <f>IF(OR($A103="",$AJ103="",Portfolio!$B$10=""),0,IF($AJ103&lt;=Portfolio!$B$10,0,IF(AND($D103="Completed",$Z103=1),1,IF(AND($D103="Terminated",$Z103=1),2,IF(AND($Q103=1,$Z103=0),3,0)))))</f>
        <v/>
      </c>
      <c r="AW103" s="31">
        <f>IF($AV103&gt;0,COUNTIF($AV$6:$AV103,"&gt;0"),"")</f>
        <v/>
      </c>
      <c r="AX103" s="31">
        <f>IF($AL103=0,"",IF(AND($B103="Project",$H103&lt;&gt;"",$H103&lt;TODAY()),"Planned finish "&amp;TEXT($H103,"d mmm")&amp;" has passed",IF($X103&gt;=2,(NETWORKDAYS($H103,$U103)-1)&amp;" working days past plan","")))</f>
        <v/>
      </c>
      <c r="AY103" s="31">
        <f>IF($AL103=0,"",IF($Y103&gt;=2,"Over budget by "&amp;TEXT(IF($B103="Program",$V103,$J103)-$K103,"#,##0"),""))</f>
        <v/>
      </c>
      <c r="AZ103" s="31">
        <f>IF(AND($AL103=1,$U103&lt;&gt;""),IF(AND(N($U103)&gt;=TODAY(),N($U103)&lt;=TODAY()+Board!$B$41),1,0),0)</f>
        <v/>
      </c>
    </row>
    <row r="104">
      <c r="A104" s="29" t="n"/>
      <c r="B104" s="29" t="n"/>
      <c r="C104" s="29" t="n"/>
      <c r="D104" s="29" t="n"/>
      <c r="E104" s="29" t="n"/>
      <c r="F104" s="29" t="n"/>
      <c r="G104" s="29" t="n"/>
      <c r="H104" s="30" t="n"/>
      <c r="I104" s="30" t="n"/>
      <c r="J104" s="19" t="n"/>
      <c r="K104" s="19" t="n"/>
      <c r="L104" s="26" t="n"/>
      <c r="M104" s="31">
        <f>IF($A104="","",IF($D104="","Not read",IF($Q104=0,"Not counted",IF(MAX($X104,$Y104)=3,"■ Red",IF(MAX($X104,$Y104)=2,"◧ Amber",IF(MAX($X104,$Y104)=1,"□ On track","Not read"))))))</f>
        <v/>
      </c>
      <c r="N104" s="31">
        <f>IF(OR($A104="",$B104&lt;&gt;"Program"),"","■ "&amp;COUNTIFS($C$6:$C$305,$A104,$M$6:$M$305,"■ Red")&amp;" Red, ◧ "&amp;COUNTIFS($C$6:$C$305,$A104,$M$6:$M$305,"◧ Amber")&amp;" Amber")</f>
        <v/>
      </c>
      <c r="O104" s="32">
        <f>IF(OR($A104="",$E104=""),"",COUNTIFS($E$6:$E$305,$E104,$D$6:$D$305,"Active")+COUNTIFS($E$6:$E$305,$E104,$D$6:$D$305,"Paused"))</f>
        <v/>
      </c>
      <c r="P104" s="31">
        <f>IF($A104="","",IF($AE104=0,"○ Clear",IF($AA104=1,"△ No owner",IF($AC104=1,"△ Check Sits under",IF($AC104=2,"△ Outside the portfolio",IF($AB104=1,"△ No sponsor","△ No variance note"))))&amp;IF($AE104&gt;1," (+"&amp;($AE104-1)&amp;" more)","")))</f>
        <v/>
      </c>
      <c r="Q104" s="31">
        <f>IF(AND($A104&lt;&gt;"",OR($D104="Active",$D104="Paused")),1,0)</f>
        <v/>
      </c>
      <c r="R104" s="31">
        <f>IFERROR(INDEX($A$6:$A$305,MATCH(97,$S$6:$S$305,0)),"")</f>
        <v/>
      </c>
      <c r="S104" s="31">
        <f>IF(AND($A104&lt;&gt;"",$B104="Program"),COUNTIFS($B$6:$B104,"Program",$A$6:$A104,"&lt;&gt;"),"")</f>
        <v/>
      </c>
      <c r="T104" s="33">
        <f>IF(AND($A104&lt;&gt;"",$B104="Program"),SUMPRODUCT(MAX(($C$6:$C$305=$A104)*($B$6:$B$305="Project")*($D$6:$D$305&lt;&gt;"Proposed")*$I$6:$I$305)),0)</f>
        <v/>
      </c>
      <c r="U104" s="33">
        <f>IF($I104&lt;&gt;"",$I104,IF($T104&gt;0,$T104,""))</f>
        <v/>
      </c>
      <c r="V104" s="31">
        <f>IF(AND($A104&lt;&gt;"",$B104="Program"),SUMIFS($J$6:$J$305,$C$6:$C$305,$A104,$B$6:$B$305,"Project",$D$6:$D$305,"&lt;&gt;Proposed"),0)</f>
        <v/>
      </c>
      <c r="W104" s="31">
        <f>IF(AND($A104&lt;&gt;"",$B104="Program"),COUNTIFS($C$6:$C$305,$A104,$B$6:$B$305,"Project",$D$6:$D$305,"&lt;&gt;Proposed")-COUNTIFS($C$6:$C$305,$A104,$B$6:$B$305,"Project",$D$6:$D$305,"&lt;&gt;Proposed",$J$6:$J$305,"&gt;=0"),0)</f>
        <v/>
      </c>
      <c r="X104" s="31">
        <f>IF(OR($Q104=0,$H104=""),0,IF(AND($B104="Project",$H104&lt;TODAY()),3,IF($U104="",0,IF($U104&lt;=$H104,1,IF(NETWORKDAYS($H104,$U104)-1&gt;IF($B104="Program",Portfolio!$B$16,Portfolio!$B$15),3,2)))))</f>
        <v/>
      </c>
      <c r="Y104" s="31">
        <f>IF(OR($Q104=0,$K104="",$K104=0),0,IF(AND($B104="Project",$J104=""),0,IF(IF($B104="Program",$V104,$J104)&gt;$K104*(1+Portfolio!$B$17),3,IF(IF($B104="Program",$V104,$J104)&gt;$K104,2,IF(AND($B104="Program",OR($W104&gt;0,$V104=0)),0,1)))))</f>
        <v/>
      </c>
      <c r="Z104" s="31">
        <f>IF($A104="",0,IF($C104="Portfolio",1,IF(AND($B104="Project",$C104&lt;&gt;"",$C104&lt;&gt;"Outside the portfolio"),IFERROR(IF(AND(INDEX($B$6:$B$305,MATCH($C104,$A$6:$A$305,0))="Program",INDEX($C$6:$C$305,MATCH($C104,$A$6:$A$305,0))="Portfolio"),1,0),0),0)))</f>
        <v/>
      </c>
      <c r="AA104" s="31">
        <f>IF(AND($A104&lt;&gt;"",$E104="",OR($Q104=1,$D104="Proposed")),1,0)</f>
        <v/>
      </c>
      <c r="AB104" s="31">
        <f>IF(AND($A104&lt;&gt;"",$B104="Program",$F104="",$Q104=1),1,0)</f>
        <v/>
      </c>
      <c r="AC104" s="31">
        <f>IF(OR($A104="",$D104="Completed",$D104="Terminated"),0,IF($C104="",1,IF($C104="Portfolio",0,IF($C104="Outside the portfolio",IF($Q104=1,2,0),IF($B104="Project",IF(IFERROR(INDEX($B$6:$B$305,MATCH($C104,$A$6:$A$305,0)),"")="Program",0,1),1)))))</f>
        <v/>
      </c>
      <c r="AD104" s="31">
        <f>IF(AND($A104&lt;&gt;"",OR($M104="■ Red",$M104="◧ Amber"),$L104=""),1,0)</f>
        <v/>
      </c>
      <c r="AE104" s="31">
        <f>$AA104+$AB104+IF($AC104&gt;0,1,0)+$AD104</f>
        <v/>
      </c>
      <c r="AJ104" s="14" t="n"/>
      <c r="AK104" s="29" t="n"/>
      <c r="AL104" s="31">
        <f>IF(AND($Q104=1,$Z104=1),1,0)</f>
        <v/>
      </c>
      <c r="AM104" s="31">
        <f>IF(AND($AL104=1,$AJ104&lt;&gt;""),MAX(0,TODAY()-$AJ104),"")</f>
        <v/>
      </c>
      <c r="AN104" s="31">
        <f>IF(OR($AL104=0,COUNT($AJ$6:$AJ$305)=0),0,IF($AJ104="",1,IF(TODAY()-$AJ104&gt;Board!$B$40,1,0)))</f>
        <v/>
      </c>
      <c r="AO104" s="31">
        <f>IF($AL104=0,0,IF($M104="■ Red",3,IF($M104="◧ Amber",2,IF($M104="□ On track",1,0))))</f>
        <v/>
      </c>
      <c r="AP104" s="31">
        <f>IF($AL104=0,0,IF($AK104="Will not hold",3,IF($AK104="At risk",2,IF($AK104="Will hold",1,0))))</f>
        <v/>
      </c>
      <c r="AQ104" s="31">
        <f>IF($AL104=0,"",IF($AO104=3,0,IF($AO104=2,1,IF(AND($AP104&gt;=2,$AP104&gt;$AO104),2,""))))</f>
        <v/>
      </c>
      <c r="AR104" s="31">
        <f>IF($AQ104="","",$AQ104*1000+104)</f>
        <v/>
      </c>
      <c r="AS104" s="31">
        <f>IF(AND($AL104=1,$AO104&gt;=2,$AP104&gt;=1,$AP104&lt;$AO104),1,0)</f>
        <v/>
      </c>
      <c r="AT104" s="31">
        <f>IF(AND($AL104=1,$AO104&gt;=2,$AP104=0),1,0)</f>
        <v/>
      </c>
      <c r="AU104" s="31">
        <f>IF(AND($AL104=1,$U104&lt;&gt;"",$U104&lt;TODAY()),1,0)</f>
        <v/>
      </c>
      <c r="AV104" s="31">
        <f>IF(OR($A104="",$AJ104="",Portfolio!$B$10=""),0,IF($AJ104&lt;=Portfolio!$B$10,0,IF(AND($D104="Completed",$Z104=1),1,IF(AND($D104="Terminated",$Z104=1),2,IF(AND($Q104=1,$Z104=0),3,0)))))</f>
        <v/>
      </c>
      <c r="AW104" s="31">
        <f>IF($AV104&gt;0,COUNTIF($AV$6:$AV104,"&gt;0"),"")</f>
        <v/>
      </c>
      <c r="AX104" s="31">
        <f>IF($AL104=0,"",IF(AND($B104="Project",$H104&lt;&gt;"",$H104&lt;TODAY()),"Planned finish "&amp;TEXT($H104,"d mmm")&amp;" has passed",IF($X104&gt;=2,(NETWORKDAYS($H104,$U104)-1)&amp;" working days past plan","")))</f>
        <v/>
      </c>
      <c r="AY104" s="31">
        <f>IF($AL104=0,"",IF($Y104&gt;=2,"Over budget by "&amp;TEXT(IF($B104="Program",$V104,$J104)-$K104,"#,##0"),""))</f>
        <v/>
      </c>
      <c r="AZ104" s="31">
        <f>IF(AND($AL104=1,$U104&lt;&gt;""),IF(AND(N($U104)&gt;=TODAY(),N($U104)&lt;=TODAY()+Board!$B$41),1,0),0)</f>
        <v/>
      </c>
    </row>
    <row r="105">
      <c r="A105" s="29" t="n"/>
      <c r="B105" s="29" t="n"/>
      <c r="C105" s="29" t="n"/>
      <c r="D105" s="29" t="n"/>
      <c r="E105" s="29" t="n"/>
      <c r="F105" s="29" t="n"/>
      <c r="G105" s="29" t="n"/>
      <c r="H105" s="30" t="n"/>
      <c r="I105" s="30" t="n"/>
      <c r="J105" s="19" t="n"/>
      <c r="K105" s="19" t="n"/>
      <c r="L105" s="26" t="n"/>
      <c r="M105" s="31">
        <f>IF($A105="","",IF($D105="","Not read",IF($Q105=0,"Not counted",IF(MAX($X105,$Y105)=3,"■ Red",IF(MAX($X105,$Y105)=2,"◧ Amber",IF(MAX($X105,$Y105)=1,"□ On track","Not read"))))))</f>
        <v/>
      </c>
      <c r="N105" s="31">
        <f>IF(OR($A105="",$B105&lt;&gt;"Program"),"","■ "&amp;COUNTIFS($C$6:$C$305,$A105,$M$6:$M$305,"■ Red")&amp;" Red, ◧ "&amp;COUNTIFS($C$6:$C$305,$A105,$M$6:$M$305,"◧ Amber")&amp;" Amber")</f>
        <v/>
      </c>
      <c r="O105" s="32">
        <f>IF(OR($A105="",$E105=""),"",COUNTIFS($E$6:$E$305,$E105,$D$6:$D$305,"Active")+COUNTIFS($E$6:$E$305,$E105,$D$6:$D$305,"Paused"))</f>
        <v/>
      </c>
      <c r="P105" s="31">
        <f>IF($A105="","",IF($AE105=0,"○ Clear",IF($AA105=1,"△ No owner",IF($AC105=1,"△ Check Sits under",IF($AC105=2,"△ Outside the portfolio",IF($AB105=1,"△ No sponsor","△ No variance note"))))&amp;IF($AE105&gt;1," (+"&amp;($AE105-1)&amp;" more)","")))</f>
        <v/>
      </c>
      <c r="Q105" s="31">
        <f>IF(AND($A105&lt;&gt;"",OR($D105="Active",$D105="Paused")),1,0)</f>
        <v/>
      </c>
      <c r="R105" s="31">
        <f>IFERROR(INDEX($A$6:$A$305,MATCH(98,$S$6:$S$305,0)),"")</f>
        <v/>
      </c>
      <c r="S105" s="31">
        <f>IF(AND($A105&lt;&gt;"",$B105="Program"),COUNTIFS($B$6:$B105,"Program",$A$6:$A105,"&lt;&gt;"),"")</f>
        <v/>
      </c>
      <c r="T105" s="33">
        <f>IF(AND($A105&lt;&gt;"",$B105="Program"),SUMPRODUCT(MAX(($C$6:$C$305=$A105)*($B$6:$B$305="Project")*($D$6:$D$305&lt;&gt;"Proposed")*$I$6:$I$305)),0)</f>
        <v/>
      </c>
      <c r="U105" s="33">
        <f>IF($I105&lt;&gt;"",$I105,IF($T105&gt;0,$T105,""))</f>
        <v/>
      </c>
      <c r="V105" s="31">
        <f>IF(AND($A105&lt;&gt;"",$B105="Program"),SUMIFS($J$6:$J$305,$C$6:$C$305,$A105,$B$6:$B$305,"Project",$D$6:$D$305,"&lt;&gt;Proposed"),0)</f>
        <v/>
      </c>
      <c r="W105" s="31">
        <f>IF(AND($A105&lt;&gt;"",$B105="Program"),COUNTIFS($C$6:$C$305,$A105,$B$6:$B$305,"Project",$D$6:$D$305,"&lt;&gt;Proposed")-COUNTIFS($C$6:$C$305,$A105,$B$6:$B$305,"Project",$D$6:$D$305,"&lt;&gt;Proposed",$J$6:$J$305,"&gt;=0"),0)</f>
        <v/>
      </c>
      <c r="X105" s="31">
        <f>IF(OR($Q105=0,$H105=""),0,IF(AND($B105="Project",$H105&lt;TODAY()),3,IF($U105="",0,IF($U105&lt;=$H105,1,IF(NETWORKDAYS($H105,$U105)-1&gt;IF($B105="Program",Portfolio!$B$16,Portfolio!$B$15),3,2)))))</f>
        <v/>
      </c>
      <c r="Y105" s="31">
        <f>IF(OR($Q105=0,$K105="",$K105=0),0,IF(AND($B105="Project",$J105=""),0,IF(IF($B105="Program",$V105,$J105)&gt;$K105*(1+Portfolio!$B$17),3,IF(IF($B105="Program",$V105,$J105)&gt;$K105,2,IF(AND($B105="Program",OR($W105&gt;0,$V105=0)),0,1)))))</f>
        <v/>
      </c>
      <c r="Z105" s="31">
        <f>IF($A105="",0,IF($C105="Portfolio",1,IF(AND($B105="Project",$C105&lt;&gt;"",$C105&lt;&gt;"Outside the portfolio"),IFERROR(IF(AND(INDEX($B$6:$B$305,MATCH($C105,$A$6:$A$305,0))="Program",INDEX($C$6:$C$305,MATCH($C105,$A$6:$A$305,0))="Portfolio"),1,0),0),0)))</f>
        <v/>
      </c>
      <c r="AA105" s="31">
        <f>IF(AND($A105&lt;&gt;"",$E105="",OR($Q105=1,$D105="Proposed")),1,0)</f>
        <v/>
      </c>
      <c r="AB105" s="31">
        <f>IF(AND($A105&lt;&gt;"",$B105="Program",$F105="",$Q105=1),1,0)</f>
        <v/>
      </c>
      <c r="AC105" s="31">
        <f>IF(OR($A105="",$D105="Completed",$D105="Terminated"),0,IF($C105="",1,IF($C105="Portfolio",0,IF($C105="Outside the portfolio",IF($Q105=1,2,0),IF($B105="Project",IF(IFERROR(INDEX($B$6:$B$305,MATCH($C105,$A$6:$A$305,0)),"")="Program",0,1),1)))))</f>
        <v/>
      </c>
      <c r="AD105" s="31">
        <f>IF(AND($A105&lt;&gt;"",OR($M105="■ Red",$M105="◧ Amber"),$L105=""),1,0)</f>
        <v/>
      </c>
      <c r="AE105" s="31">
        <f>$AA105+$AB105+IF($AC105&gt;0,1,0)+$AD105</f>
        <v/>
      </c>
      <c r="AJ105" s="14" t="n"/>
      <c r="AK105" s="29" t="n"/>
      <c r="AL105" s="31">
        <f>IF(AND($Q105=1,$Z105=1),1,0)</f>
        <v/>
      </c>
      <c r="AM105" s="31">
        <f>IF(AND($AL105=1,$AJ105&lt;&gt;""),MAX(0,TODAY()-$AJ105),"")</f>
        <v/>
      </c>
      <c r="AN105" s="31">
        <f>IF(OR($AL105=0,COUNT($AJ$6:$AJ$305)=0),0,IF($AJ105="",1,IF(TODAY()-$AJ105&gt;Board!$B$40,1,0)))</f>
        <v/>
      </c>
      <c r="AO105" s="31">
        <f>IF($AL105=0,0,IF($M105="■ Red",3,IF($M105="◧ Amber",2,IF($M105="□ On track",1,0))))</f>
        <v/>
      </c>
      <c r="AP105" s="31">
        <f>IF($AL105=0,0,IF($AK105="Will not hold",3,IF($AK105="At risk",2,IF($AK105="Will hold",1,0))))</f>
        <v/>
      </c>
      <c r="AQ105" s="31">
        <f>IF($AL105=0,"",IF($AO105=3,0,IF($AO105=2,1,IF(AND($AP105&gt;=2,$AP105&gt;$AO105),2,""))))</f>
        <v/>
      </c>
      <c r="AR105" s="31">
        <f>IF($AQ105="","",$AQ105*1000+105)</f>
        <v/>
      </c>
      <c r="AS105" s="31">
        <f>IF(AND($AL105=1,$AO105&gt;=2,$AP105&gt;=1,$AP105&lt;$AO105),1,0)</f>
        <v/>
      </c>
      <c r="AT105" s="31">
        <f>IF(AND($AL105=1,$AO105&gt;=2,$AP105=0),1,0)</f>
        <v/>
      </c>
      <c r="AU105" s="31">
        <f>IF(AND($AL105=1,$U105&lt;&gt;"",$U105&lt;TODAY()),1,0)</f>
        <v/>
      </c>
      <c r="AV105" s="31">
        <f>IF(OR($A105="",$AJ105="",Portfolio!$B$10=""),0,IF($AJ105&lt;=Portfolio!$B$10,0,IF(AND($D105="Completed",$Z105=1),1,IF(AND($D105="Terminated",$Z105=1),2,IF(AND($Q105=1,$Z105=0),3,0)))))</f>
        <v/>
      </c>
      <c r="AW105" s="31">
        <f>IF($AV105&gt;0,COUNTIF($AV$6:$AV105,"&gt;0"),"")</f>
        <v/>
      </c>
      <c r="AX105" s="31">
        <f>IF($AL105=0,"",IF(AND($B105="Project",$H105&lt;&gt;"",$H105&lt;TODAY()),"Planned finish "&amp;TEXT($H105,"d mmm")&amp;" has passed",IF($X105&gt;=2,(NETWORKDAYS($H105,$U105)-1)&amp;" working days past plan","")))</f>
        <v/>
      </c>
      <c r="AY105" s="31">
        <f>IF($AL105=0,"",IF($Y105&gt;=2,"Over budget by "&amp;TEXT(IF($B105="Program",$V105,$J105)-$K105,"#,##0"),""))</f>
        <v/>
      </c>
      <c r="AZ105" s="31">
        <f>IF(AND($AL105=1,$U105&lt;&gt;""),IF(AND(N($U105)&gt;=TODAY(),N($U105)&lt;=TODAY()+Board!$B$41),1,0),0)</f>
        <v/>
      </c>
    </row>
    <row r="106">
      <c r="A106" s="29" t="n"/>
      <c r="B106" s="29" t="n"/>
      <c r="C106" s="29" t="n"/>
      <c r="D106" s="29" t="n"/>
      <c r="E106" s="29" t="n"/>
      <c r="F106" s="29" t="n"/>
      <c r="G106" s="29" t="n"/>
      <c r="H106" s="30" t="n"/>
      <c r="I106" s="30" t="n"/>
      <c r="J106" s="19" t="n"/>
      <c r="K106" s="19" t="n"/>
      <c r="L106" s="26" t="n"/>
      <c r="M106" s="31">
        <f>IF($A106="","",IF($D106="","Not read",IF($Q106=0,"Not counted",IF(MAX($X106,$Y106)=3,"■ Red",IF(MAX($X106,$Y106)=2,"◧ Amber",IF(MAX($X106,$Y106)=1,"□ On track","Not read"))))))</f>
        <v/>
      </c>
      <c r="N106" s="31">
        <f>IF(OR($A106="",$B106&lt;&gt;"Program"),"","■ "&amp;COUNTIFS($C$6:$C$305,$A106,$M$6:$M$305,"■ Red")&amp;" Red, ◧ "&amp;COUNTIFS($C$6:$C$305,$A106,$M$6:$M$305,"◧ Amber")&amp;" Amber")</f>
        <v/>
      </c>
      <c r="O106" s="32">
        <f>IF(OR($A106="",$E106=""),"",COUNTIFS($E$6:$E$305,$E106,$D$6:$D$305,"Active")+COUNTIFS($E$6:$E$305,$E106,$D$6:$D$305,"Paused"))</f>
        <v/>
      </c>
      <c r="P106" s="31">
        <f>IF($A106="","",IF($AE106=0,"○ Clear",IF($AA106=1,"△ No owner",IF($AC106=1,"△ Check Sits under",IF($AC106=2,"△ Outside the portfolio",IF($AB106=1,"△ No sponsor","△ No variance note"))))&amp;IF($AE106&gt;1," (+"&amp;($AE106-1)&amp;" more)","")))</f>
        <v/>
      </c>
      <c r="Q106" s="31">
        <f>IF(AND($A106&lt;&gt;"",OR($D106="Active",$D106="Paused")),1,0)</f>
        <v/>
      </c>
      <c r="R106" s="31">
        <f>IFERROR(INDEX($A$6:$A$305,MATCH(99,$S$6:$S$305,0)),"")</f>
        <v/>
      </c>
      <c r="S106" s="31">
        <f>IF(AND($A106&lt;&gt;"",$B106="Program"),COUNTIFS($B$6:$B106,"Program",$A$6:$A106,"&lt;&gt;"),"")</f>
        <v/>
      </c>
      <c r="T106" s="33">
        <f>IF(AND($A106&lt;&gt;"",$B106="Program"),SUMPRODUCT(MAX(($C$6:$C$305=$A106)*($B$6:$B$305="Project")*($D$6:$D$305&lt;&gt;"Proposed")*$I$6:$I$305)),0)</f>
        <v/>
      </c>
      <c r="U106" s="33">
        <f>IF($I106&lt;&gt;"",$I106,IF($T106&gt;0,$T106,""))</f>
        <v/>
      </c>
      <c r="V106" s="31">
        <f>IF(AND($A106&lt;&gt;"",$B106="Program"),SUMIFS($J$6:$J$305,$C$6:$C$305,$A106,$B$6:$B$305,"Project",$D$6:$D$305,"&lt;&gt;Proposed"),0)</f>
        <v/>
      </c>
      <c r="W106" s="31">
        <f>IF(AND($A106&lt;&gt;"",$B106="Program"),COUNTIFS($C$6:$C$305,$A106,$B$6:$B$305,"Project",$D$6:$D$305,"&lt;&gt;Proposed")-COUNTIFS($C$6:$C$305,$A106,$B$6:$B$305,"Project",$D$6:$D$305,"&lt;&gt;Proposed",$J$6:$J$305,"&gt;=0"),0)</f>
        <v/>
      </c>
      <c r="X106" s="31">
        <f>IF(OR($Q106=0,$H106=""),0,IF(AND($B106="Project",$H106&lt;TODAY()),3,IF($U106="",0,IF($U106&lt;=$H106,1,IF(NETWORKDAYS($H106,$U106)-1&gt;IF($B106="Program",Portfolio!$B$16,Portfolio!$B$15),3,2)))))</f>
        <v/>
      </c>
      <c r="Y106" s="31">
        <f>IF(OR($Q106=0,$K106="",$K106=0),0,IF(AND($B106="Project",$J106=""),0,IF(IF($B106="Program",$V106,$J106)&gt;$K106*(1+Portfolio!$B$17),3,IF(IF($B106="Program",$V106,$J106)&gt;$K106,2,IF(AND($B106="Program",OR($W106&gt;0,$V106=0)),0,1)))))</f>
        <v/>
      </c>
      <c r="Z106" s="31">
        <f>IF($A106="",0,IF($C106="Portfolio",1,IF(AND($B106="Project",$C106&lt;&gt;"",$C106&lt;&gt;"Outside the portfolio"),IFERROR(IF(AND(INDEX($B$6:$B$305,MATCH($C106,$A$6:$A$305,0))="Program",INDEX($C$6:$C$305,MATCH($C106,$A$6:$A$305,0))="Portfolio"),1,0),0),0)))</f>
        <v/>
      </c>
      <c r="AA106" s="31">
        <f>IF(AND($A106&lt;&gt;"",$E106="",OR($Q106=1,$D106="Proposed")),1,0)</f>
        <v/>
      </c>
      <c r="AB106" s="31">
        <f>IF(AND($A106&lt;&gt;"",$B106="Program",$F106="",$Q106=1),1,0)</f>
        <v/>
      </c>
      <c r="AC106" s="31">
        <f>IF(OR($A106="",$D106="Completed",$D106="Terminated"),0,IF($C106="",1,IF($C106="Portfolio",0,IF($C106="Outside the portfolio",IF($Q106=1,2,0),IF($B106="Project",IF(IFERROR(INDEX($B$6:$B$305,MATCH($C106,$A$6:$A$305,0)),"")="Program",0,1),1)))))</f>
        <v/>
      </c>
      <c r="AD106" s="31">
        <f>IF(AND($A106&lt;&gt;"",OR($M106="■ Red",$M106="◧ Amber"),$L106=""),1,0)</f>
        <v/>
      </c>
      <c r="AE106" s="31">
        <f>$AA106+$AB106+IF($AC106&gt;0,1,0)+$AD106</f>
        <v/>
      </c>
      <c r="AJ106" s="14" t="n"/>
      <c r="AK106" s="29" t="n"/>
      <c r="AL106" s="31">
        <f>IF(AND($Q106=1,$Z106=1),1,0)</f>
        <v/>
      </c>
      <c r="AM106" s="31">
        <f>IF(AND($AL106=1,$AJ106&lt;&gt;""),MAX(0,TODAY()-$AJ106),"")</f>
        <v/>
      </c>
      <c r="AN106" s="31">
        <f>IF(OR($AL106=0,COUNT($AJ$6:$AJ$305)=0),0,IF($AJ106="",1,IF(TODAY()-$AJ106&gt;Board!$B$40,1,0)))</f>
        <v/>
      </c>
      <c r="AO106" s="31">
        <f>IF($AL106=0,0,IF($M106="■ Red",3,IF($M106="◧ Amber",2,IF($M106="□ On track",1,0))))</f>
        <v/>
      </c>
      <c r="AP106" s="31">
        <f>IF($AL106=0,0,IF($AK106="Will not hold",3,IF($AK106="At risk",2,IF($AK106="Will hold",1,0))))</f>
        <v/>
      </c>
      <c r="AQ106" s="31">
        <f>IF($AL106=0,"",IF($AO106=3,0,IF($AO106=2,1,IF(AND($AP106&gt;=2,$AP106&gt;$AO106),2,""))))</f>
        <v/>
      </c>
      <c r="AR106" s="31">
        <f>IF($AQ106="","",$AQ106*1000+106)</f>
        <v/>
      </c>
      <c r="AS106" s="31">
        <f>IF(AND($AL106=1,$AO106&gt;=2,$AP106&gt;=1,$AP106&lt;$AO106),1,0)</f>
        <v/>
      </c>
      <c r="AT106" s="31">
        <f>IF(AND($AL106=1,$AO106&gt;=2,$AP106=0),1,0)</f>
        <v/>
      </c>
      <c r="AU106" s="31">
        <f>IF(AND($AL106=1,$U106&lt;&gt;"",$U106&lt;TODAY()),1,0)</f>
        <v/>
      </c>
      <c r="AV106" s="31">
        <f>IF(OR($A106="",$AJ106="",Portfolio!$B$10=""),0,IF($AJ106&lt;=Portfolio!$B$10,0,IF(AND($D106="Completed",$Z106=1),1,IF(AND($D106="Terminated",$Z106=1),2,IF(AND($Q106=1,$Z106=0),3,0)))))</f>
        <v/>
      </c>
      <c r="AW106" s="31">
        <f>IF($AV106&gt;0,COUNTIF($AV$6:$AV106,"&gt;0"),"")</f>
        <v/>
      </c>
      <c r="AX106" s="31">
        <f>IF($AL106=0,"",IF(AND($B106="Project",$H106&lt;&gt;"",$H106&lt;TODAY()),"Planned finish "&amp;TEXT($H106,"d mmm")&amp;" has passed",IF($X106&gt;=2,(NETWORKDAYS($H106,$U106)-1)&amp;" working days past plan","")))</f>
        <v/>
      </c>
      <c r="AY106" s="31">
        <f>IF($AL106=0,"",IF($Y106&gt;=2,"Over budget by "&amp;TEXT(IF($B106="Program",$V106,$J106)-$K106,"#,##0"),""))</f>
        <v/>
      </c>
      <c r="AZ106" s="31">
        <f>IF(AND($AL106=1,$U106&lt;&gt;""),IF(AND(N($U106)&gt;=TODAY(),N($U106)&lt;=TODAY()+Board!$B$41),1,0),0)</f>
        <v/>
      </c>
    </row>
    <row r="107">
      <c r="A107" s="29" t="n"/>
      <c r="B107" s="29" t="n"/>
      <c r="C107" s="29" t="n"/>
      <c r="D107" s="29" t="n"/>
      <c r="E107" s="29" t="n"/>
      <c r="F107" s="29" t="n"/>
      <c r="G107" s="29" t="n"/>
      <c r="H107" s="30" t="n"/>
      <c r="I107" s="30" t="n"/>
      <c r="J107" s="19" t="n"/>
      <c r="K107" s="19" t="n"/>
      <c r="L107" s="26" t="n"/>
      <c r="M107" s="31">
        <f>IF($A107="","",IF($D107="","Not read",IF($Q107=0,"Not counted",IF(MAX($X107,$Y107)=3,"■ Red",IF(MAX($X107,$Y107)=2,"◧ Amber",IF(MAX($X107,$Y107)=1,"□ On track","Not read"))))))</f>
        <v/>
      </c>
      <c r="N107" s="31">
        <f>IF(OR($A107="",$B107&lt;&gt;"Program"),"","■ "&amp;COUNTIFS($C$6:$C$305,$A107,$M$6:$M$305,"■ Red")&amp;" Red, ◧ "&amp;COUNTIFS($C$6:$C$305,$A107,$M$6:$M$305,"◧ Amber")&amp;" Amber")</f>
        <v/>
      </c>
      <c r="O107" s="32">
        <f>IF(OR($A107="",$E107=""),"",COUNTIFS($E$6:$E$305,$E107,$D$6:$D$305,"Active")+COUNTIFS($E$6:$E$305,$E107,$D$6:$D$305,"Paused"))</f>
        <v/>
      </c>
      <c r="P107" s="31">
        <f>IF($A107="","",IF($AE107=0,"○ Clear",IF($AA107=1,"△ No owner",IF($AC107=1,"△ Check Sits under",IF($AC107=2,"△ Outside the portfolio",IF($AB107=1,"△ No sponsor","△ No variance note"))))&amp;IF($AE107&gt;1," (+"&amp;($AE107-1)&amp;" more)","")))</f>
        <v/>
      </c>
      <c r="Q107" s="31">
        <f>IF(AND($A107&lt;&gt;"",OR($D107="Active",$D107="Paused")),1,0)</f>
        <v/>
      </c>
      <c r="R107" s="31">
        <f>IFERROR(INDEX($A$6:$A$305,MATCH(100,$S$6:$S$305,0)),"")</f>
        <v/>
      </c>
      <c r="S107" s="31">
        <f>IF(AND($A107&lt;&gt;"",$B107="Program"),COUNTIFS($B$6:$B107,"Program",$A$6:$A107,"&lt;&gt;"),"")</f>
        <v/>
      </c>
      <c r="T107" s="33">
        <f>IF(AND($A107&lt;&gt;"",$B107="Program"),SUMPRODUCT(MAX(($C$6:$C$305=$A107)*($B$6:$B$305="Project")*($D$6:$D$305&lt;&gt;"Proposed")*$I$6:$I$305)),0)</f>
        <v/>
      </c>
      <c r="U107" s="33">
        <f>IF($I107&lt;&gt;"",$I107,IF($T107&gt;0,$T107,""))</f>
        <v/>
      </c>
      <c r="V107" s="31">
        <f>IF(AND($A107&lt;&gt;"",$B107="Program"),SUMIFS($J$6:$J$305,$C$6:$C$305,$A107,$B$6:$B$305,"Project",$D$6:$D$305,"&lt;&gt;Proposed"),0)</f>
        <v/>
      </c>
      <c r="W107" s="31">
        <f>IF(AND($A107&lt;&gt;"",$B107="Program"),COUNTIFS($C$6:$C$305,$A107,$B$6:$B$305,"Project",$D$6:$D$305,"&lt;&gt;Proposed")-COUNTIFS($C$6:$C$305,$A107,$B$6:$B$305,"Project",$D$6:$D$305,"&lt;&gt;Proposed",$J$6:$J$305,"&gt;=0"),0)</f>
        <v/>
      </c>
      <c r="X107" s="31">
        <f>IF(OR($Q107=0,$H107=""),0,IF(AND($B107="Project",$H107&lt;TODAY()),3,IF($U107="",0,IF($U107&lt;=$H107,1,IF(NETWORKDAYS($H107,$U107)-1&gt;IF($B107="Program",Portfolio!$B$16,Portfolio!$B$15),3,2)))))</f>
        <v/>
      </c>
      <c r="Y107" s="31">
        <f>IF(OR($Q107=0,$K107="",$K107=0),0,IF(AND($B107="Project",$J107=""),0,IF(IF($B107="Program",$V107,$J107)&gt;$K107*(1+Portfolio!$B$17),3,IF(IF($B107="Program",$V107,$J107)&gt;$K107,2,IF(AND($B107="Program",OR($W107&gt;0,$V107=0)),0,1)))))</f>
        <v/>
      </c>
      <c r="Z107" s="31">
        <f>IF($A107="",0,IF($C107="Portfolio",1,IF(AND($B107="Project",$C107&lt;&gt;"",$C107&lt;&gt;"Outside the portfolio"),IFERROR(IF(AND(INDEX($B$6:$B$305,MATCH($C107,$A$6:$A$305,0))="Program",INDEX($C$6:$C$305,MATCH($C107,$A$6:$A$305,0))="Portfolio"),1,0),0),0)))</f>
        <v/>
      </c>
      <c r="AA107" s="31">
        <f>IF(AND($A107&lt;&gt;"",$E107="",OR($Q107=1,$D107="Proposed")),1,0)</f>
        <v/>
      </c>
      <c r="AB107" s="31">
        <f>IF(AND($A107&lt;&gt;"",$B107="Program",$F107="",$Q107=1),1,0)</f>
        <v/>
      </c>
      <c r="AC107" s="31">
        <f>IF(OR($A107="",$D107="Completed",$D107="Terminated"),0,IF($C107="",1,IF($C107="Portfolio",0,IF($C107="Outside the portfolio",IF($Q107=1,2,0),IF($B107="Project",IF(IFERROR(INDEX($B$6:$B$305,MATCH($C107,$A$6:$A$305,0)),"")="Program",0,1),1)))))</f>
        <v/>
      </c>
      <c r="AD107" s="31">
        <f>IF(AND($A107&lt;&gt;"",OR($M107="■ Red",$M107="◧ Amber"),$L107=""),1,0)</f>
        <v/>
      </c>
      <c r="AE107" s="31">
        <f>$AA107+$AB107+IF($AC107&gt;0,1,0)+$AD107</f>
        <v/>
      </c>
      <c r="AJ107" s="14" t="n"/>
      <c r="AK107" s="29" t="n"/>
      <c r="AL107" s="31">
        <f>IF(AND($Q107=1,$Z107=1),1,0)</f>
        <v/>
      </c>
      <c r="AM107" s="31">
        <f>IF(AND($AL107=1,$AJ107&lt;&gt;""),MAX(0,TODAY()-$AJ107),"")</f>
        <v/>
      </c>
      <c r="AN107" s="31">
        <f>IF(OR($AL107=0,COUNT($AJ$6:$AJ$305)=0),0,IF($AJ107="",1,IF(TODAY()-$AJ107&gt;Board!$B$40,1,0)))</f>
        <v/>
      </c>
      <c r="AO107" s="31">
        <f>IF($AL107=0,0,IF($M107="■ Red",3,IF($M107="◧ Amber",2,IF($M107="□ On track",1,0))))</f>
        <v/>
      </c>
      <c r="AP107" s="31">
        <f>IF($AL107=0,0,IF($AK107="Will not hold",3,IF($AK107="At risk",2,IF($AK107="Will hold",1,0))))</f>
        <v/>
      </c>
      <c r="AQ107" s="31">
        <f>IF($AL107=0,"",IF($AO107=3,0,IF($AO107=2,1,IF(AND($AP107&gt;=2,$AP107&gt;$AO107),2,""))))</f>
        <v/>
      </c>
      <c r="AR107" s="31">
        <f>IF($AQ107="","",$AQ107*1000+107)</f>
        <v/>
      </c>
      <c r="AS107" s="31">
        <f>IF(AND($AL107=1,$AO107&gt;=2,$AP107&gt;=1,$AP107&lt;$AO107),1,0)</f>
        <v/>
      </c>
      <c r="AT107" s="31">
        <f>IF(AND($AL107=1,$AO107&gt;=2,$AP107=0),1,0)</f>
        <v/>
      </c>
      <c r="AU107" s="31">
        <f>IF(AND($AL107=1,$U107&lt;&gt;"",$U107&lt;TODAY()),1,0)</f>
        <v/>
      </c>
      <c r="AV107" s="31">
        <f>IF(OR($A107="",$AJ107="",Portfolio!$B$10=""),0,IF($AJ107&lt;=Portfolio!$B$10,0,IF(AND($D107="Completed",$Z107=1),1,IF(AND($D107="Terminated",$Z107=1),2,IF(AND($Q107=1,$Z107=0),3,0)))))</f>
        <v/>
      </c>
      <c r="AW107" s="31">
        <f>IF($AV107&gt;0,COUNTIF($AV$6:$AV107,"&gt;0"),"")</f>
        <v/>
      </c>
      <c r="AX107" s="31">
        <f>IF($AL107=0,"",IF(AND($B107="Project",$H107&lt;&gt;"",$H107&lt;TODAY()),"Planned finish "&amp;TEXT($H107,"d mmm")&amp;" has passed",IF($X107&gt;=2,(NETWORKDAYS($H107,$U107)-1)&amp;" working days past plan","")))</f>
        <v/>
      </c>
      <c r="AY107" s="31">
        <f>IF($AL107=0,"",IF($Y107&gt;=2,"Over budget by "&amp;TEXT(IF($B107="Program",$V107,$J107)-$K107,"#,##0"),""))</f>
        <v/>
      </c>
      <c r="AZ107" s="31">
        <f>IF(AND($AL107=1,$U107&lt;&gt;""),IF(AND(N($U107)&gt;=TODAY(),N($U107)&lt;=TODAY()+Board!$B$41),1,0),0)</f>
        <v/>
      </c>
    </row>
    <row r="108">
      <c r="A108" s="29" t="n"/>
      <c r="B108" s="29" t="n"/>
      <c r="C108" s="29" t="n"/>
      <c r="D108" s="29" t="n"/>
      <c r="E108" s="29" t="n"/>
      <c r="F108" s="29" t="n"/>
      <c r="G108" s="29" t="n"/>
      <c r="H108" s="30" t="n"/>
      <c r="I108" s="30" t="n"/>
      <c r="J108" s="19" t="n"/>
      <c r="K108" s="19" t="n"/>
      <c r="L108" s="26" t="n"/>
      <c r="M108" s="31">
        <f>IF($A108="","",IF($D108="","Not read",IF($Q108=0,"Not counted",IF(MAX($X108,$Y108)=3,"■ Red",IF(MAX($X108,$Y108)=2,"◧ Amber",IF(MAX($X108,$Y108)=1,"□ On track","Not read"))))))</f>
        <v/>
      </c>
      <c r="N108" s="31">
        <f>IF(OR($A108="",$B108&lt;&gt;"Program"),"","■ "&amp;COUNTIFS($C$6:$C$305,$A108,$M$6:$M$305,"■ Red")&amp;" Red, ◧ "&amp;COUNTIFS($C$6:$C$305,$A108,$M$6:$M$305,"◧ Amber")&amp;" Amber")</f>
        <v/>
      </c>
      <c r="O108" s="32">
        <f>IF(OR($A108="",$E108=""),"",COUNTIFS($E$6:$E$305,$E108,$D$6:$D$305,"Active")+COUNTIFS($E$6:$E$305,$E108,$D$6:$D$305,"Paused"))</f>
        <v/>
      </c>
      <c r="P108" s="31">
        <f>IF($A108="","",IF($AE108=0,"○ Clear",IF($AA108=1,"△ No owner",IF($AC108=1,"△ Check Sits under",IF($AC108=2,"△ Outside the portfolio",IF($AB108=1,"△ No sponsor","△ No variance note"))))&amp;IF($AE108&gt;1," (+"&amp;($AE108-1)&amp;" more)","")))</f>
        <v/>
      </c>
      <c r="Q108" s="31">
        <f>IF(AND($A108&lt;&gt;"",OR($D108="Active",$D108="Paused")),1,0)</f>
        <v/>
      </c>
      <c r="R108" s="31">
        <f>IFERROR(INDEX($A$6:$A$305,MATCH(101,$S$6:$S$305,0)),"")</f>
        <v/>
      </c>
      <c r="S108" s="31">
        <f>IF(AND($A108&lt;&gt;"",$B108="Program"),COUNTIFS($B$6:$B108,"Program",$A$6:$A108,"&lt;&gt;"),"")</f>
        <v/>
      </c>
      <c r="T108" s="33">
        <f>IF(AND($A108&lt;&gt;"",$B108="Program"),SUMPRODUCT(MAX(($C$6:$C$305=$A108)*($B$6:$B$305="Project")*($D$6:$D$305&lt;&gt;"Proposed")*$I$6:$I$305)),0)</f>
        <v/>
      </c>
      <c r="U108" s="33">
        <f>IF($I108&lt;&gt;"",$I108,IF($T108&gt;0,$T108,""))</f>
        <v/>
      </c>
      <c r="V108" s="31">
        <f>IF(AND($A108&lt;&gt;"",$B108="Program"),SUMIFS($J$6:$J$305,$C$6:$C$305,$A108,$B$6:$B$305,"Project",$D$6:$D$305,"&lt;&gt;Proposed"),0)</f>
        <v/>
      </c>
      <c r="W108" s="31">
        <f>IF(AND($A108&lt;&gt;"",$B108="Program"),COUNTIFS($C$6:$C$305,$A108,$B$6:$B$305,"Project",$D$6:$D$305,"&lt;&gt;Proposed")-COUNTIFS($C$6:$C$305,$A108,$B$6:$B$305,"Project",$D$6:$D$305,"&lt;&gt;Proposed",$J$6:$J$305,"&gt;=0"),0)</f>
        <v/>
      </c>
      <c r="X108" s="31">
        <f>IF(OR($Q108=0,$H108=""),0,IF(AND($B108="Project",$H108&lt;TODAY()),3,IF($U108="",0,IF($U108&lt;=$H108,1,IF(NETWORKDAYS($H108,$U108)-1&gt;IF($B108="Program",Portfolio!$B$16,Portfolio!$B$15),3,2)))))</f>
        <v/>
      </c>
      <c r="Y108" s="31">
        <f>IF(OR($Q108=0,$K108="",$K108=0),0,IF(AND($B108="Project",$J108=""),0,IF(IF($B108="Program",$V108,$J108)&gt;$K108*(1+Portfolio!$B$17),3,IF(IF($B108="Program",$V108,$J108)&gt;$K108,2,IF(AND($B108="Program",OR($W108&gt;0,$V108=0)),0,1)))))</f>
        <v/>
      </c>
      <c r="Z108" s="31">
        <f>IF($A108="",0,IF($C108="Portfolio",1,IF(AND($B108="Project",$C108&lt;&gt;"",$C108&lt;&gt;"Outside the portfolio"),IFERROR(IF(AND(INDEX($B$6:$B$305,MATCH($C108,$A$6:$A$305,0))="Program",INDEX($C$6:$C$305,MATCH($C108,$A$6:$A$305,0))="Portfolio"),1,0),0),0)))</f>
        <v/>
      </c>
      <c r="AA108" s="31">
        <f>IF(AND($A108&lt;&gt;"",$E108="",OR($Q108=1,$D108="Proposed")),1,0)</f>
        <v/>
      </c>
      <c r="AB108" s="31">
        <f>IF(AND($A108&lt;&gt;"",$B108="Program",$F108="",$Q108=1),1,0)</f>
        <v/>
      </c>
      <c r="AC108" s="31">
        <f>IF(OR($A108="",$D108="Completed",$D108="Terminated"),0,IF($C108="",1,IF($C108="Portfolio",0,IF($C108="Outside the portfolio",IF($Q108=1,2,0),IF($B108="Project",IF(IFERROR(INDEX($B$6:$B$305,MATCH($C108,$A$6:$A$305,0)),"")="Program",0,1),1)))))</f>
        <v/>
      </c>
      <c r="AD108" s="31">
        <f>IF(AND($A108&lt;&gt;"",OR($M108="■ Red",$M108="◧ Amber"),$L108=""),1,0)</f>
        <v/>
      </c>
      <c r="AE108" s="31">
        <f>$AA108+$AB108+IF($AC108&gt;0,1,0)+$AD108</f>
        <v/>
      </c>
      <c r="AJ108" s="14" t="n"/>
      <c r="AK108" s="29" t="n"/>
      <c r="AL108" s="31">
        <f>IF(AND($Q108=1,$Z108=1),1,0)</f>
        <v/>
      </c>
      <c r="AM108" s="31">
        <f>IF(AND($AL108=1,$AJ108&lt;&gt;""),MAX(0,TODAY()-$AJ108),"")</f>
        <v/>
      </c>
      <c r="AN108" s="31">
        <f>IF(OR($AL108=0,COUNT($AJ$6:$AJ$305)=0),0,IF($AJ108="",1,IF(TODAY()-$AJ108&gt;Board!$B$40,1,0)))</f>
        <v/>
      </c>
      <c r="AO108" s="31">
        <f>IF($AL108=0,0,IF($M108="■ Red",3,IF($M108="◧ Amber",2,IF($M108="□ On track",1,0))))</f>
        <v/>
      </c>
      <c r="AP108" s="31">
        <f>IF($AL108=0,0,IF($AK108="Will not hold",3,IF($AK108="At risk",2,IF($AK108="Will hold",1,0))))</f>
        <v/>
      </c>
      <c r="AQ108" s="31">
        <f>IF($AL108=0,"",IF($AO108=3,0,IF($AO108=2,1,IF(AND($AP108&gt;=2,$AP108&gt;$AO108),2,""))))</f>
        <v/>
      </c>
      <c r="AR108" s="31">
        <f>IF($AQ108="","",$AQ108*1000+108)</f>
        <v/>
      </c>
      <c r="AS108" s="31">
        <f>IF(AND($AL108=1,$AO108&gt;=2,$AP108&gt;=1,$AP108&lt;$AO108),1,0)</f>
        <v/>
      </c>
      <c r="AT108" s="31">
        <f>IF(AND($AL108=1,$AO108&gt;=2,$AP108=0),1,0)</f>
        <v/>
      </c>
      <c r="AU108" s="31">
        <f>IF(AND($AL108=1,$U108&lt;&gt;"",$U108&lt;TODAY()),1,0)</f>
        <v/>
      </c>
      <c r="AV108" s="31">
        <f>IF(OR($A108="",$AJ108="",Portfolio!$B$10=""),0,IF($AJ108&lt;=Portfolio!$B$10,0,IF(AND($D108="Completed",$Z108=1),1,IF(AND($D108="Terminated",$Z108=1),2,IF(AND($Q108=1,$Z108=0),3,0)))))</f>
        <v/>
      </c>
      <c r="AW108" s="31">
        <f>IF($AV108&gt;0,COUNTIF($AV$6:$AV108,"&gt;0"),"")</f>
        <v/>
      </c>
      <c r="AX108" s="31">
        <f>IF($AL108=0,"",IF(AND($B108="Project",$H108&lt;&gt;"",$H108&lt;TODAY()),"Planned finish "&amp;TEXT($H108,"d mmm")&amp;" has passed",IF($X108&gt;=2,(NETWORKDAYS($H108,$U108)-1)&amp;" working days past plan","")))</f>
        <v/>
      </c>
      <c r="AY108" s="31">
        <f>IF($AL108=0,"",IF($Y108&gt;=2,"Over budget by "&amp;TEXT(IF($B108="Program",$V108,$J108)-$K108,"#,##0"),""))</f>
        <v/>
      </c>
      <c r="AZ108" s="31">
        <f>IF(AND($AL108=1,$U108&lt;&gt;""),IF(AND(N($U108)&gt;=TODAY(),N($U108)&lt;=TODAY()+Board!$B$41),1,0),0)</f>
        <v/>
      </c>
    </row>
    <row r="109">
      <c r="A109" s="29" t="n"/>
      <c r="B109" s="29" t="n"/>
      <c r="C109" s="29" t="n"/>
      <c r="D109" s="29" t="n"/>
      <c r="E109" s="29" t="n"/>
      <c r="F109" s="29" t="n"/>
      <c r="G109" s="29" t="n"/>
      <c r="H109" s="30" t="n"/>
      <c r="I109" s="30" t="n"/>
      <c r="J109" s="19" t="n"/>
      <c r="K109" s="19" t="n"/>
      <c r="L109" s="26" t="n"/>
      <c r="M109" s="31">
        <f>IF($A109="","",IF($D109="","Not read",IF($Q109=0,"Not counted",IF(MAX($X109,$Y109)=3,"■ Red",IF(MAX($X109,$Y109)=2,"◧ Amber",IF(MAX($X109,$Y109)=1,"□ On track","Not read"))))))</f>
        <v/>
      </c>
      <c r="N109" s="31">
        <f>IF(OR($A109="",$B109&lt;&gt;"Program"),"","■ "&amp;COUNTIFS($C$6:$C$305,$A109,$M$6:$M$305,"■ Red")&amp;" Red, ◧ "&amp;COUNTIFS($C$6:$C$305,$A109,$M$6:$M$305,"◧ Amber")&amp;" Amber")</f>
        <v/>
      </c>
      <c r="O109" s="32">
        <f>IF(OR($A109="",$E109=""),"",COUNTIFS($E$6:$E$305,$E109,$D$6:$D$305,"Active")+COUNTIFS($E$6:$E$305,$E109,$D$6:$D$305,"Paused"))</f>
        <v/>
      </c>
      <c r="P109" s="31">
        <f>IF($A109="","",IF($AE109=0,"○ Clear",IF($AA109=1,"△ No owner",IF($AC109=1,"△ Check Sits under",IF($AC109=2,"△ Outside the portfolio",IF($AB109=1,"△ No sponsor","△ No variance note"))))&amp;IF($AE109&gt;1," (+"&amp;($AE109-1)&amp;" more)","")))</f>
        <v/>
      </c>
      <c r="Q109" s="31">
        <f>IF(AND($A109&lt;&gt;"",OR($D109="Active",$D109="Paused")),1,0)</f>
        <v/>
      </c>
      <c r="R109" s="31">
        <f>IFERROR(INDEX($A$6:$A$305,MATCH(102,$S$6:$S$305,0)),"")</f>
        <v/>
      </c>
      <c r="S109" s="31">
        <f>IF(AND($A109&lt;&gt;"",$B109="Program"),COUNTIFS($B$6:$B109,"Program",$A$6:$A109,"&lt;&gt;"),"")</f>
        <v/>
      </c>
      <c r="T109" s="33">
        <f>IF(AND($A109&lt;&gt;"",$B109="Program"),SUMPRODUCT(MAX(($C$6:$C$305=$A109)*($B$6:$B$305="Project")*($D$6:$D$305&lt;&gt;"Proposed")*$I$6:$I$305)),0)</f>
        <v/>
      </c>
      <c r="U109" s="33">
        <f>IF($I109&lt;&gt;"",$I109,IF($T109&gt;0,$T109,""))</f>
        <v/>
      </c>
      <c r="V109" s="31">
        <f>IF(AND($A109&lt;&gt;"",$B109="Program"),SUMIFS($J$6:$J$305,$C$6:$C$305,$A109,$B$6:$B$305,"Project",$D$6:$D$305,"&lt;&gt;Proposed"),0)</f>
        <v/>
      </c>
      <c r="W109" s="31">
        <f>IF(AND($A109&lt;&gt;"",$B109="Program"),COUNTIFS($C$6:$C$305,$A109,$B$6:$B$305,"Project",$D$6:$D$305,"&lt;&gt;Proposed")-COUNTIFS($C$6:$C$305,$A109,$B$6:$B$305,"Project",$D$6:$D$305,"&lt;&gt;Proposed",$J$6:$J$305,"&gt;=0"),0)</f>
        <v/>
      </c>
      <c r="X109" s="31">
        <f>IF(OR($Q109=0,$H109=""),0,IF(AND($B109="Project",$H109&lt;TODAY()),3,IF($U109="",0,IF($U109&lt;=$H109,1,IF(NETWORKDAYS($H109,$U109)-1&gt;IF($B109="Program",Portfolio!$B$16,Portfolio!$B$15),3,2)))))</f>
        <v/>
      </c>
      <c r="Y109" s="31">
        <f>IF(OR($Q109=0,$K109="",$K109=0),0,IF(AND($B109="Project",$J109=""),0,IF(IF($B109="Program",$V109,$J109)&gt;$K109*(1+Portfolio!$B$17),3,IF(IF($B109="Program",$V109,$J109)&gt;$K109,2,IF(AND($B109="Program",OR($W109&gt;0,$V109=0)),0,1)))))</f>
        <v/>
      </c>
      <c r="Z109" s="31">
        <f>IF($A109="",0,IF($C109="Portfolio",1,IF(AND($B109="Project",$C109&lt;&gt;"",$C109&lt;&gt;"Outside the portfolio"),IFERROR(IF(AND(INDEX($B$6:$B$305,MATCH($C109,$A$6:$A$305,0))="Program",INDEX($C$6:$C$305,MATCH($C109,$A$6:$A$305,0))="Portfolio"),1,0),0),0)))</f>
        <v/>
      </c>
      <c r="AA109" s="31">
        <f>IF(AND($A109&lt;&gt;"",$E109="",OR($Q109=1,$D109="Proposed")),1,0)</f>
        <v/>
      </c>
      <c r="AB109" s="31">
        <f>IF(AND($A109&lt;&gt;"",$B109="Program",$F109="",$Q109=1),1,0)</f>
        <v/>
      </c>
      <c r="AC109" s="31">
        <f>IF(OR($A109="",$D109="Completed",$D109="Terminated"),0,IF($C109="",1,IF($C109="Portfolio",0,IF($C109="Outside the portfolio",IF($Q109=1,2,0),IF($B109="Project",IF(IFERROR(INDEX($B$6:$B$305,MATCH($C109,$A$6:$A$305,0)),"")="Program",0,1),1)))))</f>
        <v/>
      </c>
      <c r="AD109" s="31">
        <f>IF(AND($A109&lt;&gt;"",OR($M109="■ Red",$M109="◧ Amber"),$L109=""),1,0)</f>
        <v/>
      </c>
      <c r="AE109" s="31">
        <f>$AA109+$AB109+IF($AC109&gt;0,1,0)+$AD109</f>
        <v/>
      </c>
      <c r="AJ109" s="14" t="n"/>
      <c r="AK109" s="29" t="n"/>
      <c r="AL109" s="31">
        <f>IF(AND($Q109=1,$Z109=1),1,0)</f>
        <v/>
      </c>
      <c r="AM109" s="31">
        <f>IF(AND($AL109=1,$AJ109&lt;&gt;""),MAX(0,TODAY()-$AJ109),"")</f>
        <v/>
      </c>
      <c r="AN109" s="31">
        <f>IF(OR($AL109=0,COUNT($AJ$6:$AJ$305)=0),0,IF($AJ109="",1,IF(TODAY()-$AJ109&gt;Board!$B$40,1,0)))</f>
        <v/>
      </c>
      <c r="AO109" s="31">
        <f>IF($AL109=0,0,IF($M109="■ Red",3,IF($M109="◧ Amber",2,IF($M109="□ On track",1,0))))</f>
        <v/>
      </c>
      <c r="AP109" s="31">
        <f>IF($AL109=0,0,IF($AK109="Will not hold",3,IF($AK109="At risk",2,IF($AK109="Will hold",1,0))))</f>
        <v/>
      </c>
      <c r="AQ109" s="31">
        <f>IF($AL109=0,"",IF($AO109=3,0,IF($AO109=2,1,IF(AND($AP109&gt;=2,$AP109&gt;$AO109),2,""))))</f>
        <v/>
      </c>
      <c r="AR109" s="31">
        <f>IF($AQ109="","",$AQ109*1000+109)</f>
        <v/>
      </c>
      <c r="AS109" s="31">
        <f>IF(AND($AL109=1,$AO109&gt;=2,$AP109&gt;=1,$AP109&lt;$AO109),1,0)</f>
        <v/>
      </c>
      <c r="AT109" s="31">
        <f>IF(AND($AL109=1,$AO109&gt;=2,$AP109=0),1,0)</f>
        <v/>
      </c>
      <c r="AU109" s="31">
        <f>IF(AND($AL109=1,$U109&lt;&gt;"",$U109&lt;TODAY()),1,0)</f>
        <v/>
      </c>
      <c r="AV109" s="31">
        <f>IF(OR($A109="",$AJ109="",Portfolio!$B$10=""),0,IF($AJ109&lt;=Portfolio!$B$10,0,IF(AND($D109="Completed",$Z109=1),1,IF(AND($D109="Terminated",$Z109=1),2,IF(AND($Q109=1,$Z109=0),3,0)))))</f>
        <v/>
      </c>
      <c r="AW109" s="31">
        <f>IF($AV109&gt;0,COUNTIF($AV$6:$AV109,"&gt;0"),"")</f>
        <v/>
      </c>
      <c r="AX109" s="31">
        <f>IF($AL109=0,"",IF(AND($B109="Project",$H109&lt;&gt;"",$H109&lt;TODAY()),"Planned finish "&amp;TEXT($H109,"d mmm")&amp;" has passed",IF($X109&gt;=2,(NETWORKDAYS($H109,$U109)-1)&amp;" working days past plan","")))</f>
        <v/>
      </c>
      <c r="AY109" s="31">
        <f>IF($AL109=0,"",IF($Y109&gt;=2,"Over budget by "&amp;TEXT(IF($B109="Program",$V109,$J109)-$K109,"#,##0"),""))</f>
        <v/>
      </c>
      <c r="AZ109" s="31">
        <f>IF(AND($AL109=1,$U109&lt;&gt;""),IF(AND(N($U109)&gt;=TODAY(),N($U109)&lt;=TODAY()+Board!$B$41),1,0),0)</f>
        <v/>
      </c>
    </row>
    <row r="110">
      <c r="A110" s="29" t="n"/>
      <c r="B110" s="29" t="n"/>
      <c r="C110" s="29" t="n"/>
      <c r="D110" s="29" t="n"/>
      <c r="E110" s="29" t="n"/>
      <c r="F110" s="29" t="n"/>
      <c r="G110" s="29" t="n"/>
      <c r="H110" s="30" t="n"/>
      <c r="I110" s="30" t="n"/>
      <c r="J110" s="19" t="n"/>
      <c r="K110" s="19" t="n"/>
      <c r="L110" s="26" t="n"/>
      <c r="M110" s="31">
        <f>IF($A110="","",IF($D110="","Not read",IF($Q110=0,"Not counted",IF(MAX($X110,$Y110)=3,"■ Red",IF(MAX($X110,$Y110)=2,"◧ Amber",IF(MAX($X110,$Y110)=1,"□ On track","Not read"))))))</f>
        <v/>
      </c>
      <c r="N110" s="31">
        <f>IF(OR($A110="",$B110&lt;&gt;"Program"),"","■ "&amp;COUNTIFS($C$6:$C$305,$A110,$M$6:$M$305,"■ Red")&amp;" Red, ◧ "&amp;COUNTIFS($C$6:$C$305,$A110,$M$6:$M$305,"◧ Amber")&amp;" Amber")</f>
        <v/>
      </c>
      <c r="O110" s="32">
        <f>IF(OR($A110="",$E110=""),"",COUNTIFS($E$6:$E$305,$E110,$D$6:$D$305,"Active")+COUNTIFS($E$6:$E$305,$E110,$D$6:$D$305,"Paused"))</f>
        <v/>
      </c>
      <c r="P110" s="31">
        <f>IF($A110="","",IF($AE110=0,"○ Clear",IF($AA110=1,"△ No owner",IF($AC110=1,"△ Check Sits under",IF($AC110=2,"△ Outside the portfolio",IF($AB110=1,"△ No sponsor","△ No variance note"))))&amp;IF($AE110&gt;1," (+"&amp;($AE110-1)&amp;" more)","")))</f>
        <v/>
      </c>
      <c r="Q110" s="31">
        <f>IF(AND($A110&lt;&gt;"",OR($D110="Active",$D110="Paused")),1,0)</f>
        <v/>
      </c>
      <c r="R110" s="31">
        <f>IFERROR(INDEX($A$6:$A$305,MATCH(103,$S$6:$S$305,0)),"")</f>
        <v/>
      </c>
      <c r="S110" s="31">
        <f>IF(AND($A110&lt;&gt;"",$B110="Program"),COUNTIFS($B$6:$B110,"Program",$A$6:$A110,"&lt;&gt;"),"")</f>
        <v/>
      </c>
      <c r="T110" s="33">
        <f>IF(AND($A110&lt;&gt;"",$B110="Program"),SUMPRODUCT(MAX(($C$6:$C$305=$A110)*($B$6:$B$305="Project")*($D$6:$D$305&lt;&gt;"Proposed")*$I$6:$I$305)),0)</f>
        <v/>
      </c>
      <c r="U110" s="33">
        <f>IF($I110&lt;&gt;"",$I110,IF($T110&gt;0,$T110,""))</f>
        <v/>
      </c>
      <c r="V110" s="31">
        <f>IF(AND($A110&lt;&gt;"",$B110="Program"),SUMIFS($J$6:$J$305,$C$6:$C$305,$A110,$B$6:$B$305,"Project",$D$6:$D$305,"&lt;&gt;Proposed"),0)</f>
        <v/>
      </c>
      <c r="W110" s="31">
        <f>IF(AND($A110&lt;&gt;"",$B110="Program"),COUNTIFS($C$6:$C$305,$A110,$B$6:$B$305,"Project",$D$6:$D$305,"&lt;&gt;Proposed")-COUNTIFS($C$6:$C$305,$A110,$B$6:$B$305,"Project",$D$6:$D$305,"&lt;&gt;Proposed",$J$6:$J$305,"&gt;=0"),0)</f>
        <v/>
      </c>
      <c r="X110" s="31">
        <f>IF(OR($Q110=0,$H110=""),0,IF(AND($B110="Project",$H110&lt;TODAY()),3,IF($U110="",0,IF($U110&lt;=$H110,1,IF(NETWORKDAYS($H110,$U110)-1&gt;IF($B110="Program",Portfolio!$B$16,Portfolio!$B$15),3,2)))))</f>
        <v/>
      </c>
      <c r="Y110" s="31">
        <f>IF(OR($Q110=0,$K110="",$K110=0),0,IF(AND($B110="Project",$J110=""),0,IF(IF($B110="Program",$V110,$J110)&gt;$K110*(1+Portfolio!$B$17),3,IF(IF($B110="Program",$V110,$J110)&gt;$K110,2,IF(AND($B110="Program",OR($W110&gt;0,$V110=0)),0,1)))))</f>
        <v/>
      </c>
      <c r="Z110" s="31">
        <f>IF($A110="",0,IF($C110="Portfolio",1,IF(AND($B110="Project",$C110&lt;&gt;"",$C110&lt;&gt;"Outside the portfolio"),IFERROR(IF(AND(INDEX($B$6:$B$305,MATCH($C110,$A$6:$A$305,0))="Program",INDEX($C$6:$C$305,MATCH($C110,$A$6:$A$305,0))="Portfolio"),1,0),0),0)))</f>
        <v/>
      </c>
      <c r="AA110" s="31">
        <f>IF(AND($A110&lt;&gt;"",$E110="",OR($Q110=1,$D110="Proposed")),1,0)</f>
        <v/>
      </c>
      <c r="AB110" s="31">
        <f>IF(AND($A110&lt;&gt;"",$B110="Program",$F110="",$Q110=1),1,0)</f>
        <v/>
      </c>
      <c r="AC110" s="31">
        <f>IF(OR($A110="",$D110="Completed",$D110="Terminated"),0,IF($C110="",1,IF($C110="Portfolio",0,IF($C110="Outside the portfolio",IF($Q110=1,2,0),IF($B110="Project",IF(IFERROR(INDEX($B$6:$B$305,MATCH($C110,$A$6:$A$305,0)),"")="Program",0,1),1)))))</f>
        <v/>
      </c>
      <c r="AD110" s="31">
        <f>IF(AND($A110&lt;&gt;"",OR($M110="■ Red",$M110="◧ Amber"),$L110=""),1,0)</f>
        <v/>
      </c>
      <c r="AE110" s="31">
        <f>$AA110+$AB110+IF($AC110&gt;0,1,0)+$AD110</f>
        <v/>
      </c>
      <c r="AJ110" s="14" t="n"/>
      <c r="AK110" s="29" t="n"/>
      <c r="AL110" s="31">
        <f>IF(AND($Q110=1,$Z110=1),1,0)</f>
        <v/>
      </c>
      <c r="AM110" s="31">
        <f>IF(AND($AL110=1,$AJ110&lt;&gt;""),MAX(0,TODAY()-$AJ110),"")</f>
        <v/>
      </c>
      <c r="AN110" s="31">
        <f>IF(OR($AL110=0,COUNT($AJ$6:$AJ$305)=0),0,IF($AJ110="",1,IF(TODAY()-$AJ110&gt;Board!$B$40,1,0)))</f>
        <v/>
      </c>
      <c r="AO110" s="31">
        <f>IF($AL110=0,0,IF($M110="■ Red",3,IF($M110="◧ Amber",2,IF($M110="□ On track",1,0))))</f>
        <v/>
      </c>
      <c r="AP110" s="31">
        <f>IF($AL110=0,0,IF($AK110="Will not hold",3,IF($AK110="At risk",2,IF($AK110="Will hold",1,0))))</f>
        <v/>
      </c>
      <c r="AQ110" s="31">
        <f>IF($AL110=0,"",IF($AO110=3,0,IF($AO110=2,1,IF(AND($AP110&gt;=2,$AP110&gt;$AO110),2,""))))</f>
        <v/>
      </c>
      <c r="AR110" s="31">
        <f>IF($AQ110="","",$AQ110*1000+110)</f>
        <v/>
      </c>
      <c r="AS110" s="31">
        <f>IF(AND($AL110=1,$AO110&gt;=2,$AP110&gt;=1,$AP110&lt;$AO110),1,0)</f>
        <v/>
      </c>
      <c r="AT110" s="31">
        <f>IF(AND($AL110=1,$AO110&gt;=2,$AP110=0),1,0)</f>
        <v/>
      </c>
      <c r="AU110" s="31">
        <f>IF(AND($AL110=1,$U110&lt;&gt;"",$U110&lt;TODAY()),1,0)</f>
        <v/>
      </c>
      <c r="AV110" s="31">
        <f>IF(OR($A110="",$AJ110="",Portfolio!$B$10=""),0,IF($AJ110&lt;=Portfolio!$B$10,0,IF(AND($D110="Completed",$Z110=1),1,IF(AND($D110="Terminated",$Z110=1),2,IF(AND($Q110=1,$Z110=0),3,0)))))</f>
        <v/>
      </c>
      <c r="AW110" s="31">
        <f>IF($AV110&gt;0,COUNTIF($AV$6:$AV110,"&gt;0"),"")</f>
        <v/>
      </c>
      <c r="AX110" s="31">
        <f>IF($AL110=0,"",IF(AND($B110="Project",$H110&lt;&gt;"",$H110&lt;TODAY()),"Planned finish "&amp;TEXT($H110,"d mmm")&amp;" has passed",IF($X110&gt;=2,(NETWORKDAYS($H110,$U110)-1)&amp;" working days past plan","")))</f>
        <v/>
      </c>
      <c r="AY110" s="31">
        <f>IF($AL110=0,"",IF($Y110&gt;=2,"Over budget by "&amp;TEXT(IF($B110="Program",$V110,$J110)-$K110,"#,##0"),""))</f>
        <v/>
      </c>
      <c r="AZ110" s="31">
        <f>IF(AND($AL110=1,$U110&lt;&gt;""),IF(AND(N($U110)&gt;=TODAY(),N($U110)&lt;=TODAY()+Board!$B$41),1,0),0)</f>
        <v/>
      </c>
    </row>
    <row r="111">
      <c r="A111" s="29" t="n"/>
      <c r="B111" s="29" t="n"/>
      <c r="C111" s="29" t="n"/>
      <c r="D111" s="29" t="n"/>
      <c r="E111" s="29" t="n"/>
      <c r="F111" s="29" t="n"/>
      <c r="G111" s="29" t="n"/>
      <c r="H111" s="30" t="n"/>
      <c r="I111" s="30" t="n"/>
      <c r="J111" s="19" t="n"/>
      <c r="K111" s="19" t="n"/>
      <c r="L111" s="26" t="n"/>
      <c r="M111" s="31">
        <f>IF($A111="","",IF($D111="","Not read",IF($Q111=0,"Not counted",IF(MAX($X111,$Y111)=3,"■ Red",IF(MAX($X111,$Y111)=2,"◧ Amber",IF(MAX($X111,$Y111)=1,"□ On track","Not read"))))))</f>
        <v/>
      </c>
      <c r="N111" s="31">
        <f>IF(OR($A111="",$B111&lt;&gt;"Program"),"","■ "&amp;COUNTIFS($C$6:$C$305,$A111,$M$6:$M$305,"■ Red")&amp;" Red, ◧ "&amp;COUNTIFS($C$6:$C$305,$A111,$M$6:$M$305,"◧ Amber")&amp;" Amber")</f>
        <v/>
      </c>
      <c r="O111" s="32">
        <f>IF(OR($A111="",$E111=""),"",COUNTIFS($E$6:$E$305,$E111,$D$6:$D$305,"Active")+COUNTIFS($E$6:$E$305,$E111,$D$6:$D$305,"Paused"))</f>
        <v/>
      </c>
      <c r="P111" s="31">
        <f>IF($A111="","",IF($AE111=0,"○ Clear",IF($AA111=1,"△ No owner",IF($AC111=1,"△ Check Sits under",IF($AC111=2,"△ Outside the portfolio",IF($AB111=1,"△ No sponsor","△ No variance note"))))&amp;IF($AE111&gt;1," (+"&amp;($AE111-1)&amp;" more)","")))</f>
        <v/>
      </c>
      <c r="Q111" s="31">
        <f>IF(AND($A111&lt;&gt;"",OR($D111="Active",$D111="Paused")),1,0)</f>
        <v/>
      </c>
      <c r="R111" s="31">
        <f>IFERROR(INDEX($A$6:$A$305,MATCH(104,$S$6:$S$305,0)),"")</f>
        <v/>
      </c>
      <c r="S111" s="31">
        <f>IF(AND($A111&lt;&gt;"",$B111="Program"),COUNTIFS($B$6:$B111,"Program",$A$6:$A111,"&lt;&gt;"),"")</f>
        <v/>
      </c>
      <c r="T111" s="33">
        <f>IF(AND($A111&lt;&gt;"",$B111="Program"),SUMPRODUCT(MAX(($C$6:$C$305=$A111)*($B$6:$B$305="Project")*($D$6:$D$305&lt;&gt;"Proposed")*$I$6:$I$305)),0)</f>
        <v/>
      </c>
      <c r="U111" s="33">
        <f>IF($I111&lt;&gt;"",$I111,IF($T111&gt;0,$T111,""))</f>
        <v/>
      </c>
      <c r="V111" s="31">
        <f>IF(AND($A111&lt;&gt;"",$B111="Program"),SUMIFS($J$6:$J$305,$C$6:$C$305,$A111,$B$6:$B$305,"Project",$D$6:$D$305,"&lt;&gt;Proposed"),0)</f>
        <v/>
      </c>
      <c r="W111" s="31">
        <f>IF(AND($A111&lt;&gt;"",$B111="Program"),COUNTIFS($C$6:$C$305,$A111,$B$6:$B$305,"Project",$D$6:$D$305,"&lt;&gt;Proposed")-COUNTIFS($C$6:$C$305,$A111,$B$6:$B$305,"Project",$D$6:$D$305,"&lt;&gt;Proposed",$J$6:$J$305,"&gt;=0"),0)</f>
        <v/>
      </c>
      <c r="X111" s="31">
        <f>IF(OR($Q111=0,$H111=""),0,IF(AND($B111="Project",$H111&lt;TODAY()),3,IF($U111="",0,IF($U111&lt;=$H111,1,IF(NETWORKDAYS($H111,$U111)-1&gt;IF($B111="Program",Portfolio!$B$16,Portfolio!$B$15),3,2)))))</f>
        <v/>
      </c>
      <c r="Y111" s="31">
        <f>IF(OR($Q111=0,$K111="",$K111=0),0,IF(AND($B111="Project",$J111=""),0,IF(IF($B111="Program",$V111,$J111)&gt;$K111*(1+Portfolio!$B$17),3,IF(IF($B111="Program",$V111,$J111)&gt;$K111,2,IF(AND($B111="Program",OR($W111&gt;0,$V111=0)),0,1)))))</f>
        <v/>
      </c>
      <c r="Z111" s="31">
        <f>IF($A111="",0,IF($C111="Portfolio",1,IF(AND($B111="Project",$C111&lt;&gt;"",$C111&lt;&gt;"Outside the portfolio"),IFERROR(IF(AND(INDEX($B$6:$B$305,MATCH($C111,$A$6:$A$305,0))="Program",INDEX($C$6:$C$305,MATCH($C111,$A$6:$A$305,0))="Portfolio"),1,0),0),0)))</f>
        <v/>
      </c>
      <c r="AA111" s="31">
        <f>IF(AND($A111&lt;&gt;"",$E111="",OR($Q111=1,$D111="Proposed")),1,0)</f>
        <v/>
      </c>
      <c r="AB111" s="31">
        <f>IF(AND($A111&lt;&gt;"",$B111="Program",$F111="",$Q111=1),1,0)</f>
        <v/>
      </c>
      <c r="AC111" s="31">
        <f>IF(OR($A111="",$D111="Completed",$D111="Terminated"),0,IF($C111="",1,IF($C111="Portfolio",0,IF($C111="Outside the portfolio",IF($Q111=1,2,0),IF($B111="Project",IF(IFERROR(INDEX($B$6:$B$305,MATCH($C111,$A$6:$A$305,0)),"")="Program",0,1),1)))))</f>
        <v/>
      </c>
      <c r="AD111" s="31">
        <f>IF(AND($A111&lt;&gt;"",OR($M111="■ Red",$M111="◧ Amber"),$L111=""),1,0)</f>
        <v/>
      </c>
      <c r="AE111" s="31">
        <f>$AA111+$AB111+IF($AC111&gt;0,1,0)+$AD111</f>
        <v/>
      </c>
      <c r="AJ111" s="14" t="n"/>
      <c r="AK111" s="29" t="n"/>
      <c r="AL111" s="31">
        <f>IF(AND($Q111=1,$Z111=1),1,0)</f>
        <v/>
      </c>
      <c r="AM111" s="31">
        <f>IF(AND($AL111=1,$AJ111&lt;&gt;""),MAX(0,TODAY()-$AJ111),"")</f>
        <v/>
      </c>
      <c r="AN111" s="31">
        <f>IF(OR($AL111=0,COUNT($AJ$6:$AJ$305)=0),0,IF($AJ111="",1,IF(TODAY()-$AJ111&gt;Board!$B$40,1,0)))</f>
        <v/>
      </c>
      <c r="AO111" s="31">
        <f>IF($AL111=0,0,IF($M111="■ Red",3,IF($M111="◧ Amber",2,IF($M111="□ On track",1,0))))</f>
        <v/>
      </c>
      <c r="AP111" s="31">
        <f>IF($AL111=0,0,IF($AK111="Will not hold",3,IF($AK111="At risk",2,IF($AK111="Will hold",1,0))))</f>
        <v/>
      </c>
      <c r="AQ111" s="31">
        <f>IF($AL111=0,"",IF($AO111=3,0,IF($AO111=2,1,IF(AND($AP111&gt;=2,$AP111&gt;$AO111),2,""))))</f>
        <v/>
      </c>
      <c r="AR111" s="31">
        <f>IF($AQ111="","",$AQ111*1000+111)</f>
        <v/>
      </c>
      <c r="AS111" s="31">
        <f>IF(AND($AL111=1,$AO111&gt;=2,$AP111&gt;=1,$AP111&lt;$AO111),1,0)</f>
        <v/>
      </c>
      <c r="AT111" s="31">
        <f>IF(AND($AL111=1,$AO111&gt;=2,$AP111=0),1,0)</f>
        <v/>
      </c>
      <c r="AU111" s="31">
        <f>IF(AND($AL111=1,$U111&lt;&gt;"",$U111&lt;TODAY()),1,0)</f>
        <v/>
      </c>
      <c r="AV111" s="31">
        <f>IF(OR($A111="",$AJ111="",Portfolio!$B$10=""),0,IF($AJ111&lt;=Portfolio!$B$10,0,IF(AND($D111="Completed",$Z111=1),1,IF(AND($D111="Terminated",$Z111=1),2,IF(AND($Q111=1,$Z111=0),3,0)))))</f>
        <v/>
      </c>
      <c r="AW111" s="31">
        <f>IF($AV111&gt;0,COUNTIF($AV$6:$AV111,"&gt;0"),"")</f>
        <v/>
      </c>
      <c r="AX111" s="31">
        <f>IF($AL111=0,"",IF(AND($B111="Project",$H111&lt;&gt;"",$H111&lt;TODAY()),"Planned finish "&amp;TEXT($H111,"d mmm")&amp;" has passed",IF($X111&gt;=2,(NETWORKDAYS($H111,$U111)-1)&amp;" working days past plan","")))</f>
        <v/>
      </c>
      <c r="AY111" s="31">
        <f>IF($AL111=0,"",IF($Y111&gt;=2,"Over budget by "&amp;TEXT(IF($B111="Program",$V111,$J111)-$K111,"#,##0"),""))</f>
        <v/>
      </c>
      <c r="AZ111" s="31">
        <f>IF(AND($AL111=1,$U111&lt;&gt;""),IF(AND(N($U111)&gt;=TODAY(),N($U111)&lt;=TODAY()+Board!$B$41),1,0),0)</f>
        <v/>
      </c>
    </row>
    <row r="112">
      <c r="A112" s="29" t="n"/>
      <c r="B112" s="29" t="n"/>
      <c r="C112" s="29" t="n"/>
      <c r="D112" s="29" t="n"/>
      <c r="E112" s="29" t="n"/>
      <c r="F112" s="29" t="n"/>
      <c r="G112" s="29" t="n"/>
      <c r="H112" s="30" t="n"/>
      <c r="I112" s="30" t="n"/>
      <c r="J112" s="19" t="n"/>
      <c r="K112" s="19" t="n"/>
      <c r="L112" s="26" t="n"/>
      <c r="M112" s="31">
        <f>IF($A112="","",IF($D112="","Not read",IF($Q112=0,"Not counted",IF(MAX($X112,$Y112)=3,"■ Red",IF(MAX($X112,$Y112)=2,"◧ Amber",IF(MAX($X112,$Y112)=1,"□ On track","Not read"))))))</f>
        <v/>
      </c>
      <c r="N112" s="31">
        <f>IF(OR($A112="",$B112&lt;&gt;"Program"),"","■ "&amp;COUNTIFS($C$6:$C$305,$A112,$M$6:$M$305,"■ Red")&amp;" Red, ◧ "&amp;COUNTIFS($C$6:$C$305,$A112,$M$6:$M$305,"◧ Amber")&amp;" Amber")</f>
        <v/>
      </c>
      <c r="O112" s="32">
        <f>IF(OR($A112="",$E112=""),"",COUNTIFS($E$6:$E$305,$E112,$D$6:$D$305,"Active")+COUNTIFS($E$6:$E$305,$E112,$D$6:$D$305,"Paused"))</f>
        <v/>
      </c>
      <c r="P112" s="31">
        <f>IF($A112="","",IF($AE112=0,"○ Clear",IF($AA112=1,"△ No owner",IF($AC112=1,"△ Check Sits under",IF($AC112=2,"△ Outside the portfolio",IF($AB112=1,"△ No sponsor","△ No variance note"))))&amp;IF($AE112&gt;1," (+"&amp;($AE112-1)&amp;" more)","")))</f>
        <v/>
      </c>
      <c r="Q112" s="31">
        <f>IF(AND($A112&lt;&gt;"",OR($D112="Active",$D112="Paused")),1,0)</f>
        <v/>
      </c>
      <c r="R112" s="31">
        <f>IFERROR(INDEX($A$6:$A$305,MATCH(105,$S$6:$S$305,0)),"")</f>
        <v/>
      </c>
      <c r="S112" s="31">
        <f>IF(AND($A112&lt;&gt;"",$B112="Program"),COUNTIFS($B$6:$B112,"Program",$A$6:$A112,"&lt;&gt;"),"")</f>
        <v/>
      </c>
      <c r="T112" s="33">
        <f>IF(AND($A112&lt;&gt;"",$B112="Program"),SUMPRODUCT(MAX(($C$6:$C$305=$A112)*($B$6:$B$305="Project")*($D$6:$D$305&lt;&gt;"Proposed")*$I$6:$I$305)),0)</f>
        <v/>
      </c>
      <c r="U112" s="33">
        <f>IF($I112&lt;&gt;"",$I112,IF($T112&gt;0,$T112,""))</f>
        <v/>
      </c>
      <c r="V112" s="31">
        <f>IF(AND($A112&lt;&gt;"",$B112="Program"),SUMIFS($J$6:$J$305,$C$6:$C$305,$A112,$B$6:$B$305,"Project",$D$6:$D$305,"&lt;&gt;Proposed"),0)</f>
        <v/>
      </c>
      <c r="W112" s="31">
        <f>IF(AND($A112&lt;&gt;"",$B112="Program"),COUNTIFS($C$6:$C$305,$A112,$B$6:$B$305,"Project",$D$6:$D$305,"&lt;&gt;Proposed")-COUNTIFS($C$6:$C$305,$A112,$B$6:$B$305,"Project",$D$6:$D$305,"&lt;&gt;Proposed",$J$6:$J$305,"&gt;=0"),0)</f>
        <v/>
      </c>
      <c r="X112" s="31">
        <f>IF(OR($Q112=0,$H112=""),0,IF(AND($B112="Project",$H112&lt;TODAY()),3,IF($U112="",0,IF($U112&lt;=$H112,1,IF(NETWORKDAYS($H112,$U112)-1&gt;IF($B112="Program",Portfolio!$B$16,Portfolio!$B$15),3,2)))))</f>
        <v/>
      </c>
      <c r="Y112" s="31">
        <f>IF(OR($Q112=0,$K112="",$K112=0),0,IF(AND($B112="Project",$J112=""),0,IF(IF($B112="Program",$V112,$J112)&gt;$K112*(1+Portfolio!$B$17),3,IF(IF($B112="Program",$V112,$J112)&gt;$K112,2,IF(AND($B112="Program",OR($W112&gt;0,$V112=0)),0,1)))))</f>
        <v/>
      </c>
      <c r="Z112" s="31">
        <f>IF($A112="",0,IF($C112="Portfolio",1,IF(AND($B112="Project",$C112&lt;&gt;"",$C112&lt;&gt;"Outside the portfolio"),IFERROR(IF(AND(INDEX($B$6:$B$305,MATCH($C112,$A$6:$A$305,0))="Program",INDEX($C$6:$C$305,MATCH($C112,$A$6:$A$305,0))="Portfolio"),1,0),0),0)))</f>
        <v/>
      </c>
      <c r="AA112" s="31">
        <f>IF(AND($A112&lt;&gt;"",$E112="",OR($Q112=1,$D112="Proposed")),1,0)</f>
        <v/>
      </c>
      <c r="AB112" s="31">
        <f>IF(AND($A112&lt;&gt;"",$B112="Program",$F112="",$Q112=1),1,0)</f>
        <v/>
      </c>
      <c r="AC112" s="31">
        <f>IF(OR($A112="",$D112="Completed",$D112="Terminated"),0,IF($C112="",1,IF($C112="Portfolio",0,IF($C112="Outside the portfolio",IF($Q112=1,2,0),IF($B112="Project",IF(IFERROR(INDEX($B$6:$B$305,MATCH($C112,$A$6:$A$305,0)),"")="Program",0,1),1)))))</f>
        <v/>
      </c>
      <c r="AD112" s="31">
        <f>IF(AND($A112&lt;&gt;"",OR($M112="■ Red",$M112="◧ Amber"),$L112=""),1,0)</f>
        <v/>
      </c>
      <c r="AE112" s="31">
        <f>$AA112+$AB112+IF($AC112&gt;0,1,0)+$AD112</f>
        <v/>
      </c>
      <c r="AJ112" s="14" t="n"/>
      <c r="AK112" s="29" t="n"/>
      <c r="AL112" s="31">
        <f>IF(AND($Q112=1,$Z112=1),1,0)</f>
        <v/>
      </c>
      <c r="AM112" s="31">
        <f>IF(AND($AL112=1,$AJ112&lt;&gt;""),MAX(0,TODAY()-$AJ112),"")</f>
        <v/>
      </c>
      <c r="AN112" s="31">
        <f>IF(OR($AL112=0,COUNT($AJ$6:$AJ$305)=0),0,IF($AJ112="",1,IF(TODAY()-$AJ112&gt;Board!$B$40,1,0)))</f>
        <v/>
      </c>
      <c r="AO112" s="31">
        <f>IF($AL112=0,0,IF($M112="■ Red",3,IF($M112="◧ Amber",2,IF($M112="□ On track",1,0))))</f>
        <v/>
      </c>
      <c r="AP112" s="31">
        <f>IF($AL112=0,0,IF($AK112="Will not hold",3,IF($AK112="At risk",2,IF($AK112="Will hold",1,0))))</f>
        <v/>
      </c>
      <c r="AQ112" s="31">
        <f>IF($AL112=0,"",IF($AO112=3,0,IF($AO112=2,1,IF(AND($AP112&gt;=2,$AP112&gt;$AO112),2,""))))</f>
        <v/>
      </c>
      <c r="AR112" s="31">
        <f>IF($AQ112="","",$AQ112*1000+112)</f>
        <v/>
      </c>
      <c r="AS112" s="31">
        <f>IF(AND($AL112=1,$AO112&gt;=2,$AP112&gt;=1,$AP112&lt;$AO112),1,0)</f>
        <v/>
      </c>
      <c r="AT112" s="31">
        <f>IF(AND($AL112=1,$AO112&gt;=2,$AP112=0),1,0)</f>
        <v/>
      </c>
      <c r="AU112" s="31">
        <f>IF(AND($AL112=1,$U112&lt;&gt;"",$U112&lt;TODAY()),1,0)</f>
        <v/>
      </c>
      <c r="AV112" s="31">
        <f>IF(OR($A112="",$AJ112="",Portfolio!$B$10=""),0,IF($AJ112&lt;=Portfolio!$B$10,0,IF(AND($D112="Completed",$Z112=1),1,IF(AND($D112="Terminated",$Z112=1),2,IF(AND($Q112=1,$Z112=0),3,0)))))</f>
        <v/>
      </c>
      <c r="AW112" s="31">
        <f>IF($AV112&gt;0,COUNTIF($AV$6:$AV112,"&gt;0"),"")</f>
        <v/>
      </c>
      <c r="AX112" s="31">
        <f>IF($AL112=0,"",IF(AND($B112="Project",$H112&lt;&gt;"",$H112&lt;TODAY()),"Planned finish "&amp;TEXT($H112,"d mmm")&amp;" has passed",IF($X112&gt;=2,(NETWORKDAYS($H112,$U112)-1)&amp;" working days past plan","")))</f>
        <v/>
      </c>
      <c r="AY112" s="31">
        <f>IF($AL112=0,"",IF($Y112&gt;=2,"Over budget by "&amp;TEXT(IF($B112="Program",$V112,$J112)-$K112,"#,##0"),""))</f>
        <v/>
      </c>
      <c r="AZ112" s="31">
        <f>IF(AND($AL112=1,$U112&lt;&gt;""),IF(AND(N($U112)&gt;=TODAY(),N($U112)&lt;=TODAY()+Board!$B$41),1,0),0)</f>
        <v/>
      </c>
    </row>
    <row r="113">
      <c r="A113" s="29" t="n"/>
      <c r="B113" s="29" t="n"/>
      <c r="C113" s="29" t="n"/>
      <c r="D113" s="29" t="n"/>
      <c r="E113" s="29" t="n"/>
      <c r="F113" s="29" t="n"/>
      <c r="G113" s="29" t="n"/>
      <c r="H113" s="30" t="n"/>
      <c r="I113" s="30" t="n"/>
      <c r="J113" s="19" t="n"/>
      <c r="K113" s="19" t="n"/>
      <c r="L113" s="26" t="n"/>
      <c r="M113" s="31">
        <f>IF($A113="","",IF($D113="","Not read",IF($Q113=0,"Not counted",IF(MAX($X113,$Y113)=3,"■ Red",IF(MAX($X113,$Y113)=2,"◧ Amber",IF(MAX($X113,$Y113)=1,"□ On track","Not read"))))))</f>
        <v/>
      </c>
      <c r="N113" s="31">
        <f>IF(OR($A113="",$B113&lt;&gt;"Program"),"","■ "&amp;COUNTIFS($C$6:$C$305,$A113,$M$6:$M$305,"■ Red")&amp;" Red, ◧ "&amp;COUNTIFS($C$6:$C$305,$A113,$M$6:$M$305,"◧ Amber")&amp;" Amber")</f>
        <v/>
      </c>
      <c r="O113" s="32">
        <f>IF(OR($A113="",$E113=""),"",COUNTIFS($E$6:$E$305,$E113,$D$6:$D$305,"Active")+COUNTIFS($E$6:$E$305,$E113,$D$6:$D$305,"Paused"))</f>
        <v/>
      </c>
      <c r="P113" s="31">
        <f>IF($A113="","",IF($AE113=0,"○ Clear",IF($AA113=1,"△ No owner",IF($AC113=1,"△ Check Sits under",IF($AC113=2,"△ Outside the portfolio",IF($AB113=1,"△ No sponsor","△ No variance note"))))&amp;IF($AE113&gt;1," (+"&amp;($AE113-1)&amp;" more)","")))</f>
        <v/>
      </c>
      <c r="Q113" s="31">
        <f>IF(AND($A113&lt;&gt;"",OR($D113="Active",$D113="Paused")),1,0)</f>
        <v/>
      </c>
      <c r="R113" s="31">
        <f>IFERROR(INDEX($A$6:$A$305,MATCH(106,$S$6:$S$305,0)),"")</f>
        <v/>
      </c>
      <c r="S113" s="31">
        <f>IF(AND($A113&lt;&gt;"",$B113="Program"),COUNTIFS($B$6:$B113,"Program",$A$6:$A113,"&lt;&gt;"),"")</f>
        <v/>
      </c>
      <c r="T113" s="33">
        <f>IF(AND($A113&lt;&gt;"",$B113="Program"),SUMPRODUCT(MAX(($C$6:$C$305=$A113)*($B$6:$B$305="Project")*($D$6:$D$305&lt;&gt;"Proposed")*$I$6:$I$305)),0)</f>
        <v/>
      </c>
      <c r="U113" s="33">
        <f>IF($I113&lt;&gt;"",$I113,IF($T113&gt;0,$T113,""))</f>
        <v/>
      </c>
      <c r="V113" s="31">
        <f>IF(AND($A113&lt;&gt;"",$B113="Program"),SUMIFS($J$6:$J$305,$C$6:$C$305,$A113,$B$6:$B$305,"Project",$D$6:$D$305,"&lt;&gt;Proposed"),0)</f>
        <v/>
      </c>
      <c r="W113" s="31">
        <f>IF(AND($A113&lt;&gt;"",$B113="Program"),COUNTIFS($C$6:$C$305,$A113,$B$6:$B$305,"Project",$D$6:$D$305,"&lt;&gt;Proposed")-COUNTIFS($C$6:$C$305,$A113,$B$6:$B$305,"Project",$D$6:$D$305,"&lt;&gt;Proposed",$J$6:$J$305,"&gt;=0"),0)</f>
        <v/>
      </c>
      <c r="X113" s="31">
        <f>IF(OR($Q113=0,$H113=""),0,IF(AND($B113="Project",$H113&lt;TODAY()),3,IF($U113="",0,IF($U113&lt;=$H113,1,IF(NETWORKDAYS($H113,$U113)-1&gt;IF($B113="Program",Portfolio!$B$16,Portfolio!$B$15),3,2)))))</f>
        <v/>
      </c>
      <c r="Y113" s="31">
        <f>IF(OR($Q113=0,$K113="",$K113=0),0,IF(AND($B113="Project",$J113=""),0,IF(IF($B113="Program",$V113,$J113)&gt;$K113*(1+Portfolio!$B$17),3,IF(IF($B113="Program",$V113,$J113)&gt;$K113,2,IF(AND($B113="Program",OR($W113&gt;0,$V113=0)),0,1)))))</f>
        <v/>
      </c>
      <c r="Z113" s="31">
        <f>IF($A113="",0,IF($C113="Portfolio",1,IF(AND($B113="Project",$C113&lt;&gt;"",$C113&lt;&gt;"Outside the portfolio"),IFERROR(IF(AND(INDEX($B$6:$B$305,MATCH($C113,$A$6:$A$305,0))="Program",INDEX($C$6:$C$305,MATCH($C113,$A$6:$A$305,0))="Portfolio"),1,0),0),0)))</f>
        <v/>
      </c>
      <c r="AA113" s="31">
        <f>IF(AND($A113&lt;&gt;"",$E113="",OR($Q113=1,$D113="Proposed")),1,0)</f>
        <v/>
      </c>
      <c r="AB113" s="31">
        <f>IF(AND($A113&lt;&gt;"",$B113="Program",$F113="",$Q113=1),1,0)</f>
        <v/>
      </c>
      <c r="AC113" s="31">
        <f>IF(OR($A113="",$D113="Completed",$D113="Terminated"),0,IF($C113="",1,IF($C113="Portfolio",0,IF($C113="Outside the portfolio",IF($Q113=1,2,0),IF($B113="Project",IF(IFERROR(INDEX($B$6:$B$305,MATCH($C113,$A$6:$A$305,0)),"")="Program",0,1),1)))))</f>
        <v/>
      </c>
      <c r="AD113" s="31">
        <f>IF(AND($A113&lt;&gt;"",OR($M113="■ Red",$M113="◧ Amber"),$L113=""),1,0)</f>
        <v/>
      </c>
      <c r="AE113" s="31">
        <f>$AA113+$AB113+IF($AC113&gt;0,1,0)+$AD113</f>
        <v/>
      </c>
      <c r="AJ113" s="14" t="n"/>
      <c r="AK113" s="29" t="n"/>
      <c r="AL113" s="31">
        <f>IF(AND($Q113=1,$Z113=1),1,0)</f>
        <v/>
      </c>
      <c r="AM113" s="31">
        <f>IF(AND($AL113=1,$AJ113&lt;&gt;""),MAX(0,TODAY()-$AJ113),"")</f>
        <v/>
      </c>
      <c r="AN113" s="31">
        <f>IF(OR($AL113=0,COUNT($AJ$6:$AJ$305)=0),0,IF($AJ113="",1,IF(TODAY()-$AJ113&gt;Board!$B$40,1,0)))</f>
        <v/>
      </c>
      <c r="AO113" s="31">
        <f>IF($AL113=0,0,IF($M113="■ Red",3,IF($M113="◧ Amber",2,IF($M113="□ On track",1,0))))</f>
        <v/>
      </c>
      <c r="AP113" s="31">
        <f>IF($AL113=0,0,IF($AK113="Will not hold",3,IF($AK113="At risk",2,IF($AK113="Will hold",1,0))))</f>
        <v/>
      </c>
      <c r="AQ113" s="31">
        <f>IF($AL113=0,"",IF($AO113=3,0,IF($AO113=2,1,IF(AND($AP113&gt;=2,$AP113&gt;$AO113),2,""))))</f>
        <v/>
      </c>
      <c r="AR113" s="31">
        <f>IF($AQ113="","",$AQ113*1000+113)</f>
        <v/>
      </c>
      <c r="AS113" s="31">
        <f>IF(AND($AL113=1,$AO113&gt;=2,$AP113&gt;=1,$AP113&lt;$AO113),1,0)</f>
        <v/>
      </c>
      <c r="AT113" s="31">
        <f>IF(AND($AL113=1,$AO113&gt;=2,$AP113=0),1,0)</f>
        <v/>
      </c>
      <c r="AU113" s="31">
        <f>IF(AND($AL113=1,$U113&lt;&gt;"",$U113&lt;TODAY()),1,0)</f>
        <v/>
      </c>
      <c r="AV113" s="31">
        <f>IF(OR($A113="",$AJ113="",Portfolio!$B$10=""),0,IF($AJ113&lt;=Portfolio!$B$10,0,IF(AND($D113="Completed",$Z113=1),1,IF(AND($D113="Terminated",$Z113=1),2,IF(AND($Q113=1,$Z113=0),3,0)))))</f>
        <v/>
      </c>
      <c r="AW113" s="31">
        <f>IF($AV113&gt;0,COUNTIF($AV$6:$AV113,"&gt;0"),"")</f>
        <v/>
      </c>
      <c r="AX113" s="31">
        <f>IF($AL113=0,"",IF(AND($B113="Project",$H113&lt;&gt;"",$H113&lt;TODAY()),"Planned finish "&amp;TEXT($H113,"d mmm")&amp;" has passed",IF($X113&gt;=2,(NETWORKDAYS($H113,$U113)-1)&amp;" working days past plan","")))</f>
        <v/>
      </c>
      <c r="AY113" s="31">
        <f>IF($AL113=0,"",IF($Y113&gt;=2,"Over budget by "&amp;TEXT(IF($B113="Program",$V113,$J113)-$K113,"#,##0"),""))</f>
        <v/>
      </c>
      <c r="AZ113" s="31">
        <f>IF(AND($AL113=1,$U113&lt;&gt;""),IF(AND(N($U113)&gt;=TODAY(),N($U113)&lt;=TODAY()+Board!$B$41),1,0),0)</f>
        <v/>
      </c>
    </row>
    <row r="114">
      <c r="A114" s="29" t="n"/>
      <c r="B114" s="29" t="n"/>
      <c r="C114" s="29" t="n"/>
      <c r="D114" s="29" t="n"/>
      <c r="E114" s="29" t="n"/>
      <c r="F114" s="29" t="n"/>
      <c r="G114" s="29" t="n"/>
      <c r="H114" s="30" t="n"/>
      <c r="I114" s="30" t="n"/>
      <c r="J114" s="19" t="n"/>
      <c r="K114" s="19" t="n"/>
      <c r="L114" s="26" t="n"/>
      <c r="M114" s="31">
        <f>IF($A114="","",IF($D114="","Not read",IF($Q114=0,"Not counted",IF(MAX($X114,$Y114)=3,"■ Red",IF(MAX($X114,$Y114)=2,"◧ Amber",IF(MAX($X114,$Y114)=1,"□ On track","Not read"))))))</f>
        <v/>
      </c>
      <c r="N114" s="31">
        <f>IF(OR($A114="",$B114&lt;&gt;"Program"),"","■ "&amp;COUNTIFS($C$6:$C$305,$A114,$M$6:$M$305,"■ Red")&amp;" Red, ◧ "&amp;COUNTIFS($C$6:$C$305,$A114,$M$6:$M$305,"◧ Amber")&amp;" Amber")</f>
        <v/>
      </c>
      <c r="O114" s="32">
        <f>IF(OR($A114="",$E114=""),"",COUNTIFS($E$6:$E$305,$E114,$D$6:$D$305,"Active")+COUNTIFS($E$6:$E$305,$E114,$D$6:$D$305,"Paused"))</f>
        <v/>
      </c>
      <c r="P114" s="31">
        <f>IF($A114="","",IF($AE114=0,"○ Clear",IF($AA114=1,"△ No owner",IF($AC114=1,"△ Check Sits under",IF($AC114=2,"△ Outside the portfolio",IF($AB114=1,"△ No sponsor","△ No variance note"))))&amp;IF($AE114&gt;1," (+"&amp;($AE114-1)&amp;" more)","")))</f>
        <v/>
      </c>
      <c r="Q114" s="31">
        <f>IF(AND($A114&lt;&gt;"",OR($D114="Active",$D114="Paused")),1,0)</f>
        <v/>
      </c>
      <c r="R114" s="31">
        <f>IFERROR(INDEX($A$6:$A$305,MATCH(107,$S$6:$S$305,0)),"")</f>
        <v/>
      </c>
      <c r="S114" s="31">
        <f>IF(AND($A114&lt;&gt;"",$B114="Program"),COUNTIFS($B$6:$B114,"Program",$A$6:$A114,"&lt;&gt;"),"")</f>
        <v/>
      </c>
      <c r="T114" s="33">
        <f>IF(AND($A114&lt;&gt;"",$B114="Program"),SUMPRODUCT(MAX(($C$6:$C$305=$A114)*($B$6:$B$305="Project")*($D$6:$D$305&lt;&gt;"Proposed")*$I$6:$I$305)),0)</f>
        <v/>
      </c>
      <c r="U114" s="33">
        <f>IF($I114&lt;&gt;"",$I114,IF($T114&gt;0,$T114,""))</f>
        <v/>
      </c>
      <c r="V114" s="31">
        <f>IF(AND($A114&lt;&gt;"",$B114="Program"),SUMIFS($J$6:$J$305,$C$6:$C$305,$A114,$B$6:$B$305,"Project",$D$6:$D$305,"&lt;&gt;Proposed"),0)</f>
        <v/>
      </c>
      <c r="W114" s="31">
        <f>IF(AND($A114&lt;&gt;"",$B114="Program"),COUNTIFS($C$6:$C$305,$A114,$B$6:$B$305,"Project",$D$6:$D$305,"&lt;&gt;Proposed")-COUNTIFS($C$6:$C$305,$A114,$B$6:$B$305,"Project",$D$6:$D$305,"&lt;&gt;Proposed",$J$6:$J$305,"&gt;=0"),0)</f>
        <v/>
      </c>
      <c r="X114" s="31">
        <f>IF(OR($Q114=0,$H114=""),0,IF(AND($B114="Project",$H114&lt;TODAY()),3,IF($U114="",0,IF($U114&lt;=$H114,1,IF(NETWORKDAYS($H114,$U114)-1&gt;IF($B114="Program",Portfolio!$B$16,Portfolio!$B$15),3,2)))))</f>
        <v/>
      </c>
      <c r="Y114" s="31">
        <f>IF(OR($Q114=0,$K114="",$K114=0),0,IF(AND($B114="Project",$J114=""),0,IF(IF($B114="Program",$V114,$J114)&gt;$K114*(1+Portfolio!$B$17),3,IF(IF($B114="Program",$V114,$J114)&gt;$K114,2,IF(AND($B114="Program",OR($W114&gt;0,$V114=0)),0,1)))))</f>
        <v/>
      </c>
      <c r="Z114" s="31">
        <f>IF($A114="",0,IF($C114="Portfolio",1,IF(AND($B114="Project",$C114&lt;&gt;"",$C114&lt;&gt;"Outside the portfolio"),IFERROR(IF(AND(INDEX($B$6:$B$305,MATCH($C114,$A$6:$A$305,0))="Program",INDEX($C$6:$C$305,MATCH($C114,$A$6:$A$305,0))="Portfolio"),1,0),0),0)))</f>
        <v/>
      </c>
      <c r="AA114" s="31">
        <f>IF(AND($A114&lt;&gt;"",$E114="",OR($Q114=1,$D114="Proposed")),1,0)</f>
        <v/>
      </c>
      <c r="AB114" s="31">
        <f>IF(AND($A114&lt;&gt;"",$B114="Program",$F114="",$Q114=1),1,0)</f>
        <v/>
      </c>
      <c r="AC114" s="31">
        <f>IF(OR($A114="",$D114="Completed",$D114="Terminated"),0,IF($C114="",1,IF($C114="Portfolio",0,IF($C114="Outside the portfolio",IF($Q114=1,2,0),IF($B114="Project",IF(IFERROR(INDEX($B$6:$B$305,MATCH($C114,$A$6:$A$305,0)),"")="Program",0,1),1)))))</f>
        <v/>
      </c>
      <c r="AD114" s="31">
        <f>IF(AND($A114&lt;&gt;"",OR($M114="■ Red",$M114="◧ Amber"),$L114=""),1,0)</f>
        <v/>
      </c>
      <c r="AE114" s="31">
        <f>$AA114+$AB114+IF($AC114&gt;0,1,0)+$AD114</f>
        <v/>
      </c>
      <c r="AJ114" s="14" t="n"/>
      <c r="AK114" s="29" t="n"/>
      <c r="AL114" s="31">
        <f>IF(AND($Q114=1,$Z114=1),1,0)</f>
        <v/>
      </c>
      <c r="AM114" s="31">
        <f>IF(AND($AL114=1,$AJ114&lt;&gt;""),MAX(0,TODAY()-$AJ114),"")</f>
        <v/>
      </c>
      <c r="AN114" s="31">
        <f>IF(OR($AL114=0,COUNT($AJ$6:$AJ$305)=0),0,IF($AJ114="",1,IF(TODAY()-$AJ114&gt;Board!$B$40,1,0)))</f>
        <v/>
      </c>
      <c r="AO114" s="31">
        <f>IF($AL114=0,0,IF($M114="■ Red",3,IF($M114="◧ Amber",2,IF($M114="□ On track",1,0))))</f>
        <v/>
      </c>
      <c r="AP114" s="31">
        <f>IF($AL114=0,0,IF($AK114="Will not hold",3,IF($AK114="At risk",2,IF($AK114="Will hold",1,0))))</f>
        <v/>
      </c>
      <c r="AQ114" s="31">
        <f>IF($AL114=0,"",IF($AO114=3,0,IF($AO114=2,1,IF(AND($AP114&gt;=2,$AP114&gt;$AO114),2,""))))</f>
        <v/>
      </c>
      <c r="AR114" s="31">
        <f>IF($AQ114="","",$AQ114*1000+114)</f>
        <v/>
      </c>
      <c r="AS114" s="31">
        <f>IF(AND($AL114=1,$AO114&gt;=2,$AP114&gt;=1,$AP114&lt;$AO114),1,0)</f>
        <v/>
      </c>
      <c r="AT114" s="31">
        <f>IF(AND($AL114=1,$AO114&gt;=2,$AP114=0),1,0)</f>
        <v/>
      </c>
      <c r="AU114" s="31">
        <f>IF(AND($AL114=1,$U114&lt;&gt;"",$U114&lt;TODAY()),1,0)</f>
        <v/>
      </c>
      <c r="AV114" s="31">
        <f>IF(OR($A114="",$AJ114="",Portfolio!$B$10=""),0,IF($AJ114&lt;=Portfolio!$B$10,0,IF(AND($D114="Completed",$Z114=1),1,IF(AND($D114="Terminated",$Z114=1),2,IF(AND($Q114=1,$Z114=0),3,0)))))</f>
        <v/>
      </c>
      <c r="AW114" s="31">
        <f>IF($AV114&gt;0,COUNTIF($AV$6:$AV114,"&gt;0"),"")</f>
        <v/>
      </c>
      <c r="AX114" s="31">
        <f>IF($AL114=0,"",IF(AND($B114="Project",$H114&lt;&gt;"",$H114&lt;TODAY()),"Planned finish "&amp;TEXT($H114,"d mmm")&amp;" has passed",IF($X114&gt;=2,(NETWORKDAYS($H114,$U114)-1)&amp;" working days past plan","")))</f>
        <v/>
      </c>
      <c r="AY114" s="31">
        <f>IF($AL114=0,"",IF($Y114&gt;=2,"Over budget by "&amp;TEXT(IF($B114="Program",$V114,$J114)-$K114,"#,##0"),""))</f>
        <v/>
      </c>
      <c r="AZ114" s="31">
        <f>IF(AND($AL114=1,$U114&lt;&gt;""),IF(AND(N($U114)&gt;=TODAY(),N($U114)&lt;=TODAY()+Board!$B$41),1,0),0)</f>
        <v/>
      </c>
    </row>
    <row r="115">
      <c r="A115" s="29" t="n"/>
      <c r="B115" s="29" t="n"/>
      <c r="C115" s="29" t="n"/>
      <c r="D115" s="29" t="n"/>
      <c r="E115" s="29" t="n"/>
      <c r="F115" s="29" t="n"/>
      <c r="G115" s="29" t="n"/>
      <c r="H115" s="30" t="n"/>
      <c r="I115" s="30" t="n"/>
      <c r="J115" s="19" t="n"/>
      <c r="K115" s="19" t="n"/>
      <c r="L115" s="26" t="n"/>
      <c r="M115" s="31">
        <f>IF($A115="","",IF($D115="","Not read",IF($Q115=0,"Not counted",IF(MAX($X115,$Y115)=3,"■ Red",IF(MAX($X115,$Y115)=2,"◧ Amber",IF(MAX($X115,$Y115)=1,"□ On track","Not read"))))))</f>
        <v/>
      </c>
      <c r="N115" s="31">
        <f>IF(OR($A115="",$B115&lt;&gt;"Program"),"","■ "&amp;COUNTIFS($C$6:$C$305,$A115,$M$6:$M$305,"■ Red")&amp;" Red, ◧ "&amp;COUNTIFS($C$6:$C$305,$A115,$M$6:$M$305,"◧ Amber")&amp;" Amber")</f>
        <v/>
      </c>
      <c r="O115" s="32">
        <f>IF(OR($A115="",$E115=""),"",COUNTIFS($E$6:$E$305,$E115,$D$6:$D$305,"Active")+COUNTIFS($E$6:$E$305,$E115,$D$6:$D$305,"Paused"))</f>
        <v/>
      </c>
      <c r="P115" s="31">
        <f>IF($A115="","",IF($AE115=0,"○ Clear",IF($AA115=1,"△ No owner",IF($AC115=1,"△ Check Sits under",IF($AC115=2,"△ Outside the portfolio",IF($AB115=1,"△ No sponsor","△ No variance note"))))&amp;IF($AE115&gt;1," (+"&amp;($AE115-1)&amp;" more)","")))</f>
        <v/>
      </c>
      <c r="Q115" s="31">
        <f>IF(AND($A115&lt;&gt;"",OR($D115="Active",$D115="Paused")),1,0)</f>
        <v/>
      </c>
      <c r="R115" s="31">
        <f>IFERROR(INDEX($A$6:$A$305,MATCH(108,$S$6:$S$305,0)),"")</f>
        <v/>
      </c>
      <c r="S115" s="31">
        <f>IF(AND($A115&lt;&gt;"",$B115="Program"),COUNTIFS($B$6:$B115,"Program",$A$6:$A115,"&lt;&gt;"),"")</f>
        <v/>
      </c>
      <c r="T115" s="33">
        <f>IF(AND($A115&lt;&gt;"",$B115="Program"),SUMPRODUCT(MAX(($C$6:$C$305=$A115)*($B$6:$B$305="Project")*($D$6:$D$305&lt;&gt;"Proposed")*$I$6:$I$305)),0)</f>
        <v/>
      </c>
      <c r="U115" s="33">
        <f>IF($I115&lt;&gt;"",$I115,IF($T115&gt;0,$T115,""))</f>
        <v/>
      </c>
      <c r="V115" s="31">
        <f>IF(AND($A115&lt;&gt;"",$B115="Program"),SUMIFS($J$6:$J$305,$C$6:$C$305,$A115,$B$6:$B$305,"Project",$D$6:$D$305,"&lt;&gt;Proposed"),0)</f>
        <v/>
      </c>
      <c r="W115" s="31">
        <f>IF(AND($A115&lt;&gt;"",$B115="Program"),COUNTIFS($C$6:$C$305,$A115,$B$6:$B$305,"Project",$D$6:$D$305,"&lt;&gt;Proposed")-COUNTIFS($C$6:$C$305,$A115,$B$6:$B$305,"Project",$D$6:$D$305,"&lt;&gt;Proposed",$J$6:$J$305,"&gt;=0"),0)</f>
        <v/>
      </c>
      <c r="X115" s="31">
        <f>IF(OR($Q115=0,$H115=""),0,IF(AND($B115="Project",$H115&lt;TODAY()),3,IF($U115="",0,IF($U115&lt;=$H115,1,IF(NETWORKDAYS($H115,$U115)-1&gt;IF($B115="Program",Portfolio!$B$16,Portfolio!$B$15),3,2)))))</f>
        <v/>
      </c>
      <c r="Y115" s="31">
        <f>IF(OR($Q115=0,$K115="",$K115=0),0,IF(AND($B115="Project",$J115=""),0,IF(IF($B115="Program",$V115,$J115)&gt;$K115*(1+Portfolio!$B$17),3,IF(IF($B115="Program",$V115,$J115)&gt;$K115,2,IF(AND($B115="Program",OR($W115&gt;0,$V115=0)),0,1)))))</f>
        <v/>
      </c>
      <c r="Z115" s="31">
        <f>IF($A115="",0,IF($C115="Portfolio",1,IF(AND($B115="Project",$C115&lt;&gt;"",$C115&lt;&gt;"Outside the portfolio"),IFERROR(IF(AND(INDEX($B$6:$B$305,MATCH($C115,$A$6:$A$305,0))="Program",INDEX($C$6:$C$305,MATCH($C115,$A$6:$A$305,0))="Portfolio"),1,0),0),0)))</f>
        <v/>
      </c>
      <c r="AA115" s="31">
        <f>IF(AND($A115&lt;&gt;"",$E115="",OR($Q115=1,$D115="Proposed")),1,0)</f>
        <v/>
      </c>
      <c r="AB115" s="31">
        <f>IF(AND($A115&lt;&gt;"",$B115="Program",$F115="",$Q115=1),1,0)</f>
        <v/>
      </c>
      <c r="AC115" s="31">
        <f>IF(OR($A115="",$D115="Completed",$D115="Terminated"),0,IF($C115="",1,IF($C115="Portfolio",0,IF($C115="Outside the portfolio",IF($Q115=1,2,0),IF($B115="Project",IF(IFERROR(INDEX($B$6:$B$305,MATCH($C115,$A$6:$A$305,0)),"")="Program",0,1),1)))))</f>
        <v/>
      </c>
      <c r="AD115" s="31">
        <f>IF(AND($A115&lt;&gt;"",OR($M115="■ Red",$M115="◧ Amber"),$L115=""),1,0)</f>
        <v/>
      </c>
      <c r="AE115" s="31">
        <f>$AA115+$AB115+IF($AC115&gt;0,1,0)+$AD115</f>
        <v/>
      </c>
      <c r="AJ115" s="14" t="n"/>
      <c r="AK115" s="29" t="n"/>
      <c r="AL115" s="31">
        <f>IF(AND($Q115=1,$Z115=1),1,0)</f>
        <v/>
      </c>
      <c r="AM115" s="31">
        <f>IF(AND($AL115=1,$AJ115&lt;&gt;""),MAX(0,TODAY()-$AJ115),"")</f>
        <v/>
      </c>
      <c r="AN115" s="31">
        <f>IF(OR($AL115=0,COUNT($AJ$6:$AJ$305)=0),0,IF($AJ115="",1,IF(TODAY()-$AJ115&gt;Board!$B$40,1,0)))</f>
        <v/>
      </c>
      <c r="AO115" s="31">
        <f>IF($AL115=0,0,IF($M115="■ Red",3,IF($M115="◧ Amber",2,IF($M115="□ On track",1,0))))</f>
        <v/>
      </c>
      <c r="AP115" s="31">
        <f>IF($AL115=0,0,IF($AK115="Will not hold",3,IF($AK115="At risk",2,IF($AK115="Will hold",1,0))))</f>
        <v/>
      </c>
      <c r="AQ115" s="31">
        <f>IF($AL115=0,"",IF($AO115=3,0,IF($AO115=2,1,IF(AND($AP115&gt;=2,$AP115&gt;$AO115),2,""))))</f>
        <v/>
      </c>
      <c r="AR115" s="31">
        <f>IF($AQ115="","",$AQ115*1000+115)</f>
        <v/>
      </c>
      <c r="AS115" s="31">
        <f>IF(AND($AL115=1,$AO115&gt;=2,$AP115&gt;=1,$AP115&lt;$AO115),1,0)</f>
        <v/>
      </c>
      <c r="AT115" s="31">
        <f>IF(AND($AL115=1,$AO115&gt;=2,$AP115=0),1,0)</f>
        <v/>
      </c>
      <c r="AU115" s="31">
        <f>IF(AND($AL115=1,$U115&lt;&gt;"",$U115&lt;TODAY()),1,0)</f>
        <v/>
      </c>
      <c r="AV115" s="31">
        <f>IF(OR($A115="",$AJ115="",Portfolio!$B$10=""),0,IF($AJ115&lt;=Portfolio!$B$10,0,IF(AND($D115="Completed",$Z115=1),1,IF(AND($D115="Terminated",$Z115=1),2,IF(AND($Q115=1,$Z115=0),3,0)))))</f>
        <v/>
      </c>
      <c r="AW115" s="31">
        <f>IF($AV115&gt;0,COUNTIF($AV$6:$AV115,"&gt;0"),"")</f>
        <v/>
      </c>
      <c r="AX115" s="31">
        <f>IF($AL115=0,"",IF(AND($B115="Project",$H115&lt;&gt;"",$H115&lt;TODAY()),"Planned finish "&amp;TEXT($H115,"d mmm")&amp;" has passed",IF($X115&gt;=2,(NETWORKDAYS($H115,$U115)-1)&amp;" working days past plan","")))</f>
        <v/>
      </c>
      <c r="AY115" s="31">
        <f>IF($AL115=0,"",IF($Y115&gt;=2,"Over budget by "&amp;TEXT(IF($B115="Program",$V115,$J115)-$K115,"#,##0"),""))</f>
        <v/>
      </c>
      <c r="AZ115" s="31">
        <f>IF(AND($AL115=1,$U115&lt;&gt;""),IF(AND(N($U115)&gt;=TODAY(),N($U115)&lt;=TODAY()+Board!$B$41),1,0),0)</f>
        <v/>
      </c>
    </row>
    <row r="116">
      <c r="A116" s="29" t="n"/>
      <c r="B116" s="29" t="n"/>
      <c r="C116" s="29" t="n"/>
      <c r="D116" s="29" t="n"/>
      <c r="E116" s="29" t="n"/>
      <c r="F116" s="29" t="n"/>
      <c r="G116" s="29" t="n"/>
      <c r="H116" s="30" t="n"/>
      <c r="I116" s="30" t="n"/>
      <c r="J116" s="19" t="n"/>
      <c r="K116" s="19" t="n"/>
      <c r="L116" s="26" t="n"/>
      <c r="M116" s="31">
        <f>IF($A116="","",IF($D116="","Not read",IF($Q116=0,"Not counted",IF(MAX($X116,$Y116)=3,"■ Red",IF(MAX($X116,$Y116)=2,"◧ Amber",IF(MAX($X116,$Y116)=1,"□ On track","Not read"))))))</f>
        <v/>
      </c>
      <c r="N116" s="31">
        <f>IF(OR($A116="",$B116&lt;&gt;"Program"),"","■ "&amp;COUNTIFS($C$6:$C$305,$A116,$M$6:$M$305,"■ Red")&amp;" Red, ◧ "&amp;COUNTIFS($C$6:$C$305,$A116,$M$6:$M$305,"◧ Amber")&amp;" Amber")</f>
        <v/>
      </c>
      <c r="O116" s="32">
        <f>IF(OR($A116="",$E116=""),"",COUNTIFS($E$6:$E$305,$E116,$D$6:$D$305,"Active")+COUNTIFS($E$6:$E$305,$E116,$D$6:$D$305,"Paused"))</f>
        <v/>
      </c>
      <c r="P116" s="31">
        <f>IF($A116="","",IF($AE116=0,"○ Clear",IF($AA116=1,"△ No owner",IF($AC116=1,"△ Check Sits under",IF($AC116=2,"△ Outside the portfolio",IF($AB116=1,"△ No sponsor","△ No variance note"))))&amp;IF($AE116&gt;1," (+"&amp;($AE116-1)&amp;" more)","")))</f>
        <v/>
      </c>
      <c r="Q116" s="31">
        <f>IF(AND($A116&lt;&gt;"",OR($D116="Active",$D116="Paused")),1,0)</f>
        <v/>
      </c>
      <c r="R116" s="31">
        <f>IFERROR(INDEX($A$6:$A$305,MATCH(109,$S$6:$S$305,0)),"")</f>
        <v/>
      </c>
      <c r="S116" s="31">
        <f>IF(AND($A116&lt;&gt;"",$B116="Program"),COUNTIFS($B$6:$B116,"Program",$A$6:$A116,"&lt;&gt;"),"")</f>
        <v/>
      </c>
      <c r="T116" s="33">
        <f>IF(AND($A116&lt;&gt;"",$B116="Program"),SUMPRODUCT(MAX(($C$6:$C$305=$A116)*($B$6:$B$305="Project")*($D$6:$D$305&lt;&gt;"Proposed")*$I$6:$I$305)),0)</f>
        <v/>
      </c>
      <c r="U116" s="33">
        <f>IF($I116&lt;&gt;"",$I116,IF($T116&gt;0,$T116,""))</f>
        <v/>
      </c>
      <c r="V116" s="31">
        <f>IF(AND($A116&lt;&gt;"",$B116="Program"),SUMIFS($J$6:$J$305,$C$6:$C$305,$A116,$B$6:$B$305,"Project",$D$6:$D$305,"&lt;&gt;Proposed"),0)</f>
        <v/>
      </c>
      <c r="W116" s="31">
        <f>IF(AND($A116&lt;&gt;"",$B116="Program"),COUNTIFS($C$6:$C$305,$A116,$B$6:$B$305,"Project",$D$6:$D$305,"&lt;&gt;Proposed")-COUNTIFS($C$6:$C$305,$A116,$B$6:$B$305,"Project",$D$6:$D$305,"&lt;&gt;Proposed",$J$6:$J$305,"&gt;=0"),0)</f>
        <v/>
      </c>
      <c r="X116" s="31">
        <f>IF(OR($Q116=0,$H116=""),0,IF(AND($B116="Project",$H116&lt;TODAY()),3,IF($U116="",0,IF($U116&lt;=$H116,1,IF(NETWORKDAYS($H116,$U116)-1&gt;IF($B116="Program",Portfolio!$B$16,Portfolio!$B$15),3,2)))))</f>
        <v/>
      </c>
      <c r="Y116" s="31">
        <f>IF(OR($Q116=0,$K116="",$K116=0),0,IF(AND($B116="Project",$J116=""),0,IF(IF($B116="Program",$V116,$J116)&gt;$K116*(1+Portfolio!$B$17),3,IF(IF($B116="Program",$V116,$J116)&gt;$K116,2,IF(AND($B116="Program",OR($W116&gt;0,$V116=0)),0,1)))))</f>
        <v/>
      </c>
      <c r="Z116" s="31">
        <f>IF($A116="",0,IF($C116="Portfolio",1,IF(AND($B116="Project",$C116&lt;&gt;"",$C116&lt;&gt;"Outside the portfolio"),IFERROR(IF(AND(INDEX($B$6:$B$305,MATCH($C116,$A$6:$A$305,0))="Program",INDEX($C$6:$C$305,MATCH($C116,$A$6:$A$305,0))="Portfolio"),1,0),0),0)))</f>
        <v/>
      </c>
      <c r="AA116" s="31">
        <f>IF(AND($A116&lt;&gt;"",$E116="",OR($Q116=1,$D116="Proposed")),1,0)</f>
        <v/>
      </c>
      <c r="AB116" s="31">
        <f>IF(AND($A116&lt;&gt;"",$B116="Program",$F116="",$Q116=1),1,0)</f>
        <v/>
      </c>
      <c r="AC116" s="31">
        <f>IF(OR($A116="",$D116="Completed",$D116="Terminated"),0,IF($C116="",1,IF($C116="Portfolio",0,IF($C116="Outside the portfolio",IF($Q116=1,2,0),IF($B116="Project",IF(IFERROR(INDEX($B$6:$B$305,MATCH($C116,$A$6:$A$305,0)),"")="Program",0,1),1)))))</f>
        <v/>
      </c>
      <c r="AD116" s="31">
        <f>IF(AND($A116&lt;&gt;"",OR($M116="■ Red",$M116="◧ Amber"),$L116=""),1,0)</f>
        <v/>
      </c>
      <c r="AE116" s="31">
        <f>$AA116+$AB116+IF($AC116&gt;0,1,0)+$AD116</f>
        <v/>
      </c>
      <c r="AJ116" s="14" t="n"/>
      <c r="AK116" s="29" t="n"/>
      <c r="AL116" s="31">
        <f>IF(AND($Q116=1,$Z116=1),1,0)</f>
        <v/>
      </c>
      <c r="AM116" s="31">
        <f>IF(AND($AL116=1,$AJ116&lt;&gt;""),MAX(0,TODAY()-$AJ116),"")</f>
        <v/>
      </c>
      <c r="AN116" s="31">
        <f>IF(OR($AL116=0,COUNT($AJ$6:$AJ$305)=0),0,IF($AJ116="",1,IF(TODAY()-$AJ116&gt;Board!$B$40,1,0)))</f>
        <v/>
      </c>
      <c r="AO116" s="31">
        <f>IF($AL116=0,0,IF($M116="■ Red",3,IF($M116="◧ Amber",2,IF($M116="□ On track",1,0))))</f>
        <v/>
      </c>
      <c r="AP116" s="31">
        <f>IF($AL116=0,0,IF($AK116="Will not hold",3,IF($AK116="At risk",2,IF($AK116="Will hold",1,0))))</f>
        <v/>
      </c>
      <c r="AQ116" s="31">
        <f>IF($AL116=0,"",IF($AO116=3,0,IF($AO116=2,1,IF(AND($AP116&gt;=2,$AP116&gt;$AO116),2,""))))</f>
        <v/>
      </c>
      <c r="AR116" s="31">
        <f>IF($AQ116="","",$AQ116*1000+116)</f>
        <v/>
      </c>
      <c r="AS116" s="31">
        <f>IF(AND($AL116=1,$AO116&gt;=2,$AP116&gt;=1,$AP116&lt;$AO116),1,0)</f>
        <v/>
      </c>
      <c r="AT116" s="31">
        <f>IF(AND($AL116=1,$AO116&gt;=2,$AP116=0),1,0)</f>
        <v/>
      </c>
      <c r="AU116" s="31">
        <f>IF(AND($AL116=1,$U116&lt;&gt;"",$U116&lt;TODAY()),1,0)</f>
        <v/>
      </c>
      <c r="AV116" s="31">
        <f>IF(OR($A116="",$AJ116="",Portfolio!$B$10=""),0,IF($AJ116&lt;=Portfolio!$B$10,0,IF(AND($D116="Completed",$Z116=1),1,IF(AND($D116="Terminated",$Z116=1),2,IF(AND($Q116=1,$Z116=0),3,0)))))</f>
        <v/>
      </c>
      <c r="AW116" s="31">
        <f>IF($AV116&gt;0,COUNTIF($AV$6:$AV116,"&gt;0"),"")</f>
        <v/>
      </c>
      <c r="AX116" s="31">
        <f>IF($AL116=0,"",IF(AND($B116="Project",$H116&lt;&gt;"",$H116&lt;TODAY()),"Planned finish "&amp;TEXT($H116,"d mmm")&amp;" has passed",IF($X116&gt;=2,(NETWORKDAYS($H116,$U116)-1)&amp;" working days past plan","")))</f>
        <v/>
      </c>
      <c r="AY116" s="31">
        <f>IF($AL116=0,"",IF($Y116&gt;=2,"Over budget by "&amp;TEXT(IF($B116="Program",$V116,$J116)-$K116,"#,##0"),""))</f>
        <v/>
      </c>
      <c r="AZ116" s="31">
        <f>IF(AND($AL116=1,$U116&lt;&gt;""),IF(AND(N($U116)&gt;=TODAY(),N($U116)&lt;=TODAY()+Board!$B$41),1,0),0)</f>
        <v/>
      </c>
    </row>
    <row r="117">
      <c r="A117" s="29" t="n"/>
      <c r="B117" s="29" t="n"/>
      <c r="C117" s="29" t="n"/>
      <c r="D117" s="29" t="n"/>
      <c r="E117" s="29" t="n"/>
      <c r="F117" s="29" t="n"/>
      <c r="G117" s="29" t="n"/>
      <c r="H117" s="30" t="n"/>
      <c r="I117" s="30" t="n"/>
      <c r="J117" s="19" t="n"/>
      <c r="K117" s="19" t="n"/>
      <c r="L117" s="26" t="n"/>
      <c r="M117" s="31">
        <f>IF($A117="","",IF($D117="","Not read",IF($Q117=0,"Not counted",IF(MAX($X117,$Y117)=3,"■ Red",IF(MAX($X117,$Y117)=2,"◧ Amber",IF(MAX($X117,$Y117)=1,"□ On track","Not read"))))))</f>
        <v/>
      </c>
      <c r="N117" s="31">
        <f>IF(OR($A117="",$B117&lt;&gt;"Program"),"","■ "&amp;COUNTIFS($C$6:$C$305,$A117,$M$6:$M$305,"■ Red")&amp;" Red, ◧ "&amp;COUNTIFS($C$6:$C$305,$A117,$M$6:$M$305,"◧ Amber")&amp;" Amber")</f>
        <v/>
      </c>
      <c r="O117" s="32">
        <f>IF(OR($A117="",$E117=""),"",COUNTIFS($E$6:$E$305,$E117,$D$6:$D$305,"Active")+COUNTIFS($E$6:$E$305,$E117,$D$6:$D$305,"Paused"))</f>
        <v/>
      </c>
      <c r="P117" s="31">
        <f>IF($A117="","",IF($AE117=0,"○ Clear",IF($AA117=1,"△ No owner",IF($AC117=1,"△ Check Sits under",IF($AC117=2,"△ Outside the portfolio",IF($AB117=1,"△ No sponsor","△ No variance note"))))&amp;IF($AE117&gt;1," (+"&amp;($AE117-1)&amp;" more)","")))</f>
        <v/>
      </c>
      <c r="Q117" s="31">
        <f>IF(AND($A117&lt;&gt;"",OR($D117="Active",$D117="Paused")),1,0)</f>
        <v/>
      </c>
      <c r="R117" s="31">
        <f>IFERROR(INDEX($A$6:$A$305,MATCH(110,$S$6:$S$305,0)),"")</f>
        <v/>
      </c>
      <c r="S117" s="31">
        <f>IF(AND($A117&lt;&gt;"",$B117="Program"),COUNTIFS($B$6:$B117,"Program",$A$6:$A117,"&lt;&gt;"),"")</f>
        <v/>
      </c>
      <c r="T117" s="33">
        <f>IF(AND($A117&lt;&gt;"",$B117="Program"),SUMPRODUCT(MAX(($C$6:$C$305=$A117)*($B$6:$B$305="Project")*($D$6:$D$305&lt;&gt;"Proposed")*$I$6:$I$305)),0)</f>
        <v/>
      </c>
      <c r="U117" s="33">
        <f>IF($I117&lt;&gt;"",$I117,IF($T117&gt;0,$T117,""))</f>
        <v/>
      </c>
      <c r="V117" s="31">
        <f>IF(AND($A117&lt;&gt;"",$B117="Program"),SUMIFS($J$6:$J$305,$C$6:$C$305,$A117,$B$6:$B$305,"Project",$D$6:$D$305,"&lt;&gt;Proposed"),0)</f>
        <v/>
      </c>
      <c r="W117" s="31">
        <f>IF(AND($A117&lt;&gt;"",$B117="Program"),COUNTIFS($C$6:$C$305,$A117,$B$6:$B$305,"Project",$D$6:$D$305,"&lt;&gt;Proposed")-COUNTIFS($C$6:$C$305,$A117,$B$6:$B$305,"Project",$D$6:$D$305,"&lt;&gt;Proposed",$J$6:$J$305,"&gt;=0"),0)</f>
        <v/>
      </c>
      <c r="X117" s="31">
        <f>IF(OR($Q117=0,$H117=""),0,IF(AND($B117="Project",$H117&lt;TODAY()),3,IF($U117="",0,IF($U117&lt;=$H117,1,IF(NETWORKDAYS($H117,$U117)-1&gt;IF($B117="Program",Portfolio!$B$16,Portfolio!$B$15),3,2)))))</f>
        <v/>
      </c>
      <c r="Y117" s="31">
        <f>IF(OR($Q117=0,$K117="",$K117=0),0,IF(AND($B117="Project",$J117=""),0,IF(IF($B117="Program",$V117,$J117)&gt;$K117*(1+Portfolio!$B$17),3,IF(IF($B117="Program",$V117,$J117)&gt;$K117,2,IF(AND($B117="Program",OR($W117&gt;0,$V117=0)),0,1)))))</f>
        <v/>
      </c>
      <c r="Z117" s="31">
        <f>IF($A117="",0,IF($C117="Portfolio",1,IF(AND($B117="Project",$C117&lt;&gt;"",$C117&lt;&gt;"Outside the portfolio"),IFERROR(IF(AND(INDEX($B$6:$B$305,MATCH($C117,$A$6:$A$305,0))="Program",INDEX($C$6:$C$305,MATCH($C117,$A$6:$A$305,0))="Portfolio"),1,0),0),0)))</f>
        <v/>
      </c>
      <c r="AA117" s="31">
        <f>IF(AND($A117&lt;&gt;"",$E117="",OR($Q117=1,$D117="Proposed")),1,0)</f>
        <v/>
      </c>
      <c r="AB117" s="31">
        <f>IF(AND($A117&lt;&gt;"",$B117="Program",$F117="",$Q117=1),1,0)</f>
        <v/>
      </c>
      <c r="AC117" s="31">
        <f>IF(OR($A117="",$D117="Completed",$D117="Terminated"),0,IF($C117="",1,IF($C117="Portfolio",0,IF($C117="Outside the portfolio",IF($Q117=1,2,0),IF($B117="Project",IF(IFERROR(INDEX($B$6:$B$305,MATCH($C117,$A$6:$A$305,0)),"")="Program",0,1),1)))))</f>
        <v/>
      </c>
      <c r="AD117" s="31">
        <f>IF(AND($A117&lt;&gt;"",OR($M117="■ Red",$M117="◧ Amber"),$L117=""),1,0)</f>
        <v/>
      </c>
      <c r="AE117" s="31">
        <f>$AA117+$AB117+IF($AC117&gt;0,1,0)+$AD117</f>
        <v/>
      </c>
      <c r="AJ117" s="14" t="n"/>
      <c r="AK117" s="29" t="n"/>
      <c r="AL117" s="31">
        <f>IF(AND($Q117=1,$Z117=1),1,0)</f>
        <v/>
      </c>
      <c r="AM117" s="31">
        <f>IF(AND($AL117=1,$AJ117&lt;&gt;""),MAX(0,TODAY()-$AJ117),"")</f>
        <v/>
      </c>
      <c r="AN117" s="31">
        <f>IF(OR($AL117=0,COUNT($AJ$6:$AJ$305)=0),0,IF($AJ117="",1,IF(TODAY()-$AJ117&gt;Board!$B$40,1,0)))</f>
        <v/>
      </c>
      <c r="AO117" s="31">
        <f>IF($AL117=0,0,IF($M117="■ Red",3,IF($M117="◧ Amber",2,IF($M117="□ On track",1,0))))</f>
        <v/>
      </c>
      <c r="AP117" s="31">
        <f>IF($AL117=0,0,IF($AK117="Will not hold",3,IF($AK117="At risk",2,IF($AK117="Will hold",1,0))))</f>
        <v/>
      </c>
      <c r="AQ117" s="31">
        <f>IF($AL117=0,"",IF($AO117=3,0,IF($AO117=2,1,IF(AND($AP117&gt;=2,$AP117&gt;$AO117),2,""))))</f>
        <v/>
      </c>
      <c r="AR117" s="31">
        <f>IF($AQ117="","",$AQ117*1000+117)</f>
        <v/>
      </c>
      <c r="AS117" s="31">
        <f>IF(AND($AL117=1,$AO117&gt;=2,$AP117&gt;=1,$AP117&lt;$AO117),1,0)</f>
        <v/>
      </c>
      <c r="AT117" s="31">
        <f>IF(AND($AL117=1,$AO117&gt;=2,$AP117=0),1,0)</f>
        <v/>
      </c>
      <c r="AU117" s="31">
        <f>IF(AND($AL117=1,$U117&lt;&gt;"",$U117&lt;TODAY()),1,0)</f>
        <v/>
      </c>
      <c r="AV117" s="31">
        <f>IF(OR($A117="",$AJ117="",Portfolio!$B$10=""),0,IF($AJ117&lt;=Portfolio!$B$10,0,IF(AND($D117="Completed",$Z117=1),1,IF(AND($D117="Terminated",$Z117=1),2,IF(AND($Q117=1,$Z117=0),3,0)))))</f>
        <v/>
      </c>
      <c r="AW117" s="31">
        <f>IF($AV117&gt;0,COUNTIF($AV$6:$AV117,"&gt;0"),"")</f>
        <v/>
      </c>
      <c r="AX117" s="31">
        <f>IF($AL117=0,"",IF(AND($B117="Project",$H117&lt;&gt;"",$H117&lt;TODAY()),"Planned finish "&amp;TEXT($H117,"d mmm")&amp;" has passed",IF($X117&gt;=2,(NETWORKDAYS($H117,$U117)-1)&amp;" working days past plan","")))</f>
        <v/>
      </c>
      <c r="AY117" s="31">
        <f>IF($AL117=0,"",IF($Y117&gt;=2,"Over budget by "&amp;TEXT(IF($B117="Program",$V117,$J117)-$K117,"#,##0"),""))</f>
        <v/>
      </c>
      <c r="AZ117" s="31">
        <f>IF(AND($AL117=1,$U117&lt;&gt;""),IF(AND(N($U117)&gt;=TODAY(),N($U117)&lt;=TODAY()+Board!$B$41),1,0),0)</f>
        <v/>
      </c>
    </row>
    <row r="118">
      <c r="A118" s="29" t="n"/>
      <c r="B118" s="29" t="n"/>
      <c r="C118" s="29" t="n"/>
      <c r="D118" s="29" t="n"/>
      <c r="E118" s="29" t="n"/>
      <c r="F118" s="29" t="n"/>
      <c r="G118" s="29" t="n"/>
      <c r="H118" s="30" t="n"/>
      <c r="I118" s="30" t="n"/>
      <c r="J118" s="19" t="n"/>
      <c r="K118" s="19" t="n"/>
      <c r="L118" s="26" t="n"/>
      <c r="M118" s="31">
        <f>IF($A118="","",IF($D118="","Not read",IF($Q118=0,"Not counted",IF(MAX($X118,$Y118)=3,"■ Red",IF(MAX($X118,$Y118)=2,"◧ Amber",IF(MAX($X118,$Y118)=1,"□ On track","Not read"))))))</f>
        <v/>
      </c>
      <c r="N118" s="31">
        <f>IF(OR($A118="",$B118&lt;&gt;"Program"),"","■ "&amp;COUNTIFS($C$6:$C$305,$A118,$M$6:$M$305,"■ Red")&amp;" Red, ◧ "&amp;COUNTIFS($C$6:$C$305,$A118,$M$6:$M$305,"◧ Amber")&amp;" Amber")</f>
        <v/>
      </c>
      <c r="O118" s="32">
        <f>IF(OR($A118="",$E118=""),"",COUNTIFS($E$6:$E$305,$E118,$D$6:$D$305,"Active")+COUNTIFS($E$6:$E$305,$E118,$D$6:$D$305,"Paused"))</f>
        <v/>
      </c>
      <c r="P118" s="31">
        <f>IF($A118="","",IF($AE118=0,"○ Clear",IF($AA118=1,"△ No owner",IF($AC118=1,"△ Check Sits under",IF($AC118=2,"△ Outside the portfolio",IF($AB118=1,"△ No sponsor","△ No variance note"))))&amp;IF($AE118&gt;1," (+"&amp;($AE118-1)&amp;" more)","")))</f>
        <v/>
      </c>
      <c r="Q118" s="31">
        <f>IF(AND($A118&lt;&gt;"",OR($D118="Active",$D118="Paused")),1,0)</f>
        <v/>
      </c>
      <c r="R118" s="31">
        <f>IFERROR(INDEX($A$6:$A$305,MATCH(111,$S$6:$S$305,0)),"")</f>
        <v/>
      </c>
      <c r="S118" s="31">
        <f>IF(AND($A118&lt;&gt;"",$B118="Program"),COUNTIFS($B$6:$B118,"Program",$A$6:$A118,"&lt;&gt;"),"")</f>
        <v/>
      </c>
      <c r="T118" s="33">
        <f>IF(AND($A118&lt;&gt;"",$B118="Program"),SUMPRODUCT(MAX(($C$6:$C$305=$A118)*($B$6:$B$305="Project")*($D$6:$D$305&lt;&gt;"Proposed")*$I$6:$I$305)),0)</f>
        <v/>
      </c>
      <c r="U118" s="33">
        <f>IF($I118&lt;&gt;"",$I118,IF($T118&gt;0,$T118,""))</f>
        <v/>
      </c>
      <c r="V118" s="31">
        <f>IF(AND($A118&lt;&gt;"",$B118="Program"),SUMIFS($J$6:$J$305,$C$6:$C$305,$A118,$B$6:$B$305,"Project",$D$6:$D$305,"&lt;&gt;Proposed"),0)</f>
        <v/>
      </c>
      <c r="W118" s="31">
        <f>IF(AND($A118&lt;&gt;"",$B118="Program"),COUNTIFS($C$6:$C$305,$A118,$B$6:$B$305,"Project",$D$6:$D$305,"&lt;&gt;Proposed")-COUNTIFS($C$6:$C$305,$A118,$B$6:$B$305,"Project",$D$6:$D$305,"&lt;&gt;Proposed",$J$6:$J$305,"&gt;=0"),0)</f>
        <v/>
      </c>
      <c r="X118" s="31">
        <f>IF(OR($Q118=0,$H118=""),0,IF(AND($B118="Project",$H118&lt;TODAY()),3,IF($U118="",0,IF($U118&lt;=$H118,1,IF(NETWORKDAYS($H118,$U118)-1&gt;IF($B118="Program",Portfolio!$B$16,Portfolio!$B$15),3,2)))))</f>
        <v/>
      </c>
      <c r="Y118" s="31">
        <f>IF(OR($Q118=0,$K118="",$K118=0),0,IF(AND($B118="Project",$J118=""),0,IF(IF($B118="Program",$V118,$J118)&gt;$K118*(1+Portfolio!$B$17),3,IF(IF($B118="Program",$V118,$J118)&gt;$K118,2,IF(AND($B118="Program",OR($W118&gt;0,$V118=0)),0,1)))))</f>
        <v/>
      </c>
      <c r="Z118" s="31">
        <f>IF($A118="",0,IF($C118="Portfolio",1,IF(AND($B118="Project",$C118&lt;&gt;"",$C118&lt;&gt;"Outside the portfolio"),IFERROR(IF(AND(INDEX($B$6:$B$305,MATCH($C118,$A$6:$A$305,0))="Program",INDEX($C$6:$C$305,MATCH($C118,$A$6:$A$305,0))="Portfolio"),1,0),0),0)))</f>
        <v/>
      </c>
      <c r="AA118" s="31">
        <f>IF(AND($A118&lt;&gt;"",$E118="",OR($Q118=1,$D118="Proposed")),1,0)</f>
        <v/>
      </c>
      <c r="AB118" s="31">
        <f>IF(AND($A118&lt;&gt;"",$B118="Program",$F118="",$Q118=1),1,0)</f>
        <v/>
      </c>
      <c r="AC118" s="31">
        <f>IF(OR($A118="",$D118="Completed",$D118="Terminated"),0,IF($C118="",1,IF($C118="Portfolio",0,IF($C118="Outside the portfolio",IF($Q118=1,2,0),IF($B118="Project",IF(IFERROR(INDEX($B$6:$B$305,MATCH($C118,$A$6:$A$305,0)),"")="Program",0,1),1)))))</f>
        <v/>
      </c>
      <c r="AD118" s="31">
        <f>IF(AND($A118&lt;&gt;"",OR($M118="■ Red",$M118="◧ Amber"),$L118=""),1,0)</f>
        <v/>
      </c>
      <c r="AE118" s="31">
        <f>$AA118+$AB118+IF($AC118&gt;0,1,0)+$AD118</f>
        <v/>
      </c>
      <c r="AJ118" s="14" t="n"/>
      <c r="AK118" s="29" t="n"/>
      <c r="AL118" s="31">
        <f>IF(AND($Q118=1,$Z118=1),1,0)</f>
        <v/>
      </c>
      <c r="AM118" s="31">
        <f>IF(AND($AL118=1,$AJ118&lt;&gt;""),MAX(0,TODAY()-$AJ118),"")</f>
        <v/>
      </c>
      <c r="AN118" s="31">
        <f>IF(OR($AL118=0,COUNT($AJ$6:$AJ$305)=0),0,IF($AJ118="",1,IF(TODAY()-$AJ118&gt;Board!$B$40,1,0)))</f>
        <v/>
      </c>
      <c r="AO118" s="31">
        <f>IF($AL118=0,0,IF($M118="■ Red",3,IF($M118="◧ Amber",2,IF($M118="□ On track",1,0))))</f>
        <v/>
      </c>
      <c r="AP118" s="31">
        <f>IF($AL118=0,0,IF($AK118="Will not hold",3,IF($AK118="At risk",2,IF($AK118="Will hold",1,0))))</f>
        <v/>
      </c>
      <c r="AQ118" s="31">
        <f>IF($AL118=0,"",IF($AO118=3,0,IF($AO118=2,1,IF(AND($AP118&gt;=2,$AP118&gt;$AO118),2,""))))</f>
        <v/>
      </c>
      <c r="AR118" s="31">
        <f>IF($AQ118="","",$AQ118*1000+118)</f>
        <v/>
      </c>
      <c r="AS118" s="31">
        <f>IF(AND($AL118=1,$AO118&gt;=2,$AP118&gt;=1,$AP118&lt;$AO118),1,0)</f>
        <v/>
      </c>
      <c r="AT118" s="31">
        <f>IF(AND($AL118=1,$AO118&gt;=2,$AP118=0),1,0)</f>
        <v/>
      </c>
      <c r="AU118" s="31">
        <f>IF(AND($AL118=1,$U118&lt;&gt;"",$U118&lt;TODAY()),1,0)</f>
        <v/>
      </c>
      <c r="AV118" s="31">
        <f>IF(OR($A118="",$AJ118="",Portfolio!$B$10=""),0,IF($AJ118&lt;=Portfolio!$B$10,0,IF(AND($D118="Completed",$Z118=1),1,IF(AND($D118="Terminated",$Z118=1),2,IF(AND($Q118=1,$Z118=0),3,0)))))</f>
        <v/>
      </c>
      <c r="AW118" s="31">
        <f>IF($AV118&gt;0,COUNTIF($AV$6:$AV118,"&gt;0"),"")</f>
        <v/>
      </c>
      <c r="AX118" s="31">
        <f>IF($AL118=0,"",IF(AND($B118="Project",$H118&lt;&gt;"",$H118&lt;TODAY()),"Planned finish "&amp;TEXT($H118,"d mmm")&amp;" has passed",IF($X118&gt;=2,(NETWORKDAYS($H118,$U118)-1)&amp;" working days past plan","")))</f>
        <v/>
      </c>
      <c r="AY118" s="31">
        <f>IF($AL118=0,"",IF($Y118&gt;=2,"Over budget by "&amp;TEXT(IF($B118="Program",$V118,$J118)-$K118,"#,##0"),""))</f>
        <v/>
      </c>
      <c r="AZ118" s="31">
        <f>IF(AND($AL118=1,$U118&lt;&gt;""),IF(AND(N($U118)&gt;=TODAY(),N($U118)&lt;=TODAY()+Board!$B$41),1,0),0)</f>
        <v/>
      </c>
    </row>
    <row r="119">
      <c r="A119" s="29" t="n"/>
      <c r="B119" s="29" t="n"/>
      <c r="C119" s="29" t="n"/>
      <c r="D119" s="29" t="n"/>
      <c r="E119" s="29" t="n"/>
      <c r="F119" s="29" t="n"/>
      <c r="G119" s="29" t="n"/>
      <c r="H119" s="30" t="n"/>
      <c r="I119" s="30" t="n"/>
      <c r="J119" s="19" t="n"/>
      <c r="K119" s="19" t="n"/>
      <c r="L119" s="26" t="n"/>
      <c r="M119" s="31">
        <f>IF($A119="","",IF($D119="","Not read",IF($Q119=0,"Not counted",IF(MAX($X119,$Y119)=3,"■ Red",IF(MAX($X119,$Y119)=2,"◧ Amber",IF(MAX($X119,$Y119)=1,"□ On track","Not read"))))))</f>
        <v/>
      </c>
      <c r="N119" s="31">
        <f>IF(OR($A119="",$B119&lt;&gt;"Program"),"","■ "&amp;COUNTIFS($C$6:$C$305,$A119,$M$6:$M$305,"■ Red")&amp;" Red, ◧ "&amp;COUNTIFS($C$6:$C$305,$A119,$M$6:$M$305,"◧ Amber")&amp;" Amber")</f>
        <v/>
      </c>
      <c r="O119" s="32">
        <f>IF(OR($A119="",$E119=""),"",COUNTIFS($E$6:$E$305,$E119,$D$6:$D$305,"Active")+COUNTIFS($E$6:$E$305,$E119,$D$6:$D$305,"Paused"))</f>
        <v/>
      </c>
      <c r="P119" s="31">
        <f>IF($A119="","",IF($AE119=0,"○ Clear",IF($AA119=1,"△ No owner",IF($AC119=1,"△ Check Sits under",IF($AC119=2,"△ Outside the portfolio",IF($AB119=1,"△ No sponsor","△ No variance note"))))&amp;IF($AE119&gt;1," (+"&amp;($AE119-1)&amp;" more)","")))</f>
        <v/>
      </c>
      <c r="Q119" s="31">
        <f>IF(AND($A119&lt;&gt;"",OR($D119="Active",$D119="Paused")),1,0)</f>
        <v/>
      </c>
      <c r="R119" s="31">
        <f>IFERROR(INDEX($A$6:$A$305,MATCH(112,$S$6:$S$305,0)),"")</f>
        <v/>
      </c>
      <c r="S119" s="31">
        <f>IF(AND($A119&lt;&gt;"",$B119="Program"),COUNTIFS($B$6:$B119,"Program",$A$6:$A119,"&lt;&gt;"),"")</f>
        <v/>
      </c>
      <c r="T119" s="33">
        <f>IF(AND($A119&lt;&gt;"",$B119="Program"),SUMPRODUCT(MAX(($C$6:$C$305=$A119)*($B$6:$B$305="Project")*($D$6:$D$305&lt;&gt;"Proposed")*$I$6:$I$305)),0)</f>
        <v/>
      </c>
      <c r="U119" s="33">
        <f>IF($I119&lt;&gt;"",$I119,IF($T119&gt;0,$T119,""))</f>
        <v/>
      </c>
      <c r="V119" s="31">
        <f>IF(AND($A119&lt;&gt;"",$B119="Program"),SUMIFS($J$6:$J$305,$C$6:$C$305,$A119,$B$6:$B$305,"Project",$D$6:$D$305,"&lt;&gt;Proposed"),0)</f>
        <v/>
      </c>
      <c r="W119" s="31">
        <f>IF(AND($A119&lt;&gt;"",$B119="Program"),COUNTIFS($C$6:$C$305,$A119,$B$6:$B$305,"Project",$D$6:$D$305,"&lt;&gt;Proposed")-COUNTIFS($C$6:$C$305,$A119,$B$6:$B$305,"Project",$D$6:$D$305,"&lt;&gt;Proposed",$J$6:$J$305,"&gt;=0"),0)</f>
        <v/>
      </c>
      <c r="X119" s="31">
        <f>IF(OR($Q119=0,$H119=""),0,IF(AND($B119="Project",$H119&lt;TODAY()),3,IF($U119="",0,IF($U119&lt;=$H119,1,IF(NETWORKDAYS($H119,$U119)-1&gt;IF($B119="Program",Portfolio!$B$16,Portfolio!$B$15),3,2)))))</f>
        <v/>
      </c>
      <c r="Y119" s="31">
        <f>IF(OR($Q119=0,$K119="",$K119=0),0,IF(AND($B119="Project",$J119=""),0,IF(IF($B119="Program",$V119,$J119)&gt;$K119*(1+Portfolio!$B$17),3,IF(IF($B119="Program",$V119,$J119)&gt;$K119,2,IF(AND($B119="Program",OR($W119&gt;0,$V119=0)),0,1)))))</f>
        <v/>
      </c>
      <c r="Z119" s="31">
        <f>IF($A119="",0,IF($C119="Portfolio",1,IF(AND($B119="Project",$C119&lt;&gt;"",$C119&lt;&gt;"Outside the portfolio"),IFERROR(IF(AND(INDEX($B$6:$B$305,MATCH($C119,$A$6:$A$305,0))="Program",INDEX($C$6:$C$305,MATCH($C119,$A$6:$A$305,0))="Portfolio"),1,0),0),0)))</f>
        <v/>
      </c>
      <c r="AA119" s="31">
        <f>IF(AND($A119&lt;&gt;"",$E119="",OR($Q119=1,$D119="Proposed")),1,0)</f>
        <v/>
      </c>
      <c r="AB119" s="31">
        <f>IF(AND($A119&lt;&gt;"",$B119="Program",$F119="",$Q119=1),1,0)</f>
        <v/>
      </c>
      <c r="AC119" s="31">
        <f>IF(OR($A119="",$D119="Completed",$D119="Terminated"),0,IF($C119="",1,IF($C119="Portfolio",0,IF($C119="Outside the portfolio",IF($Q119=1,2,0),IF($B119="Project",IF(IFERROR(INDEX($B$6:$B$305,MATCH($C119,$A$6:$A$305,0)),"")="Program",0,1),1)))))</f>
        <v/>
      </c>
      <c r="AD119" s="31">
        <f>IF(AND($A119&lt;&gt;"",OR($M119="■ Red",$M119="◧ Amber"),$L119=""),1,0)</f>
        <v/>
      </c>
      <c r="AE119" s="31">
        <f>$AA119+$AB119+IF($AC119&gt;0,1,0)+$AD119</f>
        <v/>
      </c>
      <c r="AJ119" s="14" t="n"/>
      <c r="AK119" s="29" t="n"/>
      <c r="AL119" s="31">
        <f>IF(AND($Q119=1,$Z119=1),1,0)</f>
        <v/>
      </c>
      <c r="AM119" s="31">
        <f>IF(AND($AL119=1,$AJ119&lt;&gt;""),MAX(0,TODAY()-$AJ119),"")</f>
        <v/>
      </c>
      <c r="AN119" s="31">
        <f>IF(OR($AL119=0,COUNT($AJ$6:$AJ$305)=0),0,IF($AJ119="",1,IF(TODAY()-$AJ119&gt;Board!$B$40,1,0)))</f>
        <v/>
      </c>
      <c r="AO119" s="31">
        <f>IF($AL119=0,0,IF($M119="■ Red",3,IF($M119="◧ Amber",2,IF($M119="□ On track",1,0))))</f>
        <v/>
      </c>
      <c r="AP119" s="31">
        <f>IF($AL119=0,0,IF($AK119="Will not hold",3,IF($AK119="At risk",2,IF($AK119="Will hold",1,0))))</f>
        <v/>
      </c>
      <c r="AQ119" s="31">
        <f>IF($AL119=0,"",IF($AO119=3,0,IF($AO119=2,1,IF(AND($AP119&gt;=2,$AP119&gt;$AO119),2,""))))</f>
        <v/>
      </c>
      <c r="AR119" s="31">
        <f>IF($AQ119="","",$AQ119*1000+119)</f>
        <v/>
      </c>
      <c r="AS119" s="31">
        <f>IF(AND($AL119=1,$AO119&gt;=2,$AP119&gt;=1,$AP119&lt;$AO119),1,0)</f>
        <v/>
      </c>
      <c r="AT119" s="31">
        <f>IF(AND($AL119=1,$AO119&gt;=2,$AP119=0),1,0)</f>
        <v/>
      </c>
      <c r="AU119" s="31">
        <f>IF(AND($AL119=1,$U119&lt;&gt;"",$U119&lt;TODAY()),1,0)</f>
        <v/>
      </c>
      <c r="AV119" s="31">
        <f>IF(OR($A119="",$AJ119="",Portfolio!$B$10=""),0,IF($AJ119&lt;=Portfolio!$B$10,0,IF(AND($D119="Completed",$Z119=1),1,IF(AND($D119="Terminated",$Z119=1),2,IF(AND($Q119=1,$Z119=0),3,0)))))</f>
        <v/>
      </c>
      <c r="AW119" s="31">
        <f>IF($AV119&gt;0,COUNTIF($AV$6:$AV119,"&gt;0"),"")</f>
        <v/>
      </c>
      <c r="AX119" s="31">
        <f>IF($AL119=0,"",IF(AND($B119="Project",$H119&lt;&gt;"",$H119&lt;TODAY()),"Planned finish "&amp;TEXT($H119,"d mmm")&amp;" has passed",IF($X119&gt;=2,(NETWORKDAYS($H119,$U119)-1)&amp;" working days past plan","")))</f>
        <v/>
      </c>
      <c r="AY119" s="31">
        <f>IF($AL119=0,"",IF($Y119&gt;=2,"Over budget by "&amp;TEXT(IF($B119="Program",$V119,$J119)-$K119,"#,##0"),""))</f>
        <v/>
      </c>
      <c r="AZ119" s="31">
        <f>IF(AND($AL119=1,$U119&lt;&gt;""),IF(AND(N($U119)&gt;=TODAY(),N($U119)&lt;=TODAY()+Board!$B$41),1,0),0)</f>
        <v/>
      </c>
    </row>
    <row r="120">
      <c r="A120" s="29" t="n"/>
      <c r="B120" s="29" t="n"/>
      <c r="C120" s="29" t="n"/>
      <c r="D120" s="29" t="n"/>
      <c r="E120" s="29" t="n"/>
      <c r="F120" s="29" t="n"/>
      <c r="G120" s="29" t="n"/>
      <c r="H120" s="30" t="n"/>
      <c r="I120" s="30" t="n"/>
      <c r="J120" s="19" t="n"/>
      <c r="K120" s="19" t="n"/>
      <c r="L120" s="26" t="n"/>
      <c r="M120" s="31">
        <f>IF($A120="","",IF($D120="","Not read",IF($Q120=0,"Not counted",IF(MAX($X120,$Y120)=3,"■ Red",IF(MAX($X120,$Y120)=2,"◧ Amber",IF(MAX($X120,$Y120)=1,"□ On track","Not read"))))))</f>
        <v/>
      </c>
      <c r="N120" s="31">
        <f>IF(OR($A120="",$B120&lt;&gt;"Program"),"","■ "&amp;COUNTIFS($C$6:$C$305,$A120,$M$6:$M$305,"■ Red")&amp;" Red, ◧ "&amp;COUNTIFS($C$6:$C$305,$A120,$M$6:$M$305,"◧ Amber")&amp;" Amber")</f>
        <v/>
      </c>
      <c r="O120" s="32">
        <f>IF(OR($A120="",$E120=""),"",COUNTIFS($E$6:$E$305,$E120,$D$6:$D$305,"Active")+COUNTIFS($E$6:$E$305,$E120,$D$6:$D$305,"Paused"))</f>
        <v/>
      </c>
      <c r="P120" s="31">
        <f>IF($A120="","",IF($AE120=0,"○ Clear",IF($AA120=1,"△ No owner",IF($AC120=1,"△ Check Sits under",IF($AC120=2,"△ Outside the portfolio",IF($AB120=1,"△ No sponsor","△ No variance note"))))&amp;IF($AE120&gt;1," (+"&amp;($AE120-1)&amp;" more)","")))</f>
        <v/>
      </c>
      <c r="Q120" s="31">
        <f>IF(AND($A120&lt;&gt;"",OR($D120="Active",$D120="Paused")),1,0)</f>
        <v/>
      </c>
      <c r="R120" s="31">
        <f>IFERROR(INDEX($A$6:$A$305,MATCH(113,$S$6:$S$305,0)),"")</f>
        <v/>
      </c>
      <c r="S120" s="31">
        <f>IF(AND($A120&lt;&gt;"",$B120="Program"),COUNTIFS($B$6:$B120,"Program",$A$6:$A120,"&lt;&gt;"),"")</f>
        <v/>
      </c>
      <c r="T120" s="33">
        <f>IF(AND($A120&lt;&gt;"",$B120="Program"),SUMPRODUCT(MAX(($C$6:$C$305=$A120)*($B$6:$B$305="Project")*($D$6:$D$305&lt;&gt;"Proposed")*$I$6:$I$305)),0)</f>
        <v/>
      </c>
      <c r="U120" s="33">
        <f>IF($I120&lt;&gt;"",$I120,IF($T120&gt;0,$T120,""))</f>
        <v/>
      </c>
      <c r="V120" s="31">
        <f>IF(AND($A120&lt;&gt;"",$B120="Program"),SUMIFS($J$6:$J$305,$C$6:$C$305,$A120,$B$6:$B$305,"Project",$D$6:$D$305,"&lt;&gt;Proposed"),0)</f>
        <v/>
      </c>
      <c r="W120" s="31">
        <f>IF(AND($A120&lt;&gt;"",$B120="Program"),COUNTIFS($C$6:$C$305,$A120,$B$6:$B$305,"Project",$D$6:$D$305,"&lt;&gt;Proposed")-COUNTIFS($C$6:$C$305,$A120,$B$6:$B$305,"Project",$D$6:$D$305,"&lt;&gt;Proposed",$J$6:$J$305,"&gt;=0"),0)</f>
        <v/>
      </c>
      <c r="X120" s="31">
        <f>IF(OR($Q120=0,$H120=""),0,IF(AND($B120="Project",$H120&lt;TODAY()),3,IF($U120="",0,IF($U120&lt;=$H120,1,IF(NETWORKDAYS($H120,$U120)-1&gt;IF($B120="Program",Portfolio!$B$16,Portfolio!$B$15),3,2)))))</f>
        <v/>
      </c>
      <c r="Y120" s="31">
        <f>IF(OR($Q120=0,$K120="",$K120=0),0,IF(AND($B120="Project",$J120=""),0,IF(IF($B120="Program",$V120,$J120)&gt;$K120*(1+Portfolio!$B$17),3,IF(IF($B120="Program",$V120,$J120)&gt;$K120,2,IF(AND($B120="Program",OR($W120&gt;0,$V120=0)),0,1)))))</f>
        <v/>
      </c>
      <c r="Z120" s="31">
        <f>IF($A120="",0,IF($C120="Portfolio",1,IF(AND($B120="Project",$C120&lt;&gt;"",$C120&lt;&gt;"Outside the portfolio"),IFERROR(IF(AND(INDEX($B$6:$B$305,MATCH($C120,$A$6:$A$305,0))="Program",INDEX($C$6:$C$305,MATCH($C120,$A$6:$A$305,0))="Portfolio"),1,0),0),0)))</f>
        <v/>
      </c>
      <c r="AA120" s="31">
        <f>IF(AND($A120&lt;&gt;"",$E120="",OR($Q120=1,$D120="Proposed")),1,0)</f>
        <v/>
      </c>
      <c r="AB120" s="31">
        <f>IF(AND($A120&lt;&gt;"",$B120="Program",$F120="",$Q120=1),1,0)</f>
        <v/>
      </c>
      <c r="AC120" s="31">
        <f>IF(OR($A120="",$D120="Completed",$D120="Terminated"),0,IF($C120="",1,IF($C120="Portfolio",0,IF($C120="Outside the portfolio",IF($Q120=1,2,0),IF($B120="Project",IF(IFERROR(INDEX($B$6:$B$305,MATCH($C120,$A$6:$A$305,0)),"")="Program",0,1),1)))))</f>
        <v/>
      </c>
      <c r="AD120" s="31">
        <f>IF(AND($A120&lt;&gt;"",OR($M120="■ Red",$M120="◧ Amber"),$L120=""),1,0)</f>
        <v/>
      </c>
      <c r="AE120" s="31">
        <f>$AA120+$AB120+IF($AC120&gt;0,1,0)+$AD120</f>
        <v/>
      </c>
      <c r="AJ120" s="14" t="n"/>
      <c r="AK120" s="29" t="n"/>
      <c r="AL120" s="31">
        <f>IF(AND($Q120=1,$Z120=1),1,0)</f>
        <v/>
      </c>
      <c r="AM120" s="31">
        <f>IF(AND($AL120=1,$AJ120&lt;&gt;""),MAX(0,TODAY()-$AJ120),"")</f>
        <v/>
      </c>
      <c r="AN120" s="31">
        <f>IF(OR($AL120=0,COUNT($AJ$6:$AJ$305)=0),0,IF($AJ120="",1,IF(TODAY()-$AJ120&gt;Board!$B$40,1,0)))</f>
        <v/>
      </c>
      <c r="AO120" s="31">
        <f>IF($AL120=0,0,IF($M120="■ Red",3,IF($M120="◧ Amber",2,IF($M120="□ On track",1,0))))</f>
        <v/>
      </c>
      <c r="AP120" s="31">
        <f>IF($AL120=0,0,IF($AK120="Will not hold",3,IF($AK120="At risk",2,IF($AK120="Will hold",1,0))))</f>
        <v/>
      </c>
      <c r="AQ120" s="31">
        <f>IF($AL120=0,"",IF($AO120=3,0,IF($AO120=2,1,IF(AND($AP120&gt;=2,$AP120&gt;$AO120),2,""))))</f>
        <v/>
      </c>
      <c r="AR120" s="31">
        <f>IF($AQ120="","",$AQ120*1000+120)</f>
        <v/>
      </c>
      <c r="AS120" s="31">
        <f>IF(AND($AL120=1,$AO120&gt;=2,$AP120&gt;=1,$AP120&lt;$AO120),1,0)</f>
        <v/>
      </c>
      <c r="AT120" s="31">
        <f>IF(AND($AL120=1,$AO120&gt;=2,$AP120=0),1,0)</f>
        <v/>
      </c>
      <c r="AU120" s="31">
        <f>IF(AND($AL120=1,$U120&lt;&gt;"",$U120&lt;TODAY()),1,0)</f>
        <v/>
      </c>
      <c r="AV120" s="31">
        <f>IF(OR($A120="",$AJ120="",Portfolio!$B$10=""),0,IF($AJ120&lt;=Portfolio!$B$10,0,IF(AND($D120="Completed",$Z120=1),1,IF(AND($D120="Terminated",$Z120=1),2,IF(AND($Q120=1,$Z120=0),3,0)))))</f>
        <v/>
      </c>
      <c r="AW120" s="31">
        <f>IF($AV120&gt;0,COUNTIF($AV$6:$AV120,"&gt;0"),"")</f>
        <v/>
      </c>
      <c r="AX120" s="31">
        <f>IF($AL120=0,"",IF(AND($B120="Project",$H120&lt;&gt;"",$H120&lt;TODAY()),"Planned finish "&amp;TEXT($H120,"d mmm")&amp;" has passed",IF($X120&gt;=2,(NETWORKDAYS($H120,$U120)-1)&amp;" working days past plan","")))</f>
        <v/>
      </c>
      <c r="AY120" s="31">
        <f>IF($AL120=0,"",IF($Y120&gt;=2,"Over budget by "&amp;TEXT(IF($B120="Program",$V120,$J120)-$K120,"#,##0"),""))</f>
        <v/>
      </c>
      <c r="AZ120" s="31">
        <f>IF(AND($AL120=1,$U120&lt;&gt;""),IF(AND(N($U120)&gt;=TODAY(),N($U120)&lt;=TODAY()+Board!$B$41),1,0),0)</f>
        <v/>
      </c>
    </row>
    <row r="121">
      <c r="A121" s="29" t="n"/>
      <c r="B121" s="29" t="n"/>
      <c r="C121" s="29" t="n"/>
      <c r="D121" s="29" t="n"/>
      <c r="E121" s="29" t="n"/>
      <c r="F121" s="29" t="n"/>
      <c r="G121" s="29" t="n"/>
      <c r="H121" s="30" t="n"/>
      <c r="I121" s="30" t="n"/>
      <c r="J121" s="19" t="n"/>
      <c r="K121" s="19" t="n"/>
      <c r="L121" s="26" t="n"/>
      <c r="M121" s="31">
        <f>IF($A121="","",IF($D121="","Not read",IF($Q121=0,"Not counted",IF(MAX($X121,$Y121)=3,"■ Red",IF(MAX($X121,$Y121)=2,"◧ Amber",IF(MAX($X121,$Y121)=1,"□ On track","Not read"))))))</f>
        <v/>
      </c>
      <c r="N121" s="31">
        <f>IF(OR($A121="",$B121&lt;&gt;"Program"),"","■ "&amp;COUNTIFS($C$6:$C$305,$A121,$M$6:$M$305,"■ Red")&amp;" Red, ◧ "&amp;COUNTIFS($C$6:$C$305,$A121,$M$6:$M$305,"◧ Amber")&amp;" Amber")</f>
        <v/>
      </c>
      <c r="O121" s="32">
        <f>IF(OR($A121="",$E121=""),"",COUNTIFS($E$6:$E$305,$E121,$D$6:$D$305,"Active")+COUNTIFS($E$6:$E$305,$E121,$D$6:$D$305,"Paused"))</f>
        <v/>
      </c>
      <c r="P121" s="31">
        <f>IF($A121="","",IF($AE121=0,"○ Clear",IF($AA121=1,"△ No owner",IF($AC121=1,"△ Check Sits under",IF($AC121=2,"△ Outside the portfolio",IF($AB121=1,"△ No sponsor","△ No variance note"))))&amp;IF($AE121&gt;1," (+"&amp;($AE121-1)&amp;" more)","")))</f>
        <v/>
      </c>
      <c r="Q121" s="31">
        <f>IF(AND($A121&lt;&gt;"",OR($D121="Active",$D121="Paused")),1,0)</f>
        <v/>
      </c>
      <c r="R121" s="31">
        <f>IFERROR(INDEX($A$6:$A$305,MATCH(114,$S$6:$S$305,0)),"")</f>
        <v/>
      </c>
      <c r="S121" s="31">
        <f>IF(AND($A121&lt;&gt;"",$B121="Program"),COUNTIFS($B$6:$B121,"Program",$A$6:$A121,"&lt;&gt;"),"")</f>
        <v/>
      </c>
      <c r="T121" s="33">
        <f>IF(AND($A121&lt;&gt;"",$B121="Program"),SUMPRODUCT(MAX(($C$6:$C$305=$A121)*($B$6:$B$305="Project")*($D$6:$D$305&lt;&gt;"Proposed")*$I$6:$I$305)),0)</f>
        <v/>
      </c>
      <c r="U121" s="33">
        <f>IF($I121&lt;&gt;"",$I121,IF($T121&gt;0,$T121,""))</f>
        <v/>
      </c>
      <c r="V121" s="31">
        <f>IF(AND($A121&lt;&gt;"",$B121="Program"),SUMIFS($J$6:$J$305,$C$6:$C$305,$A121,$B$6:$B$305,"Project",$D$6:$D$305,"&lt;&gt;Proposed"),0)</f>
        <v/>
      </c>
      <c r="W121" s="31">
        <f>IF(AND($A121&lt;&gt;"",$B121="Program"),COUNTIFS($C$6:$C$305,$A121,$B$6:$B$305,"Project",$D$6:$D$305,"&lt;&gt;Proposed")-COUNTIFS($C$6:$C$305,$A121,$B$6:$B$305,"Project",$D$6:$D$305,"&lt;&gt;Proposed",$J$6:$J$305,"&gt;=0"),0)</f>
        <v/>
      </c>
      <c r="X121" s="31">
        <f>IF(OR($Q121=0,$H121=""),0,IF(AND($B121="Project",$H121&lt;TODAY()),3,IF($U121="",0,IF($U121&lt;=$H121,1,IF(NETWORKDAYS($H121,$U121)-1&gt;IF($B121="Program",Portfolio!$B$16,Portfolio!$B$15),3,2)))))</f>
        <v/>
      </c>
      <c r="Y121" s="31">
        <f>IF(OR($Q121=0,$K121="",$K121=0),0,IF(AND($B121="Project",$J121=""),0,IF(IF($B121="Program",$V121,$J121)&gt;$K121*(1+Portfolio!$B$17),3,IF(IF($B121="Program",$V121,$J121)&gt;$K121,2,IF(AND($B121="Program",OR($W121&gt;0,$V121=0)),0,1)))))</f>
        <v/>
      </c>
      <c r="Z121" s="31">
        <f>IF($A121="",0,IF($C121="Portfolio",1,IF(AND($B121="Project",$C121&lt;&gt;"",$C121&lt;&gt;"Outside the portfolio"),IFERROR(IF(AND(INDEX($B$6:$B$305,MATCH($C121,$A$6:$A$305,0))="Program",INDEX($C$6:$C$305,MATCH($C121,$A$6:$A$305,0))="Portfolio"),1,0),0),0)))</f>
        <v/>
      </c>
      <c r="AA121" s="31">
        <f>IF(AND($A121&lt;&gt;"",$E121="",OR($Q121=1,$D121="Proposed")),1,0)</f>
        <v/>
      </c>
      <c r="AB121" s="31">
        <f>IF(AND($A121&lt;&gt;"",$B121="Program",$F121="",$Q121=1),1,0)</f>
        <v/>
      </c>
      <c r="AC121" s="31">
        <f>IF(OR($A121="",$D121="Completed",$D121="Terminated"),0,IF($C121="",1,IF($C121="Portfolio",0,IF($C121="Outside the portfolio",IF($Q121=1,2,0),IF($B121="Project",IF(IFERROR(INDEX($B$6:$B$305,MATCH($C121,$A$6:$A$305,0)),"")="Program",0,1),1)))))</f>
        <v/>
      </c>
      <c r="AD121" s="31">
        <f>IF(AND($A121&lt;&gt;"",OR($M121="■ Red",$M121="◧ Amber"),$L121=""),1,0)</f>
        <v/>
      </c>
      <c r="AE121" s="31">
        <f>$AA121+$AB121+IF($AC121&gt;0,1,0)+$AD121</f>
        <v/>
      </c>
      <c r="AJ121" s="14" t="n"/>
      <c r="AK121" s="29" t="n"/>
      <c r="AL121" s="31">
        <f>IF(AND($Q121=1,$Z121=1),1,0)</f>
        <v/>
      </c>
      <c r="AM121" s="31">
        <f>IF(AND($AL121=1,$AJ121&lt;&gt;""),MAX(0,TODAY()-$AJ121),"")</f>
        <v/>
      </c>
      <c r="AN121" s="31">
        <f>IF(OR($AL121=0,COUNT($AJ$6:$AJ$305)=0),0,IF($AJ121="",1,IF(TODAY()-$AJ121&gt;Board!$B$40,1,0)))</f>
        <v/>
      </c>
      <c r="AO121" s="31">
        <f>IF($AL121=0,0,IF($M121="■ Red",3,IF($M121="◧ Amber",2,IF($M121="□ On track",1,0))))</f>
        <v/>
      </c>
      <c r="AP121" s="31">
        <f>IF($AL121=0,0,IF($AK121="Will not hold",3,IF($AK121="At risk",2,IF($AK121="Will hold",1,0))))</f>
        <v/>
      </c>
      <c r="AQ121" s="31">
        <f>IF($AL121=0,"",IF($AO121=3,0,IF($AO121=2,1,IF(AND($AP121&gt;=2,$AP121&gt;$AO121),2,""))))</f>
        <v/>
      </c>
      <c r="AR121" s="31">
        <f>IF($AQ121="","",$AQ121*1000+121)</f>
        <v/>
      </c>
      <c r="AS121" s="31">
        <f>IF(AND($AL121=1,$AO121&gt;=2,$AP121&gt;=1,$AP121&lt;$AO121),1,0)</f>
        <v/>
      </c>
      <c r="AT121" s="31">
        <f>IF(AND($AL121=1,$AO121&gt;=2,$AP121=0),1,0)</f>
        <v/>
      </c>
      <c r="AU121" s="31">
        <f>IF(AND($AL121=1,$U121&lt;&gt;"",$U121&lt;TODAY()),1,0)</f>
        <v/>
      </c>
      <c r="AV121" s="31">
        <f>IF(OR($A121="",$AJ121="",Portfolio!$B$10=""),0,IF($AJ121&lt;=Portfolio!$B$10,0,IF(AND($D121="Completed",$Z121=1),1,IF(AND($D121="Terminated",$Z121=1),2,IF(AND($Q121=1,$Z121=0),3,0)))))</f>
        <v/>
      </c>
      <c r="AW121" s="31">
        <f>IF($AV121&gt;0,COUNTIF($AV$6:$AV121,"&gt;0"),"")</f>
        <v/>
      </c>
      <c r="AX121" s="31">
        <f>IF($AL121=0,"",IF(AND($B121="Project",$H121&lt;&gt;"",$H121&lt;TODAY()),"Planned finish "&amp;TEXT($H121,"d mmm")&amp;" has passed",IF($X121&gt;=2,(NETWORKDAYS($H121,$U121)-1)&amp;" working days past plan","")))</f>
        <v/>
      </c>
      <c r="AY121" s="31">
        <f>IF($AL121=0,"",IF($Y121&gt;=2,"Over budget by "&amp;TEXT(IF($B121="Program",$V121,$J121)-$K121,"#,##0"),""))</f>
        <v/>
      </c>
      <c r="AZ121" s="31">
        <f>IF(AND($AL121=1,$U121&lt;&gt;""),IF(AND(N($U121)&gt;=TODAY(),N($U121)&lt;=TODAY()+Board!$B$41),1,0),0)</f>
        <v/>
      </c>
    </row>
    <row r="122">
      <c r="A122" s="29" t="n"/>
      <c r="B122" s="29" t="n"/>
      <c r="C122" s="29" t="n"/>
      <c r="D122" s="29" t="n"/>
      <c r="E122" s="29" t="n"/>
      <c r="F122" s="29" t="n"/>
      <c r="G122" s="29" t="n"/>
      <c r="H122" s="30" t="n"/>
      <c r="I122" s="30" t="n"/>
      <c r="J122" s="19" t="n"/>
      <c r="K122" s="19" t="n"/>
      <c r="L122" s="26" t="n"/>
      <c r="M122" s="31">
        <f>IF($A122="","",IF($D122="","Not read",IF($Q122=0,"Not counted",IF(MAX($X122,$Y122)=3,"■ Red",IF(MAX($X122,$Y122)=2,"◧ Amber",IF(MAX($X122,$Y122)=1,"□ On track","Not read"))))))</f>
        <v/>
      </c>
      <c r="N122" s="31">
        <f>IF(OR($A122="",$B122&lt;&gt;"Program"),"","■ "&amp;COUNTIFS($C$6:$C$305,$A122,$M$6:$M$305,"■ Red")&amp;" Red, ◧ "&amp;COUNTIFS($C$6:$C$305,$A122,$M$6:$M$305,"◧ Amber")&amp;" Amber")</f>
        <v/>
      </c>
      <c r="O122" s="32">
        <f>IF(OR($A122="",$E122=""),"",COUNTIFS($E$6:$E$305,$E122,$D$6:$D$305,"Active")+COUNTIFS($E$6:$E$305,$E122,$D$6:$D$305,"Paused"))</f>
        <v/>
      </c>
      <c r="P122" s="31">
        <f>IF($A122="","",IF($AE122=0,"○ Clear",IF($AA122=1,"△ No owner",IF($AC122=1,"△ Check Sits under",IF($AC122=2,"△ Outside the portfolio",IF($AB122=1,"△ No sponsor","△ No variance note"))))&amp;IF($AE122&gt;1," (+"&amp;($AE122-1)&amp;" more)","")))</f>
        <v/>
      </c>
      <c r="Q122" s="31">
        <f>IF(AND($A122&lt;&gt;"",OR($D122="Active",$D122="Paused")),1,0)</f>
        <v/>
      </c>
      <c r="R122" s="31">
        <f>IFERROR(INDEX($A$6:$A$305,MATCH(115,$S$6:$S$305,0)),"")</f>
        <v/>
      </c>
      <c r="S122" s="31">
        <f>IF(AND($A122&lt;&gt;"",$B122="Program"),COUNTIFS($B$6:$B122,"Program",$A$6:$A122,"&lt;&gt;"),"")</f>
        <v/>
      </c>
      <c r="T122" s="33">
        <f>IF(AND($A122&lt;&gt;"",$B122="Program"),SUMPRODUCT(MAX(($C$6:$C$305=$A122)*($B$6:$B$305="Project")*($D$6:$D$305&lt;&gt;"Proposed")*$I$6:$I$305)),0)</f>
        <v/>
      </c>
      <c r="U122" s="33">
        <f>IF($I122&lt;&gt;"",$I122,IF($T122&gt;0,$T122,""))</f>
        <v/>
      </c>
      <c r="V122" s="31">
        <f>IF(AND($A122&lt;&gt;"",$B122="Program"),SUMIFS($J$6:$J$305,$C$6:$C$305,$A122,$B$6:$B$305,"Project",$D$6:$D$305,"&lt;&gt;Proposed"),0)</f>
        <v/>
      </c>
      <c r="W122" s="31">
        <f>IF(AND($A122&lt;&gt;"",$B122="Program"),COUNTIFS($C$6:$C$305,$A122,$B$6:$B$305,"Project",$D$6:$D$305,"&lt;&gt;Proposed")-COUNTIFS($C$6:$C$305,$A122,$B$6:$B$305,"Project",$D$6:$D$305,"&lt;&gt;Proposed",$J$6:$J$305,"&gt;=0"),0)</f>
        <v/>
      </c>
      <c r="X122" s="31">
        <f>IF(OR($Q122=0,$H122=""),0,IF(AND($B122="Project",$H122&lt;TODAY()),3,IF($U122="",0,IF($U122&lt;=$H122,1,IF(NETWORKDAYS($H122,$U122)-1&gt;IF($B122="Program",Portfolio!$B$16,Portfolio!$B$15),3,2)))))</f>
        <v/>
      </c>
      <c r="Y122" s="31">
        <f>IF(OR($Q122=0,$K122="",$K122=0),0,IF(AND($B122="Project",$J122=""),0,IF(IF($B122="Program",$V122,$J122)&gt;$K122*(1+Portfolio!$B$17),3,IF(IF($B122="Program",$V122,$J122)&gt;$K122,2,IF(AND($B122="Program",OR($W122&gt;0,$V122=0)),0,1)))))</f>
        <v/>
      </c>
      <c r="Z122" s="31">
        <f>IF($A122="",0,IF($C122="Portfolio",1,IF(AND($B122="Project",$C122&lt;&gt;"",$C122&lt;&gt;"Outside the portfolio"),IFERROR(IF(AND(INDEX($B$6:$B$305,MATCH($C122,$A$6:$A$305,0))="Program",INDEX($C$6:$C$305,MATCH($C122,$A$6:$A$305,0))="Portfolio"),1,0),0),0)))</f>
        <v/>
      </c>
      <c r="AA122" s="31">
        <f>IF(AND($A122&lt;&gt;"",$E122="",OR($Q122=1,$D122="Proposed")),1,0)</f>
        <v/>
      </c>
      <c r="AB122" s="31">
        <f>IF(AND($A122&lt;&gt;"",$B122="Program",$F122="",$Q122=1),1,0)</f>
        <v/>
      </c>
      <c r="AC122" s="31">
        <f>IF(OR($A122="",$D122="Completed",$D122="Terminated"),0,IF($C122="",1,IF($C122="Portfolio",0,IF($C122="Outside the portfolio",IF($Q122=1,2,0),IF($B122="Project",IF(IFERROR(INDEX($B$6:$B$305,MATCH($C122,$A$6:$A$305,0)),"")="Program",0,1),1)))))</f>
        <v/>
      </c>
      <c r="AD122" s="31">
        <f>IF(AND($A122&lt;&gt;"",OR($M122="■ Red",$M122="◧ Amber"),$L122=""),1,0)</f>
        <v/>
      </c>
      <c r="AE122" s="31">
        <f>$AA122+$AB122+IF($AC122&gt;0,1,0)+$AD122</f>
        <v/>
      </c>
      <c r="AJ122" s="14" t="n"/>
      <c r="AK122" s="29" t="n"/>
      <c r="AL122" s="31">
        <f>IF(AND($Q122=1,$Z122=1),1,0)</f>
        <v/>
      </c>
      <c r="AM122" s="31">
        <f>IF(AND($AL122=1,$AJ122&lt;&gt;""),MAX(0,TODAY()-$AJ122),"")</f>
        <v/>
      </c>
      <c r="AN122" s="31">
        <f>IF(OR($AL122=0,COUNT($AJ$6:$AJ$305)=0),0,IF($AJ122="",1,IF(TODAY()-$AJ122&gt;Board!$B$40,1,0)))</f>
        <v/>
      </c>
      <c r="AO122" s="31">
        <f>IF($AL122=0,0,IF($M122="■ Red",3,IF($M122="◧ Amber",2,IF($M122="□ On track",1,0))))</f>
        <v/>
      </c>
      <c r="AP122" s="31">
        <f>IF($AL122=0,0,IF($AK122="Will not hold",3,IF($AK122="At risk",2,IF($AK122="Will hold",1,0))))</f>
        <v/>
      </c>
      <c r="AQ122" s="31">
        <f>IF($AL122=0,"",IF($AO122=3,0,IF($AO122=2,1,IF(AND($AP122&gt;=2,$AP122&gt;$AO122),2,""))))</f>
        <v/>
      </c>
      <c r="AR122" s="31">
        <f>IF($AQ122="","",$AQ122*1000+122)</f>
        <v/>
      </c>
      <c r="AS122" s="31">
        <f>IF(AND($AL122=1,$AO122&gt;=2,$AP122&gt;=1,$AP122&lt;$AO122),1,0)</f>
        <v/>
      </c>
      <c r="AT122" s="31">
        <f>IF(AND($AL122=1,$AO122&gt;=2,$AP122=0),1,0)</f>
        <v/>
      </c>
      <c r="AU122" s="31">
        <f>IF(AND($AL122=1,$U122&lt;&gt;"",$U122&lt;TODAY()),1,0)</f>
        <v/>
      </c>
      <c r="AV122" s="31">
        <f>IF(OR($A122="",$AJ122="",Portfolio!$B$10=""),0,IF($AJ122&lt;=Portfolio!$B$10,0,IF(AND($D122="Completed",$Z122=1),1,IF(AND($D122="Terminated",$Z122=1),2,IF(AND($Q122=1,$Z122=0),3,0)))))</f>
        <v/>
      </c>
      <c r="AW122" s="31">
        <f>IF($AV122&gt;0,COUNTIF($AV$6:$AV122,"&gt;0"),"")</f>
        <v/>
      </c>
      <c r="AX122" s="31">
        <f>IF($AL122=0,"",IF(AND($B122="Project",$H122&lt;&gt;"",$H122&lt;TODAY()),"Planned finish "&amp;TEXT($H122,"d mmm")&amp;" has passed",IF($X122&gt;=2,(NETWORKDAYS($H122,$U122)-1)&amp;" working days past plan","")))</f>
        <v/>
      </c>
      <c r="AY122" s="31">
        <f>IF($AL122=0,"",IF($Y122&gt;=2,"Over budget by "&amp;TEXT(IF($B122="Program",$V122,$J122)-$K122,"#,##0"),""))</f>
        <v/>
      </c>
      <c r="AZ122" s="31">
        <f>IF(AND($AL122=1,$U122&lt;&gt;""),IF(AND(N($U122)&gt;=TODAY(),N($U122)&lt;=TODAY()+Board!$B$41),1,0),0)</f>
        <v/>
      </c>
    </row>
    <row r="123">
      <c r="A123" s="29" t="n"/>
      <c r="B123" s="29" t="n"/>
      <c r="C123" s="29" t="n"/>
      <c r="D123" s="29" t="n"/>
      <c r="E123" s="29" t="n"/>
      <c r="F123" s="29" t="n"/>
      <c r="G123" s="29" t="n"/>
      <c r="H123" s="30" t="n"/>
      <c r="I123" s="30" t="n"/>
      <c r="J123" s="19" t="n"/>
      <c r="K123" s="19" t="n"/>
      <c r="L123" s="26" t="n"/>
      <c r="M123" s="31">
        <f>IF($A123="","",IF($D123="","Not read",IF($Q123=0,"Not counted",IF(MAX($X123,$Y123)=3,"■ Red",IF(MAX($X123,$Y123)=2,"◧ Amber",IF(MAX($X123,$Y123)=1,"□ On track","Not read"))))))</f>
        <v/>
      </c>
      <c r="N123" s="31">
        <f>IF(OR($A123="",$B123&lt;&gt;"Program"),"","■ "&amp;COUNTIFS($C$6:$C$305,$A123,$M$6:$M$305,"■ Red")&amp;" Red, ◧ "&amp;COUNTIFS($C$6:$C$305,$A123,$M$6:$M$305,"◧ Amber")&amp;" Amber")</f>
        <v/>
      </c>
      <c r="O123" s="32">
        <f>IF(OR($A123="",$E123=""),"",COUNTIFS($E$6:$E$305,$E123,$D$6:$D$305,"Active")+COUNTIFS($E$6:$E$305,$E123,$D$6:$D$305,"Paused"))</f>
        <v/>
      </c>
      <c r="P123" s="31">
        <f>IF($A123="","",IF($AE123=0,"○ Clear",IF($AA123=1,"△ No owner",IF($AC123=1,"△ Check Sits under",IF($AC123=2,"△ Outside the portfolio",IF($AB123=1,"△ No sponsor","△ No variance note"))))&amp;IF($AE123&gt;1," (+"&amp;($AE123-1)&amp;" more)","")))</f>
        <v/>
      </c>
      <c r="Q123" s="31">
        <f>IF(AND($A123&lt;&gt;"",OR($D123="Active",$D123="Paused")),1,0)</f>
        <v/>
      </c>
      <c r="R123" s="31">
        <f>IFERROR(INDEX($A$6:$A$305,MATCH(116,$S$6:$S$305,0)),"")</f>
        <v/>
      </c>
      <c r="S123" s="31">
        <f>IF(AND($A123&lt;&gt;"",$B123="Program"),COUNTIFS($B$6:$B123,"Program",$A$6:$A123,"&lt;&gt;"),"")</f>
        <v/>
      </c>
      <c r="T123" s="33">
        <f>IF(AND($A123&lt;&gt;"",$B123="Program"),SUMPRODUCT(MAX(($C$6:$C$305=$A123)*($B$6:$B$305="Project")*($D$6:$D$305&lt;&gt;"Proposed")*$I$6:$I$305)),0)</f>
        <v/>
      </c>
      <c r="U123" s="33">
        <f>IF($I123&lt;&gt;"",$I123,IF($T123&gt;0,$T123,""))</f>
        <v/>
      </c>
      <c r="V123" s="31">
        <f>IF(AND($A123&lt;&gt;"",$B123="Program"),SUMIFS($J$6:$J$305,$C$6:$C$305,$A123,$B$6:$B$305,"Project",$D$6:$D$305,"&lt;&gt;Proposed"),0)</f>
        <v/>
      </c>
      <c r="W123" s="31">
        <f>IF(AND($A123&lt;&gt;"",$B123="Program"),COUNTIFS($C$6:$C$305,$A123,$B$6:$B$305,"Project",$D$6:$D$305,"&lt;&gt;Proposed")-COUNTIFS($C$6:$C$305,$A123,$B$6:$B$305,"Project",$D$6:$D$305,"&lt;&gt;Proposed",$J$6:$J$305,"&gt;=0"),0)</f>
        <v/>
      </c>
      <c r="X123" s="31">
        <f>IF(OR($Q123=0,$H123=""),0,IF(AND($B123="Project",$H123&lt;TODAY()),3,IF($U123="",0,IF($U123&lt;=$H123,1,IF(NETWORKDAYS($H123,$U123)-1&gt;IF($B123="Program",Portfolio!$B$16,Portfolio!$B$15),3,2)))))</f>
        <v/>
      </c>
      <c r="Y123" s="31">
        <f>IF(OR($Q123=0,$K123="",$K123=0),0,IF(AND($B123="Project",$J123=""),0,IF(IF($B123="Program",$V123,$J123)&gt;$K123*(1+Portfolio!$B$17),3,IF(IF($B123="Program",$V123,$J123)&gt;$K123,2,IF(AND($B123="Program",OR($W123&gt;0,$V123=0)),0,1)))))</f>
        <v/>
      </c>
      <c r="Z123" s="31">
        <f>IF($A123="",0,IF($C123="Portfolio",1,IF(AND($B123="Project",$C123&lt;&gt;"",$C123&lt;&gt;"Outside the portfolio"),IFERROR(IF(AND(INDEX($B$6:$B$305,MATCH($C123,$A$6:$A$305,0))="Program",INDEX($C$6:$C$305,MATCH($C123,$A$6:$A$305,0))="Portfolio"),1,0),0),0)))</f>
        <v/>
      </c>
      <c r="AA123" s="31">
        <f>IF(AND($A123&lt;&gt;"",$E123="",OR($Q123=1,$D123="Proposed")),1,0)</f>
        <v/>
      </c>
      <c r="AB123" s="31">
        <f>IF(AND($A123&lt;&gt;"",$B123="Program",$F123="",$Q123=1),1,0)</f>
        <v/>
      </c>
      <c r="AC123" s="31">
        <f>IF(OR($A123="",$D123="Completed",$D123="Terminated"),0,IF($C123="",1,IF($C123="Portfolio",0,IF($C123="Outside the portfolio",IF($Q123=1,2,0),IF($B123="Project",IF(IFERROR(INDEX($B$6:$B$305,MATCH($C123,$A$6:$A$305,0)),"")="Program",0,1),1)))))</f>
        <v/>
      </c>
      <c r="AD123" s="31">
        <f>IF(AND($A123&lt;&gt;"",OR($M123="■ Red",$M123="◧ Amber"),$L123=""),1,0)</f>
        <v/>
      </c>
      <c r="AE123" s="31">
        <f>$AA123+$AB123+IF($AC123&gt;0,1,0)+$AD123</f>
        <v/>
      </c>
      <c r="AJ123" s="14" t="n"/>
      <c r="AK123" s="29" t="n"/>
      <c r="AL123" s="31">
        <f>IF(AND($Q123=1,$Z123=1),1,0)</f>
        <v/>
      </c>
      <c r="AM123" s="31">
        <f>IF(AND($AL123=1,$AJ123&lt;&gt;""),MAX(0,TODAY()-$AJ123),"")</f>
        <v/>
      </c>
      <c r="AN123" s="31">
        <f>IF(OR($AL123=0,COUNT($AJ$6:$AJ$305)=0),0,IF($AJ123="",1,IF(TODAY()-$AJ123&gt;Board!$B$40,1,0)))</f>
        <v/>
      </c>
      <c r="AO123" s="31">
        <f>IF($AL123=0,0,IF($M123="■ Red",3,IF($M123="◧ Amber",2,IF($M123="□ On track",1,0))))</f>
        <v/>
      </c>
      <c r="AP123" s="31">
        <f>IF($AL123=0,0,IF($AK123="Will not hold",3,IF($AK123="At risk",2,IF($AK123="Will hold",1,0))))</f>
        <v/>
      </c>
      <c r="AQ123" s="31">
        <f>IF($AL123=0,"",IF($AO123=3,0,IF($AO123=2,1,IF(AND($AP123&gt;=2,$AP123&gt;$AO123),2,""))))</f>
        <v/>
      </c>
      <c r="AR123" s="31">
        <f>IF($AQ123="","",$AQ123*1000+123)</f>
        <v/>
      </c>
      <c r="AS123" s="31">
        <f>IF(AND($AL123=1,$AO123&gt;=2,$AP123&gt;=1,$AP123&lt;$AO123),1,0)</f>
        <v/>
      </c>
      <c r="AT123" s="31">
        <f>IF(AND($AL123=1,$AO123&gt;=2,$AP123=0),1,0)</f>
        <v/>
      </c>
      <c r="AU123" s="31">
        <f>IF(AND($AL123=1,$U123&lt;&gt;"",$U123&lt;TODAY()),1,0)</f>
        <v/>
      </c>
      <c r="AV123" s="31">
        <f>IF(OR($A123="",$AJ123="",Portfolio!$B$10=""),0,IF($AJ123&lt;=Portfolio!$B$10,0,IF(AND($D123="Completed",$Z123=1),1,IF(AND($D123="Terminated",$Z123=1),2,IF(AND($Q123=1,$Z123=0),3,0)))))</f>
        <v/>
      </c>
      <c r="AW123" s="31">
        <f>IF($AV123&gt;0,COUNTIF($AV$6:$AV123,"&gt;0"),"")</f>
        <v/>
      </c>
      <c r="AX123" s="31">
        <f>IF($AL123=0,"",IF(AND($B123="Project",$H123&lt;&gt;"",$H123&lt;TODAY()),"Planned finish "&amp;TEXT($H123,"d mmm")&amp;" has passed",IF($X123&gt;=2,(NETWORKDAYS($H123,$U123)-1)&amp;" working days past plan","")))</f>
        <v/>
      </c>
      <c r="AY123" s="31">
        <f>IF($AL123=0,"",IF($Y123&gt;=2,"Over budget by "&amp;TEXT(IF($B123="Program",$V123,$J123)-$K123,"#,##0"),""))</f>
        <v/>
      </c>
      <c r="AZ123" s="31">
        <f>IF(AND($AL123=1,$U123&lt;&gt;""),IF(AND(N($U123)&gt;=TODAY(),N($U123)&lt;=TODAY()+Board!$B$41),1,0),0)</f>
        <v/>
      </c>
    </row>
    <row r="124">
      <c r="A124" s="29" t="n"/>
      <c r="B124" s="29" t="n"/>
      <c r="C124" s="29" t="n"/>
      <c r="D124" s="29" t="n"/>
      <c r="E124" s="29" t="n"/>
      <c r="F124" s="29" t="n"/>
      <c r="G124" s="29" t="n"/>
      <c r="H124" s="30" t="n"/>
      <c r="I124" s="30" t="n"/>
      <c r="J124" s="19" t="n"/>
      <c r="K124" s="19" t="n"/>
      <c r="L124" s="26" t="n"/>
      <c r="M124" s="31">
        <f>IF($A124="","",IF($D124="","Not read",IF($Q124=0,"Not counted",IF(MAX($X124,$Y124)=3,"■ Red",IF(MAX($X124,$Y124)=2,"◧ Amber",IF(MAX($X124,$Y124)=1,"□ On track","Not read"))))))</f>
        <v/>
      </c>
      <c r="N124" s="31">
        <f>IF(OR($A124="",$B124&lt;&gt;"Program"),"","■ "&amp;COUNTIFS($C$6:$C$305,$A124,$M$6:$M$305,"■ Red")&amp;" Red, ◧ "&amp;COUNTIFS($C$6:$C$305,$A124,$M$6:$M$305,"◧ Amber")&amp;" Amber")</f>
        <v/>
      </c>
      <c r="O124" s="32">
        <f>IF(OR($A124="",$E124=""),"",COUNTIFS($E$6:$E$305,$E124,$D$6:$D$305,"Active")+COUNTIFS($E$6:$E$305,$E124,$D$6:$D$305,"Paused"))</f>
        <v/>
      </c>
      <c r="P124" s="31">
        <f>IF($A124="","",IF($AE124=0,"○ Clear",IF($AA124=1,"△ No owner",IF($AC124=1,"△ Check Sits under",IF($AC124=2,"△ Outside the portfolio",IF($AB124=1,"△ No sponsor","△ No variance note"))))&amp;IF($AE124&gt;1," (+"&amp;($AE124-1)&amp;" more)","")))</f>
        <v/>
      </c>
      <c r="Q124" s="31">
        <f>IF(AND($A124&lt;&gt;"",OR($D124="Active",$D124="Paused")),1,0)</f>
        <v/>
      </c>
      <c r="R124" s="31">
        <f>IFERROR(INDEX($A$6:$A$305,MATCH(117,$S$6:$S$305,0)),"")</f>
        <v/>
      </c>
      <c r="S124" s="31">
        <f>IF(AND($A124&lt;&gt;"",$B124="Program"),COUNTIFS($B$6:$B124,"Program",$A$6:$A124,"&lt;&gt;"),"")</f>
        <v/>
      </c>
      <c r="T124" s="33">
        <f>IF(AND($A124&lt;&gt;"",$B124="Program"),SUMPRODUCT(MAX(($C$6:$C$305=$A124)*($B$6:$B$305="Project")*($D$6:$D$305&lt;&gt;"Proposed")*$I$6:$I$305)),0)</f>
        <v/>
      </c>
      <c r="U124" s="33">
        <f>IF($I124&lt;&gt;"",$I124,IF($T124&gt;0,$T124,""))</f>
        <v/>
      </c>
      <c r="V124" s="31">
        <f>IF(AND($A124&lt;&gt;"",$B124="Program"),SUMIFS($J$6:$J$305,$C$6:$C$305,$A124,$B$6:$B$305,"Project",$D$6:$D$305,"&lt;&gt;Proposed"),0)</f>
        <v/>
      </c>
      <c r="W124" s="31">
        <f>IF(AND($A124&lt;&gt;"",$B124="Program"),COUNTIFS($C$6:$C$305,$A124,$B$6:$B$305,"Project",$D$6:$D$305,"&lt;&gt;Proposed")-COUNTIFS($C$6:$C$305,$A124,$B$6:$B$305,"Project",$D$6:$D$305,"&lt;&gt;Proposed",$J$6:$J$305,"&gt;=0"),0)</f>
        <v/>
      </c>
      <c r="X124" s="31">
        <f>IF(OR($Q124=0,$H124=""),0,IF(AND($B124="Project",$H124&lt;TODAY()),3,IF($U124="",0,IF($U124&lt;=$H124,1,IF(NETWORKDAYS($H124,$U124)-1&gt;IF($B124="Program",Portfolio!$B$16,Portfolio!$B$15),3,2)))))</f>
        <v/>
      </c>
      <c r="Y124" s="31">
        <f>IF(OR($Q124=0,$K124="",$K124=0),0,IF(AND($B124="Project",$J124=""),0,IF(IF($B124="Program",$V124,$J124)&gt;$K124*(1+Portfolio!$B$17),3,IF(IF($B124="Program",$V124,$J124)&gt;$K124,2,IF(AND($B124="Program",OR($W124&gt;0,$V124=0)),0,1)))))</f>
        <v/>
      </c>
      <c r="Z124" s="31">
        <f>IF($A124="",0,IF($C124="Portfolio",1,IF(AND($B124="Project",$C124&lt;&gt;"",$C124&lt;&gt;"Outside the portfolio"),IFERROR(IF(AND(INDEX($B$6:$B$305,MATCH($C124,$A$6:$A$305,0))="Program",INDEX($C$6:$C$305,MATCH($C124,$A$6:$A$305,0))="Portfolio"),1,0),0),0)))</f>
        <v/>
      </c>
      <c r="AA124" s="31">
        <f>IF(AND($A124&lt;&gt;"",$E124="",OR($Q124=1,$D124="Proposed")),1,0)</f>
        <v/>
      </c>
      <c r="AB124" s="31">
        <f>IF(AND($A124&lt;&gt;"",$B124="Program",$F124="",$Q124=1),1,0)</f>
        <v/>
      </c>
      <c r="AC124" s="31">
        <f>IF(OR($A124="",$D124="Completed",$D124="Terminated"),0,IF($C124="",1,IF($C124="Portfolio",0,IF($C124="Outside the portfolio",IF($Q124=1,2,0),IF($B124="Project",IF(IFERROR(INDEX($B$6:$B$305,MATCH($C124,$A$6:$A$305,0)),"")="Program",0,1),1)))))</f>
        <v/>
      </c>
      <c r="AD124" s="31">
        <f>IF(AND($A124&lt;&gt;"",OR($M124="■ Red",$M124="◧ Amber"),$L124=""),1,0)</f>
        <v/>
      </c>
      <c r="AE124" s="31">
        <f>$AA124+$AB124+IF($AC124&gt;0,1,0)+$AD124</f>
        <v/>
      </c>
      <c r="AJ124" s="14" t="n"/>
      <c r="AK124" s="29" t="n"/>
      <c r="AL124" s="31">
        <f>IF(AND($Q124=1,$Z124=1),1,0)</f>
        <v/>
      </c>
      <c r="AM124" s="31">
        <f>IF(AND($AL124=1,$AJ124&lt;&gt;""),MAX(0,TODAY()-$AJ124),"")</f>
        <v/>
      </c>
      <c r="AN124" s="31">
        <f>IF(OR($AL124=0,COUNT($AJ$6:$AJ$305)=0),0,IF($AJ124="",1,IF(TODAY()-$AJ124&gt;Board!$B$40,1,0)))</f>
        <v/>
      </c>
      <c r="AO124" s="31">
        <f>IF($AL124=0,0,IF($M124="■ Red",3,IF($M124="◧ Amber",2,IF($M124="□ On track",1,0))))</f>
        <v/>
      </c>
      <c r="AP124" s="31">
        <f>IF($AL124=0,0,IF($AK124="Will not hold",3,IF($AK124="At risk",2,IF($AK124="Will hold",1,0))))</f>
        <v/>
      </c>
      <c r="AQ124" s="31">
        <f>IF($AL124=0,"",IF($AO124=3,0,IF($AO124=2,1,IF(AND($AP124&gt;=2,$AP124&gt;$AO124),2,""))))</f>
        <v/>
      </c>
      <c r="AR124" s="31">
        <f>IF($AQ124="","",$AQ124*1000+124)</f>
        <v/>
      </c>
      <c r="AS124" s="31">
        <f>IF(AND($AL124=1,$AO124&gt;=2,$AP124&gt;=1,$AP124&lt;$AO124),1,0)</f>
        <v/>
      </c>
      <c r="AT124" s="31">
        <f>IF(AND($AL124=1,$AO124&gt;=2,$AP124=0),1,0)</f>
        <v/>
      </c>
      <c r="AU124" s="31">
        <f>IF(AND($AL124=1,$U124&lt;&gt;"",$U124&lt;TODAY()),1,0)</f>
        <v/>
      </c>
      <c r="AV124" s="31">
        <f>IF(OR($A124="",$AJ124="",Portfolio!$B$10=""),0,IF($AJ124&lt;=Portfolio!$B$10,0,IF(AND($D124="Completed",$Z124=1),1,IF(AND($D124="Terminated",$Z124=1),2,IF(AND($Q124=1,$Z124=0),3,0)))))</f>
        <v/>
      </c>
      <c r="AW124" s="31">
        <f>IF($AV124&gt;0,COUNTIF($AV$6:$AV124,"&gt;0"),"")</f>
        <v/>
      </c>
      <c r="AX124" s="31">
        <f>IF($AL124=0,"",IF(AND($B124="Project",$H124&lt;&gt;"",$H124&lt;TODAY()),"Planned finish "&amp;TEXT($H124,"d mmm")&amp;" has passed",IF($X124&gt;=2,(NETWORKDAYS($H124,$U124)-1)&amp;" working days past plan","")))</f>
        <v/>
      </c>
      <c r="AY124" s="31">
        <f>IF($AL124=0,"",IF($Y124&gt;=2,"Over budget by "&amp;TEXT(IF($B124="Program",$V124,$J124)-$K124,"#,##0"),""))</f>
        <v/>
      </c>
      <c r="AZ124" s="31">
        <f>IF(AND($AL124=1,$U124&lt;&gt;""),IF(AND(N($U124)&gt;=TODAY(),N($U124)&lt;=TODAY()+Board!$B$41),1,0),0)</f>
        <v/>
      </c>
    </row>
    <row r="125">
      <c r="A125" s="29" t="n"/>
      <c r="B125" s="29" t="n"/>
      <c r="C125" s="29" t="n"/>
      <c r="D125" s="29" t="n"/>
      <c r="E125" s="29" t="n"/>
      <c r="F125" s="29" t="n"/>
      <c r="G125" s="29" t="n"/>
      <c r="H125" s="30" t="n"/>
      <c r="I125" s="30" t="n"/>
      <c r="J125" s="19" t="n"/>
      <c r="K125" s="19" t="n"/>
      <c r="L125" s="26" t="n"/>
      <c r="M125" s="31">
        <f>IF($A125="","",IF($D125="","Not read",IF($Q125=0,"Not counted",IF(MAX($X125,$Y125)=3,"■ Red",IF(MAX($X125,$Y125)=2,"◧ Amber",IF(MAX($X125,$Y125)=1,"□ On track","Not read"))))))</f>
        <v/>
      </c>
      <c r="N125" s="31">
        <f>IF(OR($A125="",$B125&lt;&gt;"Program"),"","■ "&amp;COUNTIFS($C$6:$C$305,$A125,$M$6:$M$305,"■ Red")&amp;" Red, ◧ "&amp;COUNTIFS($C$6:$C$305,$A125,$M$6:$M$305,"◧ Amber")&amp;" Amber")</f>
        <v/>
      </c>
      <c r="O125" s="32">
        <f>IF(OR($A125="",$E125=""),"",COUNTIFS($E$6:$E$305,$E125,$D$6:$D$305,"Active")+COUNTIFS($E$6:$E$305,$E125,$D$6:$D$305,"Paused"))</f>
        <v/>
      </c>
      <c r="P125" s="31">
        <f>IF($A125="","",IF($AE125=0,"○ Clear",IF($AA125=1,"△ No owner",IF($AC125=1,"△ Check Sits under",IF($AC125=2,"△ Outside the portfolio",IF($AB125=1,"△ No sponsor","△ No variance note"))))&amp;IF($AE125&gt;1," (+"&amp;($AE125-1)&amp;" more)","")))</f>
        <v/>
      </c>
      <c r="Q125" s="31">
        <f>IF(AND($A125&lt;&gt;"",OR($D125="Active",$D125="Paused")),1,0)</f>
        <v/>
      </c>
      <c r="R125" s="31">
        <f>IFERROR(INDEX($A$6:$A$305,MATCH(118,$S$6:$S$305,0)),"")</f>
        <v/>
      </c>
      <c r="S125" s="31">
        <f>IF(AND($A125&lt;&gt;"",$B125="Program"),COUNTIFS($B$6:$B125,"Program",$A$6:$A125,"&lt;&gt;"),"")</f>
        <v/>
      </c>
      <c r="T125" s="33">
        <f>IF(AND($A125&lt;&gt;"",$B125="Program"),SUMPRODUCT(MAX(($C$6:$C$305=$A125)*($B$6:$B$305="Project")*($D$6:$D$305&lt;&gt;"Proposed")*$I$6:$I$305)),0)</f>
        <v/>
      </c>
      <c r="U125" s="33">
        <f>IF($I125&lt;&gt;"",$I125,IF($T125&gt;0,$T125,""))</f>
        <v/>
      </c>
      <c r="V125" s="31">
        <f>IF(AND($A125&lt;&gt;"",$B125="Program"),SUMIFS($J$6:$J$305,$C$6:$C$305,$A125,$B$6:$B$305,"Project",$D$6:$D$305,"&lt;&gt;Proposed"),0)</f>
        <v/>
      </c>
      <c r="W125" s="31">
        <f>IF(AND($A125&lt;&gt;"",$B125="Program"),COUNTIFS($C$6:$C$305,$A125,$B$6:$B$305,"Project",$D$6:$D$305,"&lt;&gt;Proposed")-COUNTIFS($C$6:$C$305,$A125,$B$6:$B$305,"Project",$D$6:$D$305,"&lt;&gt;Proposed",$J$6:$J$305,"&gt;=0"),0)</f>
        <v/>
      </c>
      <c r="X125" s="31">
        <f>IF(OR($Q125=0,$H125=""),0,IF(AND($B125="Project",$H125&lt;TODAY()),3,IF($U125="",0,IF($U125&lt;=$H125,1,IF(NETWORKDAYS($H125,$U125)-1&gt;IF($B125="Program",Portfolio!$B$16,Portfolio!$B$15),3,2)))))</f>
        <v/>
      </c>
      <c r="Y125" s="31">
        <f>IF(OR($Q125=0,$K125="",$K125=0),0,IF(AND($B125="Project",$J125=""),0,IF(IF($B125="Program",$V125,$J125)&gt;$K125*(1+Portfolio!$B$17),3,IF(IF($B125="Program",$V125,$J125)&gt;$K125,2,IF(AND($B125="Program",OR($W125&gt;0,$V125=0)),0,1)))))</f>
        <v/>
      </c>
      <c r="Z125" s="31">
        <f>IF($A125="",0,IF($C125="Portfolio",1,IF(AND($B125="Project",$C125&lt;&gt;"",$C125&lt;&gt;"Outside the portfolio"),IFERROR(IF(AND(INDEX($B$6:$B$305,MATCH($C125,$A$6:$A$305,0))="Program",INDEX($C$6:$C$305,MATCH($C125,$A$6:$A$305,0))="Portfolio"),1,0),0),0)))</f>
        <v/>
      </c>
      <c r="AA125" s="31">
        <f>IF(AND($A125&lt;&gt;"",$E125="",OR($Q125=1,$D125="Proposed")),1,0)</f>
        <v/>
      </c>
      <c r="AB125" s="31">
        <f>IF(AND($A125&lt;&gt;"",$B125="Program",$F125="",$Q125=1),1,0)</f>
        <v/>
      </c>
      <c r="AC125" s="31">
        <f>IF(OR($A125="",$D125="Completed",$D125="Terminated"),0,IF($C125="",1,IF($C125="Portfolio",0,IF($C125="Outside the portfolio",IF($Q125=1,2,0),IF($B125="Project",IF(IFERROR(INDEX($B$6:$B$305,MATCH($C125,$A$6:$A$305,0)),"")="Program",0,1),1)))))</f>
        <v/>
      </c>
      <c r="AD125" s="31">
        <f>IF(AND($A125&lt;&gt;"",OR($M125="■ Red",$M125="◧ Amber"),$L125=""),1,0)</f>
        <v/>
      </c>
      <c r="AE125" s="31">
        <f>$AA125+$AB125+IF($AC125&gt;0,1,0)+$AD125</f>
        <v/>
      </c>
      <c r="AJ125" s="14" t="n"/>
      <c r="AK125" s="29" t="n"/>
      <c r="AL125" s="31">
        <f>IF(AND($Q125=1,$Z125=1),1,0)</f>
        <v/>
      </c>
      <c r="AM125" s="31">
        <f>IF(AND($AL125=1,$AJ125&lt;&gt;""),MAX(0,TODAY()-$AJ125),"")</f>
        <v/>
      </c>
      <c r="AN125" s="31">
        <f>IF(OR($AL125=0,COUNT($AJ$6:$AJ$305)=0),0,IF($AJ125="",1,IF(TODAY()-$AJ125&gt;Board!$B$40,1,0)))</f>
        <v/>
      </c>
      <c r="AO125" s="31">
        <f>IF($AL125=0,0,IF($M125="■ Red",3,IF($M125="◧ Amber",2,IF($M125="□ On track",1,0))))</f>
        <v/>
      </c>
      <c r="AP125" s="31">
        <f>IF($AL125=0,0,IF($AK125="Will not hold",3,IF($AK125="At risk",2,IF($AK125="Will hold",1,0))))</f>
        <v/>
      </c>
      <c r="AQ125" s="31">
        <f>IF($AL125=0,"",IF($AO125=3,0,IF($AO125=2,1,IF(AND($AP125&gt;=2,$AP125&gt;$AO125),2,""))))</f>
        <v/>
      </c>
      <c r="AR125" s="31">
        <f>IF($AQ125="","",$AQ125*1000+125)</f>
        <v/>
      </c>
      <c r="AS125" s="31">
        <f>IF(AND($AL125=1,$AO125&gt;=2,$AP125&gt;=1,$AP125&lt;$AO125),1,0)</f>
        <v/>
      </c>
      <c r="AT125" s="31">
        <f>IF(AND($AL125=1,$AO125&gt;=2,$AP125=0),1,0)</f>
        <v/>
      </c>
      <c r="AU125" s="31">
        <f>IF(AND($AL125=1,$U125&lt;&gt;"",$U125&lt;TODAY()),1,0)</f>
        <v/>
      </c>
      <c r="AV125" s="31">
        <f>IF(OR($A125="",$AJ125="",Portfolio!$B$10=""),0,IF($AJ125&lt;=Portfolio!$B$10,0,IF(AND($D125="Completed",$Z125=1),1,IF(AND($D125="Terminated",$Z125=1),2,IF(AND($Q125=1,$Z125=0),3,0)))))</f>
        <v/>
      </c>
      <c r="AW125" s="31">
        <f>IF($AV125&gt;0,COUNTIF($AV$6:$AV125,"&gt;0"),"")</f>
        <v/>
      </c>
      <c r="AX125" s="31">
        <f>IF($AL125=0,"",IF(AND($B125="Project",$H125&lt;&gt;"",$H125&lt;TODAY()),"Planned finish "&amp;TEXT($H125,"d mmm")&amp;" has passed",IF($X125&gt;=2,(NETWORKDAYS($H125,$U125)-1)&amp;" working days past plan","")))</f>
        <v/>
      </c>
      <c r="AY125" s="31">
        <f>IF($AL125=0,"",IF($Y125&gt;=2,"Over budget by "&amp;TEXT(IF($B125="Program",$V125,$J125)-$K125,"#,##0"),""))</f>
        <v/>
      </c>
      <c r="AZ125" s="31">
        <f>IF(AND($AL125=1,$U125&lt;&gt;""),IF(AND(N($U125)&gt;=TODAY(),N($U125)&lt;=TODAY()+Board!$B$41),1,0),0)</f>
        <v/>
      </c>
    </row>
    <row r="126">
      <c r="A126" s="29" t="n"/>
      <c r="B126" s="29" t="n"/>
      <c r="C126" s="29" t="n"/>
      <c r="D126" s="29" t="n"/>
      <c r="E126" s="29" t="n"/>
      <c r="F126" s="29" t="n"/>
      <c r="G126" s="29" t="n"/>
      <c r="H126" s="30" t="n"/>
      <c r="I126" s="30" t="n"/>
      <c r="J126" s="19" t="n"/>
      <c r="K126" s="19" t="n"/>
      <c r="L126" s="26" t="n"/>
      <c r="M126" s="31">
        <f>IF($A126="","",IF($D126="","Not read",IF($Q126=0,"Not counted",IF(MAX($X126,$Y126)=3,"■ Red",IF(MAX($X126,$Y126)=2,"◧ Amber",IF(MAX($X126,$Y126)=1,"□ On track","Not read"))))))</f>
        <v/>
      </c>
      <c r="N126" s="31">
        <f>IF(OR($A126="",$B126&lt;&gt;"Program"),"","■ "&amp;COUNTIFS($C$6:$C$305,$A126,$M$6:$M$305,"■ Red")&amp;" Red, ◧ "&amp;COUNTIFS($C$6:$C$305,$A126,$M$6:$M$305,"◧ Amber")&amp;" Amber")</f>
        <v/>
      </c>
      <c r="O126" s="32">
        <f>IF(OR($A126="",$E126=""),"",COUNTIFS($E$6:$E$305,$E126,$D$6:$D$305,"Active")+COUNTIFS($E$6:$E$305,$E126,$D$6:$D$305,"Paused"))</f>
        <v/>
      </c>
      <c r="P126" s="31">
        <f>IF($A126="","",IF($AE126=0,"○ Clear",IF($AA126=1,"△ No owner",IF($AC126=1,"△ Check Sits under",IF($AC126=2,"△ Outside the portfolio",IF($AB126=1,"△ No sponsor","△ No variance note"))))&amp;IF($AE126&gt;1," (+"&amp;($AE126-1)&amp;" more)","")))</f>
        <v/>
      </c>
      <c r="Q126" s="31">
        <f>IF(AND($A126&lt;&gt;"",OR($D126="Active",$D126="Paused")),1,0)</f>
        <v/>
      </c>
      <c r="R126" s="31">
        <f>IFERROR(INDEX($A$6:$A$305,MATCH(119,$S$6:$S$305,0)),"")</f>
        <v/>
      </c>
      <c r="S126" s="31">
        <f>IF(AND($A126&lt;&gt;"",$B126="Program"),COUNTIFS($B$6:$B126,"Program",$A$6:$A126,"&lt;&gt;"),"")</f>
        <v/>
      </c>
      <c r="T126" s="33">
        <f>IF(AND($A126&lt;&gt;"",$B126="Program"),SUMPRODUCT(MAX(($C$6:$C$305=$A126)*($B$6:$B$305="Project")*($D$6:$D$305&lt;&gt;"Proposed")*$I$6:$I$305)),0)</f>
        <v/>
      </c>
      <c r="U126" s="33">
        <f>IF($I126&lt;&gt;"",$I126,IF($T126&gt;0,$T126,""))</f>
        <v/>
      </c>
      <c r="V126" s="31">
        <f>IF(AND($A126&lt;&gt;"",$B126="Program"),SUMIFS($J$6:$J$305,$C$6:$C$305,$A126,$B$6:$B$305,"Project",$D$6:$D$305,"&lt;&gt;Proposed"),0)</f>
        <v/>
      </c>
      <c r="W126" s="31">
        <f>IF(AND($A126&lt;&gt;"",$B126="Program"),COUNTIFS($C$6:$C$305,$A126,$B$6:$B$305,"Project",$D$6:$D$305,"&lt;&gt;Proposed")-COUNTIFS($C$6:$C$305,$A126,$B$6:$B$305,"Project",$D$6:$D$305,"&lt;&gt;Proposed",$J$6:$J$305,"&gt;=0"),0)</f>
        <v/>
      </c>
      <c r="X126" s="31">
        <f>IF(OR($Q126=0,$H126=""),0,IF(AND($B126="Project",$H126&lt;TODAY()),3,IF($U126="",0,IF($U126&lt;=$H126,1,IF(NETWORKDAYS($H126,$U126)-1&gt;IF($B126="Program",Portfolio!$B$16,Portfolio!$B$15),3,2)))))</f>
        <v/>
      </c>
      <c r="Y126" s="31">
        <f>IF(OR($Q126=0,$K126="",$K126=0),0,IF(AND($B126="Project",$J126=""),0,IF(IF($B126="Program",$V126,$J126)&gt;$K126*(1+Portfolio!$B$17),3,IF(IF($B126="Program",$V126,$J126)&gt;$K126,2,IF(AND($B126="Program",OR($W126&gt;0,$V126=0)),0,1)))))</f>
        <v/>
      </c>
      <c r="Z126" s="31">
        <f>IF($A126="",0,IF($C126="Portfolio",1,IF(AND($B126="Project",$C126&lt;&gt;"",$C126&lt;&gt;"Outside the portfolio"),IFERROR(IF(AND(INDEX($B$6:$B$305,MATCH($C126,$A$6:$A$305,0))="Program",INDEX($C$6:$C$305,MATCH($C126,$A$6:$A$305,0))="Portfolio"),1,0),0),0)))</f>
        <v/>
      </c>
      <c r="AA126" s="31">
        <f>IF(AND($A126&lt;&gt;"",$E126="",OR($Q126=1,$D126="Proposed")),1,0)</f>
        <v/>
      </c>
      <c r="AB126" s="31">
        <f>IF(AND($A126&lt;&gt;"",$B126="Program",$F126="",$Q126=1),1,0)</f>
        <v/>
      </c>
      <c r="AC126" s="31">
        <f>IF(OR($A126="",$D126="Completed",$D126="Terminated"),0,IF($C126="",1,IF($C126="Portfolio",0,IF($C126="Outside the portfolio",IF($Q126=1,2,0),IF($B126="Project",IF(IFERROR(INDEX($B$6:$B$305,MATCH($C126,$A$6:$A$305,0)),"")="Program",0,1),1)))))</f>
        <v/>
      </c>
      <c r="AD126" s="31">
        <f>IF(AND($A126&lt;&gt;"",OR($M126="■ Red",$M126="◧ Amber"),$L126=""),1,0)</f>
        <v/>
      </c>
      <c r="AE126" s="31">
        <f>$AA126+$AB126+IF($AC126&gt;0,1,0)+$AD126</f>
        <v/>
      </c>
      <c r="AJ126" s="14" t="n"/>
      <c r="AK126" s="29" t="n"/>
      <c r="AL126" s="31">
        <f>IF(AND($Q126=1,$Z126=1),1,0)</f>
        <v/>
      </c>
      <c r="AM126" s="31">
        <f>IF(AND($AL126=1,$AJ126&lt;&gt;""),MAX(0,TODAY()-$AJ126),"")</f>
        <v/>
      </c>
      <c r="AN126" s="31">
        <f>IF(OR($AL126=0,COUNT($AJ$6:$AJ$305)=0),0,IF($AJ126="",1,IF(TODAY()-$AJ126&gt;Board!$B$40,1,0)))</f>
        <v/>
      </c>
      <c r="AO126" s="31">
        <f>IF($AL126=0,0,IF($M126="■ Red",3,IF($M126="◧ Amber",2,IF($M126="□ On track",1,0))))</f>
        <v/>
      </c>
      <c r="AP126" s="31">
        <f>IF($AL126=0,0,IF($AK126="Will not hold",3,IF($AK126="At risk",2,IF($AK126="Will hold",1,0))))</f>
        <v/>
      </c>
      <c r="AQ126" s="31">
        <f>IF($AL126=0,"",IF($AO126=3,0,IF($AO126=2,1,IF(AND($AP126&gt;=2,$AP126&gt;$AO126),2,""))))</f>
        <v/>
      </c>
      <c r="AR126" s="31">
        <f>IF($AQ126="","",$AQ126*1000+126)</f>
        <v/>
      </c>
      <c r="AS126" s="31">
        <f>IF(AND($AL126=1,$AO126&gt;=2,$AP126&gt;=1,$AP126&lt;$AO126),1,0)</f>
        <v/>
      </c>
      <c r="AT126" s="31">
        <f>IF(AND($AL126=1,$AO126&gt;=2,$AP126=0),1,0)</f>
        <v/>
      </c>
      <c r="AU126" s="31">
        <f>IF(AND($AL126=1,$U126&lt;&gt;"",$U126&lt;TODAY()),1,0)</f>
        <v/>
      </c>
      <c r="AV126" s="31">
        <f>IF(OR($A126="",$AJ126="",Portfolio!$B$10=""),0,IF($AJ126&lt;=Portfolio!$B$10,0,IF(AND($D126="Completed",$Z126=1),1,IF(AND($D126="Terminated",$Z126=1),2,IF(AND($Q126=1,$Z126=0),3,0)))))</f>
        <v/>
      </c>
      <c r="AW126" s="31">
        <f>IF($AV126&gt;0,COUNTIF($AV$6:$AV126,"&gt;0"),"")</f>
        <v/>
      </c>
      <c r="AX126" s="31">
        <f>IF($AL126=0,"",IF(AND($B126="Project",$H126&lt;&gt;"",$H126&lt;TODAY()),"Planned finish "&amp;TEXT($H126,"d mmm")&amp;" has passed",IF($X126&gt;=2,(NETWORKDAYS($H126,$U126)-1)&amp;" working days past plan","")))</f>
        <v/>
      </c>
      <c r="AY126" s="31">
        <f>IF($AL126=0,"",IF($Y126&gt;=2,"Over budget by "&amp;TEXT(IF($B126="Program",$V126,$J126)-$K126,"#,##0"),""))</f>
        <v/>
      </c>
      <c r="AZ126" s="31">
        <f>IF(AND($AL126=1,$U126&lt;&gt;""),IF(AND(N($U126)&gt;=TODAY(),N($U126)&lt;=TODAY()+Board!$B$41),1,0),0)</f>
        <v/>
      </c>
    </row>
    <row r="127">
      <c r="A127" s="29" t="n"/>
      <c r="B127" s="29" t="n"/>
      <c r="C127" s="29" t="n"/>
      <c r="D127" s="29" t="n"/>
      <c r="E127" s="29" t="n"/>
      <c r="F127" s="29" t="n"/>
      <c r="G127" s="29" t="n"/>
      <c r="H127" s="30" t="n"/>
      <c r="I127" s="30" t="n"/>
      <c r="J127" s="19" t="n"/>
      <c r="K127" s="19" t="n"/>
      <c r="L127" s="26" t="n"/>
      <c r="M127" s="31">
        <f>IF($A127="","",IF($D127="","Not read",IF($Q127=0,"Not counted",IF(MAX($X127,$Y127)=3,"■ Red",IF(MAX($X127,$Y127)=2,"◧ Amber",IF(MAX($X127,$Y127)=1,"□ On track","Not read"))))))</f>
        <v/>
      </c>
      <c r="N127" s="31">
        <f>IF(OR($A127="",$B127&lt;&gt;"Program"),"","■ "&amp;COUNTIFS($C$6:$C$305,$A127,$M$6:$M$305,"■ Red")&amp;" Red, ◧ "&amp;COUNTIFS($C$6:$C$305,$A127,$M$6:$M$305,"◧ Amber")&amp;" Amber")</f>
        <v/>
      </c>
      <c r="O127" s="32">
        <f>IF(OR($A127="",$E127=""),"",COUNTIFS($E$6:$E$305,$E127,$D$6:$D$305,"Active")+COUNTIFS($E$6:$E$305,$E127,$D$6:$D$305,"Paused"))</f>
        <v/>
      </c>
      <c r="P127" s="31">
        <f>IF($A127="","",IF($AE127=0,"○ Clear",IF($AA127=1,"△ No owner",IF($AC127=1,"△ Check Sits under",IF($AC127=2,"△ Outside the portfolio",IF($AB127=1,"△ No sponsor","△ No variance note"))))&amp;IF($AE127&gt;1," (+"&amp;($AE127-1)&amp;" more)","")))</f>
        <v/>
      </c>
      <c r="Q127" s="31">
        <f>IF(AND($A127&lt;&gt;"",OR($D127="Active",$D127="Paused")),1,0)</f>
        <v/>
      </c>
      <c r="R127" s="31">
        <f>IFERROR(INDEX($A$6:$A$305,MATCH(120,$S$6:$S$305,0)),"")</f>
        <v/>
      </c>
      <c r="S127" s="31">
        <f>IF(AND($A127&lt;&gt;"",$B127="Program"),COUNTIFS($B$6:$B127,"Program",$A$6:$A127,"&lt;&gt;"),"")</f>
        <v/>
      </c>
      <c r="T127" s="33">
        <f>IF(AND($A127&lt;&gt;"",$B127="Program"),SUMPRODUCT(MAX(($C$6:$C$305=$A127)*($B$6:$B$305="Project")*($D$6:$D$305&lt;&gt;"Proposed")*$I$6:$I$305)),0)</f>
        <v/>
      </c>
      <c r="U127" s="33">
        <f>IF($I127&lt;&gt;"",$I127,IF($T127&gt;0,$T127,""))</f>
        <v/>
      </c>
      <c r="V127" s="31">
        <f>IF(AND($A127&lt;&gt;"",$B127="Program"),SUMIFS($J$6:$J$305,$C$6:$C$305,$A127,$B$6:$B$305,"Project",$D$6:$D$305,"&lt;&gt;Proposed"),0)</f>
        <v/>
      </c>
      <c r="W127" s="31">
        <f>IF(AND($A127&lt;&gt;"",$B127="Program"),COUNTIFS($C$6:$C$305,$A127,$B$6:$B$305,"Project",$D$6:$D$305,"&lt;&gt;Proposed")-COUNTIFS($C$6:$C$305,$A127,$B$6:$B$305,"Project",$D$6:$D$305,"&lt;&gt;Proposed",$J$6:$J$305,"&gt;=0"),0)</f>
        <v/>
      </c>
      <c r="X127" s="31">
        <f>IF(OR($Q127=0,$H127=""),0,IF(AND($B127="Project",$H127&lt;TODAY()),3,IF($U127="",0,IF($U127&lt;=$H127,1,IF(NETWORKDAYS($H127,$U127)-1&gt;IF($B127="Program",Portfolio!$B$16,Portfolio!$B$15),3,2)))))</f>
        <v/>
      </c>
      <c r="Y127" s="31">
        <f>IF(OR($Q127=0,$K127="",$K127=0),0,IF(AND($B127="Project",$J127=""),0,IF(IF($B127="Program",$V127,$J127)&gt;$K127*(1+Portfolio!$B$17),3,IF(IF($B127="Program",$V127,$J127)&gt;$K127,2,IF(AND($B127="Program",OR($W127&gt;0,$V127=0)),0,1)))))</f>
        <v/>
      </c>
      <c r="Z127" s="31">
        <f>IF($A127="",0,IF($C127="Portfolio",1,IF(AND($B127="Project",$C127&lt;&gt;"",$C127&lt;&gt;"Outside the portfolio"),IFERROR(IF(AND(INDEX($B$6:$B$305,MATCH($C127,$A$6:$A$305,0))="Program",INDEX($C$6:$C$305,MATCH($C127,$A$6:$A$305,0))="Portfolio"),1,0),0),0)))</f>
        <v/>
      </c>
      <c r="AA127" s="31">
        <f>IF(AND($A127&lt;&gt;"",$E127="",OR($Q127=1,$D127="Proposed")),1,0)</f>
        <v/>
      </c>
      <c r="AB127" s="31">
        <f>IF(AND($A127&lt;&gt;"",$B127="Program",$F127="",$Q127=1),1,0)</f>
        <v/>
      </c>
      <c r="AC127" s="31">
        <f>IF(OR($A127="",$D127="Completed",$D127="Terminated"),0,IF($C127="",1,IF($C127="Portfolio",0,IF($C127="Outside the portfolio",IF($Q127=1,2,0),IF($B127="Project",IF(IFERROR(INDEX($B$6:$B$305,MATCH($C127,$A$6:$A$305,0)),"")="Program",0,1),1)))))</f>
        <v/>
      </c>
      <c r="AD127" s="31">
        <f>IF(AND($A127&lt;&gt;"",OR($M127="■ Red",$M127="◧ Amber"),$L127=""),1,0)</f>
        <v/>
      </c>
      <c r="AE127" s="31">
        <f>$AA127+$AB127+IF($AC127&gt;0,1,0)+$AD127</f>
        <v/>
      </c>
      <c r="AJ127" s="14" t="n"/>
      <c r="AK127" s="29" t="n"/>
      <c r="AL127" s="31">
        <f>IF(AND($Q127=1,$Z127=1),1,0)</f>
        <v/>
      </c>
      <c r="AM127" s="31">
        <f>IF(AND($AL127=1,$AJ127&lt;&gt;""),MAX(0,TODAY()-$AJ127),"")</f>
        <v/>
      </c>
      <c r="AN127" s="31">
        <f>IF(OR($AL127=0,COUNT($AJ$6:$AJ$305)=0),0,IF($AJ127="",1,IF(TODAY()-$AJ127&gt;Board!$B$40,1,0)))</f>
        <v/>
      </c>
      <c r="AO127" s="31">
        <f>IF($AL127=0,0,IF($M127="■ Red",3,IF($M127="◧ Amber",2,IF($M127="□ On track",1,0))))</f>
        <v/>
      </c>
      <c r="AP127" s="31">
        <f>IF($AL127=0,0,IF($AK127="Will not hold",3,IF($AK127="At risk",2,IF($AK127="Will hold",1,0))))</f>
        <v/>
      </c>
      <c r="AQ127" s="31">
        <f>IF($AL127=0,"",IF($AO127=3,0,IF($AO127=2,1,IF(AND($AP127&gt;=2,$AP127&gt;$AO127),2,""))))</f>
        <v/>
      </c>
      <c r="AR127" s="31">
        <f>IF($AQ127="","",$AQ127*1000+127)</f>
        <v/>
      </c>
      <c r="AS127" s="31">
        <f>IF(AND($AL127=1,$AO127&gt;=2,$AP127&gt;=1,$AP127&lt;$AO127),1,0)</f>
        <v/>
      </c>
      <c r="AT127" s="31">
        <f>IF(AND($AL127=1,$AO127&gt;=2,$AP127=0),1,0)</f>
        <v/>
      </c>
      <c r="AU127" s="31">
        <f>IF(AND($AL127=1,$U127&lt;&gt;"",$U127&lt;TODAY()),1,0)</f>
        <v/>
      </c>
      <c r="AV127" s="31">
        <f>IF(OR($A127="",$AJ127="",Portfolio!$B$10=""),0,IF($AJ127&lt;=Portfolio!$B$10,0,IF(AND($D127="Completed",$Z127=1),1,IF(AND($D127="Terminated",$Z127=1),2,IF(AND($Q127=1,$Z127=0),3,0)))))</f>
        <v/>
      </c>
      <c r="AW127" s="31">
        <f>IF($AV127&gt;0,COUNTIF($AV$6:$AV127,"&gt;0"),"")</f>
        <v/>
      </c>
      <c r="AX127" s="31">
        <f>IF($AL127=0,"",IF(AND($B127="Project",$H127&lt;&gt;"",$H127&lt;TODAY()),"Planned finish "&amp;TEXT($H127,"d mmm")&amp;" has passed",IF($X127&gt;=2,(NETWORKDAYS($H127,$U127)-1)&amp;" working days past plan","")))</f>
        <v/>
      </c>
      <c r="AY127" s="31">
        <f>IF($AL127=0,"",IF($Y127&gt;=2,"Over budget by "&amp;TEXT(IF($B127="Program",$V127,$J127)-$K127,"#,##0"),""))</f>
        <v/>
      </c>
      <c r="AZ127" s="31">
        <f>IF(AND($AL127=1,$U127&lt;&gt;""),IF(AND(N($U127)&gt;=TODAY(),N($U127)&lt;=TODAY()+Board!$B$41),1,0),0)</f>
        <v/>
      </c>
    </row>
    <row r="128">
      <c r="A128" s="29" t="n"/>
      <c r="B128" s="29" t="n"/>
      <c r="C128" s="29" t="n"/>
      <c r="D128" s="29" t="n"/>
      <c r="E128" s="29" t="n"/>
      <c r="F128" s="29" t="n"/>
      <c r="G128" s="29" t="n"/>
      <c r="H128" s="30" t="n"/>
      <c r="I128" s="30" t="n"/>
      <c r="J128" s="19" t="n"/>
      <c r="K128" s="19" t="n"/>
      <c r="L128" s="26" t="n"/>
      <c r="M128" s="31">
        <f>IF($A128="","",IF($D128="","Not read",IF($Q128=0,"Not counted",IF(MAX($X128,$Y128)=3,"■ Red",IF(MAX($X128,$Y128)=2,"◧ Amber",IF(MAX($X128,$Y128)=1,"□ On track","Not read"))))))</f>
        <v/>
      </c>
      <c r="N128" s="31">
        <f>IF(OR($A128="",$B128&lt;&gt;"Program"),"","■ "&amp;COUNTIFS($C$6:$C$305,$A128,$M$6:$M$305,"■ Red")&amp;" Red, ◧ "&amp;COUNTIFS($C$6:$C$305,$A128,$M$6:$M$305,"◧ Amber")&amp;" Amber")</f>
        <v/>
      </c>
      <c r="O128" s="32">
        <f>IF(OR($A128="",$E128=""),"",COUNTIFS($E$6:$E$305,$E128,$D$6:$D$305,"Active")+COUNTIFS($E$6:$E$305,$E128,$D$6:$D$305,"Paused"))</f>
        <v/>
      </c>
      <c r="P128" s="31">
        <f>IF($A128="","",IF($AE128=0,"○ Clear",IF($AA128=1,"△ No owner",IF($AC128=1,"△ Check Sits under",IF($AC128=2,"△ Outside the portfolio",IF($AB128=1,"△ No sponsor","△ No variance note"))))&amp;IF($AE128&gt;1," (+"&amp;($AE128-1)&amp;" more)","")))</f>
        <v/>
      </c>
      <c r="Q128" s="31">
        <f>IF(AND($A128&lt;&gt;"",OR($D128="Active",$D128="Paused")),1,0)</f>
        <v/>
      </c>
      <c r="R128" s="31">
        <f>IFERROR(INDEX($A$6:$A$305,MATCH(121,$S$6:$S$305,0)),"")</f>
        <v/>
      </c>
      <c r="S128" s="31">
        <f>IF(AND($A128&lt;&gt;"",$B128="Program"),COUNTIFS($B$6:$B128,"Program",$A$6:$A128,"&lt;&gt;"),"")</f>
        <v/>
      </c>
      <c r="T128" s="33">
        <f>IF(AND($A128&lt;&gt;"",$B128="Program"),SUMPRODUCT(MAX(($C$6:$C$305=$A128)*($B$6:$B$305="Project")*($D$6:$D$305&lt;&gt;"Proposed")*$I$6:$I$305)),0)</f>
        <v/>
      </c>
      <c r="U128" s="33">
        <f>IF($I128&lt;&gt;"",$I128,IF($T128&gt;0,$T128,""))</f>
        <v/>
      </c>
      <c r="V128" s="31">
        <f>IF(AND($A128&lt;&gt;"",$B128="Program"),SUMIFS($J$6:$J$305,$C$6:$C$305,$A128,$B$6:$B$305,"Project",$D$6:$D$305,"&lt;&gt;Proposed"),0)</f>
        <v/>
      </c>
      <c r="W128" s="31">
        <f>IF(AND($A128&lt;&gt;"",$B128="Program"),COUNTIFS($C$6:$C$305,$A128,$B$6:$B$305,"Project",$D$6:$D$305,"&lt;&gt;Proposed")-COUNTIFS($C$6:$C$305,$A128,$B$6:$B$305,"Project",$D$6:$D$305,"&lt;&gt;Proposed",$J$6:$J$305,"&gt;=0"),0)</f>
        <v/>
      </c>
      <c r="X128" s="31">
        <f>IF(OR($Q128=0,$H128=""),0,IF(AND($B128="Project",$H128&lt;TODAY()),3,IF($U128="",0,IF($U128&lt;=$H128,1,IF(NETWORKDAYS($H128,$U128)-1&gt;IF($B128="Program",Portfolio!$B$16,Portfolio!$B$15),3,2)))))</f>
        <v/>
      </c>
      <c r="Y128" s="31">
        <f>IF(OR($Q128=0,$K128="",$K128=0),0,IF(AND($B128="Project",$J128=""),0,IF(IF($B128="Program",$V128,$J128)&gt;$K128*(1+Portfolio!$B$17),3,IF(IF($B128="Program",$V128,$J128)&gt;$K128,2,IF(AND($B128="Program",OR($W128&gt;0,$V128=0)),0,1)))))</f>
        <v/>
      </c>
      <c r="Z128" s="31">
        <f>IF($A128="",0,IF($C128="Portfolio",1,IF(AND($B128="Project",$C128&lt;&gt;"",$C128&lt;&gt;"Outside the portfolio"),IFERROR(IF(AND(INDEX($B$6:$B$305,MATCH($C128,$A$6:$A$305,0))="Program",INDEX($C$6:$C$305,MATCH($C128,$A$6:$A$305,0))="Portfolio"),1,0),0),0)))</f>
        <v/>
      </c>
      <c r="AA128" s="31">
        <f>IF(AND($A128&lt;&gt;"",$E128="",OR($Q128=1,$D128="Proposed")),1,0)</f>
        <v/>
      </c>
      <c r="AB128" s="31">
        <f>IF(AND($A128&lt;&gt;"",$B128="Program",$F128="",$Q128=1),1,0)</f>
        <v/>
      </c>
      <c r="AC128" s="31">
        <f>IF(OR($A128="",$D128="Completed",$D128="Terminated"),0,IF($C128="",1,IF($C128="Portfolio",0,IF($C128="Outside the portfolio",IF($Q128=1,2,0),IF($B128="Project",IF(IFERROR(INDEX($B$6:$B$305,MATCH($C128,$A$6:$A$305,0)),"")="Program",0,1),1)))))</f>
        <v/>
      </c>
      <c r="AD128" s="31">
        <f>IF(AND($A128&lt;&gt;"",OR($M128="■ Red",$M128="◧ Amber"),$L128=""),1,0)</f>
        <v/>
      </c>
      <c r="AE128" s="31">
        <f>$AA128+$AB128+IF($AC128&gt;0,1,0)+$AD128</f>
        <v/>
      </c>
      <c r="AJ128" s="14" t="n"/>
      <c r="AK128" s="29" t="n"/>
      <c r="AL128" s="31">
        <f>IF(AND($Q128=1,$Z128=1),1,0)</f>
        <v/>
      </c>
      <c r="AM128" s="31">
        <f>IF(AND($AL128=1,$AJ128&lt;&gt;""),MAX(0,TODAY()-$AJ128),"")</f>
        <v/>
      </c>
      <c r="AN128" s="31">
        <f>IF(OR($AL128=0,COUNT($AJ$6:$AJ$305)=0),0,IF($AJ128="",1,IF(TODAY()-$AJ128&gt;Board!$B$40,1,0)))</f>
        <v/>
      </c>
      <c r="AO128" s="31">
        <f>IF($AL128=0,0,IF($M128="■ Red",3,IF($M128="◧ Amber",2,IF($M128="□ On track",1,0))))</f>
        <v/>
      </c>
      <c r="AP128" s="31">
        <f>IF($AL128=0,0,IF($AK128="Will not hold",3,IF($AK128="At risk",2,IF($AK128="Will hold",1,0))))</f>
        <v/>
      </c>
      <c r="AQ128" s="31">
        <f>IF($AL128=0,"",IF($AO128=3,0,IF($AO128=2,1,IF(AND($AP128&gt;=2,$AP128&gt;$AO128),2,""))))</f>
        <v/>
      </c>
      <c r="AR128" s="31">
        <f>IF($AQ128="","",$AQ128*1000+128)</f>
        <v/>
      </c>
      <c r="AS128" s="31">
        <f>IF(AND($AL128=1,$AO128&gt;=2,$AP128&gt;=1,$AP128&lt;$AO128),1,0)</f>
        <v/>
      </c>
      <c r="AT128" s="31">
        <f>IF(AND($AL128=1,$AO128&gt;=2,$AP128=0),1,0)</f>
        <v/>
      </c>
      <c r="AU128" s="31">
        <f>IF(AND($AL128=1,$U128&lt;&gt;"",$U128&lt;TODAY()),1,0)</f>
        <v/>
      </c>
      <c r="AV128" s="31">
        <f>IF(OR($A128="",$AJ128="",Portfolio!$B$10=""),0,IF($AJ128&lt;=Portfolio!$B$10,0,IF(AND($D128="Completed",$Z128=1),1,IF(AND($D128="Terminated",$Z128=1),2,IF(AND($Q128=1,$Z128=0),3,0)))))</f>
        <v/>
      </c>
      <c r="AW128" s="31">
        <f>IF($AV128&gt;0,COUNTIF($AV$6:$AV128,"&gt;0"),"")</f>
        <v/>
      </c>
      <c r="AX128" s="31">
        <f>IF($AL128=0,"",IF(AND($B128="Project",$H128&lt;&gt;"",$H128&lt;TODAY()),"Planned finish "&amp;TEXT($H128,"d mmm")&amp;" has passed",IF($X128&gt;=2,(NETWORKDAYS($H128,$U128)-1)&amp;" working days past plan","")))</f>
        <v/>
      </c>
      <c r="AY128" s="31">
        <f>IF($AL128=0,"",IF($Y128&gt;=2,"Over budget by "&amp;TEXT(IF($B128="Program",$V128,$J128)-$K128,"#,##0"),""))</f>
        <v/>
      </c>
      <c r="AZ128" s="31">
        <f>IF(AND($AL128=1,$U128&lt;&gt;""),IF(AND(N($U128)&gt;=TODAY(),N($U128)&lt;=TODAY()+Board!$B$41),1,0),0)</f>
        <v/>
      </c>
    </row>
    <row r="129">
      <c r="A129" s="29" t="n"/>
      <c r="B129" s="29" t="n"/>
      <c r="C129" s="29" t="n"/>
      <c r="D129" s="29" t="n"/>
      <c r="E129" s="29" t="n"/>
      <c r="F129" s="29" t="n"/>
      <c r="G129" s="29" t="n"/>
      <c r="H129" s="30" t="n"/>
      <c r="I129" s="30" t="n"/>
      <c r="J129" s="19" t="n"/>
      <c r="K129" s="19" t="n"/>
      <c r="L129" s="26" t="n"/>
      <c r="M129" s="31">
        <f>IF($A129="","",IF($D129="","Not read",IF($Q129=0,"Not counted",IF(MAX($X129,$Y129)=3,"■ Red",IF(MAX($X129,$Y129)=2,"◧ Amber",IF(MAX($X129,$Y129)=1,"□ On track","Not read"))))))</f>
        <v/>
      </c>
      <c r="N129" s="31">
        <f>IF(OR($A129="",$B129&lt;&gt;"Program"),"","■ "&amp;COUNTIFS($C$6:$C$305,$A129,$M$6:$M$305,"■ Red")&amp;" Red, ◧ "&amp;COUNTIFS($C$6:$C$305,$A129,$M$6:$M$305,"◧ Amber")&amp;" Amber")</f>
        <v/>
      </c>
      <c r="O129" s="32">
        <f>IF(OR($A129="",$E129=""),"",COUNTIFS($E$6:$E$305,$E129,$D$6:$D$305,"Active")+COUNTIFS($E$6:$E$305,$E129,$D$6:$D$305,"Paused"))</f>
        <v/>
      </c>
      <c r="P129" s="31">
        <f>IF($A129="","",IF($AE129=0,"○ Clear",IF($AA129=1,"△ No owner",IF($AC129=1,"△ Check Sits under",IF($AC129=2,"△ Outside the portfolio",IF($AB129=1,"△ No sponsor","△ No variance note"))))&amp;IF($AE129&gt;1," (+"&amp;($AE129-1)&amp;" more)","")))</f>
        <v/>
      </c>
      <c r="Q129" s="31">
        <f>IF(AND($A129&lt;&gt;"",OR($D129="Active",$D129="Paused")),1,0)</f>
        <v/>
      </c>
      <c r="R129" s="31">
        <f>IFERROR(INDEX($A$6:$A$305,MATCH(122,$S$6:$S$305,0)),"")</f>
        <v/>
      </c>
      <c r="S129" s="31">
        <f>IF(AND($A129&lt;&gt;"",$B129="Program"),COUNTIFS($B$6:$B129,"Program",$A$6:$A129,"&lt;&gt;"),"")</f>
        <v/>
      </c>
      <c r="T129" s="33">
        <f>IF(AND($A129&lt;&gt;"",$B129="Program"),SUMPRODUCT(MAX(($C$6:$C$305=$A129)*($B$6:$B$305="Project")*($D$6:$D$305&lt;&gt;"Proposed")*$I$6:$I$305)),0)</f>
        <v/>
      </c>
      <c r="U129" s="33">
        <f>IF($I129&lt;&gt;"",$I129,IF($T129&gt;0,$T129,""))</f>
        <v/>
      </c>
      <c r="V129" s="31">
        <f>IF(AND($A129&lt;&gt;"",$B129="Program"),SUMIFS($J$6:$J$305,$C$6:$C$305,$A129,$B$6:$B$305,"Project",$D$6:$D$305,"&lt;&gt;Proposed"),0)</f>
        <v/>
      </c>
      <c r="W129" s="31">
        <f>IF(AND($A129&lt;&gt;"",$B129="Program"),COUNTIFS($C$6:$C$305,$A129,$B$6:$B$305,"Project",$D$6:$D$305,"&lt;&gt;Proposed")-COUNTIFS($C$6:$C$305,$A129,$B$6:$B$305,"Project",$D$6:$D$305,"&lt;&gt;Proposed",$J$6:$J$305,"&gt;=0"),0)</f>
        <v/>
      </c>
      <c r="X129" s="31">
        <f>IF(OR($Q129=0,$H129=""),0,IF(AND($B129="Project",$H129&lt;TODAY()),3,IF($U129="",0,IF($U129&lt;=$H129,1,IF(NETWORKDAYS($H129,$U129)-1&gt;IF($B129="Program",Portfolio!$B$16,Portfolio!$B$15),3,2)))))</f>
        <v/>
      </c>
      <c r="Y129" s="31">
        <f>IF(OR($Q129=0,$K129="",$K129=0),0,IF(AND($B129="Project",$J129=""),0,IF(IF($B129="Program",$V129,$J129)&gt;$K129*(1+Portfolio!$B$17),3,IF(IF($B129="Program",$V129,$J129)&gt;$K129,2,IF(AND($B129="Program",OR($W129&gt;0,$V129=0)),0,1)))))</f>
        <v/>
      </c>
      <c r="Z129" s="31">
        <f>IF($A129="",0,IF($C129="Portfolio",1,IF(AND($B129="Project",$C129&lt;&gt;"",$C129&lt;&gt;"Outside the portfolio"),IFERROR(IF(AND(INDEX($B$6:$B$305,MATCH($C129,$A$6:$A$305,0))="Program",INDEX($C$6:$C$305,MATCH($C129,$A$6:$A$305,0))="Portfolio"),1,0),0),0)))</f>
        <v/>
      </c>
      <c r="AA129" s="31">
        <f>IF(AND($A129&lt;&gt;"",$E129="",OR($Q129=1,$D129="Proposed")),1,0)</f>
        <v/>
      </c>
      <c r="AB129" s="31">
        <f>IF(AND($A129&lt;&gt;"",$B129="Program",$F129="",$Q129=1),1,0)</f>
        <v/>
      </c>
      <c r="AC129" s="31">
        <f>IF(OR($A129="",$D129="Completed",$D129="Terminated"),0,IF($C129="",1,IF($C129="Portfolio",0,IF($C129="Outside the portfolio",IF($Q129=1,2,0),IF($B129="Project",IF(IFERROR(INDEX($B$6:$B$305,MATCH($C129,$A$6:$A$305,0)),"")="Program",0,1),1)))))</f>
        <v/>
      </c>
      <c r="AD129" s="31">
        <f>IF(AND($A129&lt;&gt;"",OR($M129="■ Red",$M129="◧ Amber"),$L129=""),1,0)</f>
        <v/>
      </c>
      <c r="AE129" s="31">
        <f>$AA129+$AB129+IF($AC129&gt;0,1,0)+$AD129</f>
        <v/>
      </c>
      <c r="AJ129" s="14" t="n"/>
      <c r="AK129" s="29" t="n"/>
      <c r="AL129" s="31">
        <f>IF(AND($Q129=1,$Z129=1),1,0)</f>
        <v/>
      </c>
      <c r="AM129" s="31">
        <f>IF(AND($AL129=1,$AJ129&lt;&gt;""),MAX(0,TODAY()-$AJ129),"")</f>
        <v/>
      </c>
      <c r="AN129" s="31">
        <f>IF(OR($AL129=0,COUNT($AJ$6:$AJ$305)=0),0,IF($AJ129="",1,IF(TODAY()-$AJ129&gt;Board!$B$40,1,0)))</f>
        <v/>
      </c>
      <c r="AO129" s="31">
        <f>IF($AL129=0,0,IF($M129="■ Red",3,IF($M129="◧ Amber",2,IF($M129="□ On track",1,0))))</f>
        <v/>
      </c>
      <c r="AP129" s="31">
        <f>IF($AL129=0,0,IF($AK129="Will not hold",3,IF($AK129="At risk",2,IF($AK129="Will hold",1,0))))</f>
        <v/>
      </c>
      <c r="AQ129" s="31">
        <f>IF($AL129=0,"",IF($AO129=3,0,IF($AO129=2,1,IF(AND($AP129&gt;=2,$AP129&gt;$AO129),2,""))))</f>
        <v/>
      </c>
      <c r="AR129" s="31">
        <f>IF($AQ129="","",$AQ129*1000+129)</f>
        <v/>
      </c>
      <c r="AS129" s="31">
        <f>IF(AND($AL129=1,$AO129&gt;=2,$AP129&gt;=1,$AP129&lt;$AO129),1,0)</f>
        <v/>
      </c>
      <c r="AT129" s="31">
        <f>IF(AND($AL129=1,$AO129&gt;=2,$AP129=0),1,0)</f>
        <v/>
      </c>
      <c r="AU129" s="31">
        <f>IF(AND($AL129=1,$U129&lt;&gt;"",$U129&lt;TODAY()),1,0)</f>
        <v/>
      </c>
      <c r="AV129" s="31">
        <f>IF(OR($A129="",$AJ129="",Portfolio!$B$10=""),0,IF($AJ129&lt;=Portfolio!$B$10,0,IF(AND($D129="Completed",$Z129=1),1,IF(AND($D129="Terminated",$Z129=1),2,IF(AND($Q129=1,$Z129=0),3,0)))))</f>
        <v/>
      </c>
      <c r="AW129" s="31">
        <f>IF($AV129&gt;0,COUNTIF($AV$6:$AV129,"&gt;0"),"")</f>
        <v/>
      </c>
      <c r="AX129" s="31">
        <f>IF($AL129=0,"",IF(AND($B129="Project",$H129&lt;&gt;"",$H129&lt;TODAY()),"Planned finish "&amp;TEXT($H129,"d mmm")&amp;" has passed",IF($X129&gt;=2,(NETWORKDAYS($H129,$U129)-1)&amp;" working days past plan","")))</f>
        <v/>
      </c>
      <c r="AY129" s="31">
        <f>IF($AL129=0,"",IF($Y129&gt;=2,"Over budget by "&amp;TEXT(IF($B129="Program",$V129,$J129)-$K129,"#,##0"),""))</f>
        <v/>
      </c>
      <c r="AZ129" s="31">
        <f>IF(AND($AL129=1,$U129&lt;&gt;""),IF(AND(N($U129)&gt;=TODAY(),N($U129)&lt;=TODAY()+Board!$B$41),1,0),0)</f>
        <v/>
      </c>
    </row>
    <row r="130">
      <c r="A130" s="29" t="n"/>
      <c r="B130" s="29" t="n"/>
      <c r="C130" s="29" t="n"/>
      <c r="D130" s="29" t="n"/>
      <c r="E130" s="29" t="n"/>
      <c r="F130" s="29" t="n"/>
      <c r="G130" s="29" t="n"/>
      <c r="H130" s="30" t="n"/>
      <c r="I130" s="30" t="n"/>
      <c r="J130" s="19" t="n"/>
      <c r="K130" s="19" t="n"/>
      <c r="L130" s="26" t="n"/>
      <c r="M130" s="31">
        <f>IF($A130="","",IF($D130="","Not read",IF($Q130=0,"Not counted",IF(MAX($X130,$Y130)=3,"■ Red",IF(MAX($X130,$Y130)=2,"◧ Amber",IF(MAX($X130,$Y130)=1,"□ On track","Not read"))))))</f>
        <v/>
      </c>
      <c r="N130" s="31">
        <f>IF(OR($A130="",$B130&lt;&gt;"Program"),"","■ "&amp;COUNTIFS($C$6:$C$305,$A130,$M$6:$M$305,"■ Red")&amp;" Red, ◧ "&amp;COUNTIFS($C$6:$C$305,$A130,$M$6:$M$305,"◧ Amber")&amp;" Amber")</f>
        <v/>
      </c>
      <c r="O130" s="32">
        <f>IF(OR($A130="",$E130=""),"",COUNTIFS($E$6:$E$305,$E130,$D$6:$D$305,"Active")+COUNTIFS($E$6:$E$305,$E130,$D$6:$D$305,"Paused"))</f>
        <v/>
      </c>
      <c r="P130" s="31">
        <f>IF($A130="","",IF($AE130=0,"○ Clear",IF($AA130=1,"△ No owner",IF($AC130=1,"△ Check Sits under",IF($AC130=2,"△ Outside the portfolio",IF($AB130=1,"△ No sponsor","△ No variance note"))))&amp;IF($AE130&gt;1," (+"&amp;($AE130-1)&amp;" more)","")))</f>
        <v/>
      </c>
      <c r="Q130" s="31">
        <f>IF(AND($A130&lt;&gt;"",OR($D130="Active",$D130="Paused")),1,0)</f>
        <v/>
      </c>
      <c r="R130" s="31">
        <f>IFERROR(INDEX($A$6:$A$305,MATCH(123,$S$6:$S$305,0)),"")</f>
        <v/>
      </c>
      <c r="S130" s="31">
        <f>IF(AND($A130&lt;&gt;"",$B130="Program"),COUNTIFS($B$6:$B130,"Program",$A$6:$A130,"&lt;&gt;"),"")</f>
        <v/>
      </c>
      <c r="T130" s="33">
        <f>IF(AND($A130&lt;&gt;"",$B130="Program"),SUMPRODUCT(MAX(($C$6:$C$305=$A130)*($B$6:$B$305="Project")*($D$6:$D$305&lt;&gt;"Proposed")*$I$6:$I$305)),0)</f>
        <v/>
      </c>
      <c r="U130" s="33">
        <f>IF($I130&lt;&gt;"",$I130,IF($T130&gt;0,$T130,""))</f>
        <v/>
      </c>
      <c r="V130" s="31">
        <f>IF(AND($A130&lt;&gt;"",$B130="Program"),SUMIFS($J$6:$J$305,$C$6:$C$305,$A130,$B$6:$B$305,"Project",$D$6:$D$305,"&lt;&gt;Proposed"),0)</f>
        <v/>
      </c>
      <c r="W130" s="31">
        <f>IF(AND($A130&lt;&gt;"",$B130="Program"),COUNTIFS($C$6:$C$305,$A130,$B$6:$B$305,"Project",$D$6:$D$305,"&lt;&gt;Proposed")-COUNTIFS($C$6:$C$305,$A130,$B$6:$B$305,"Project",$D$6:$D$305,"&lt;&gt;Proposed",$J$6:$J$305,"&gt;=0"),0)</f>
        <v/>
      </c>
      <c r="X130" s="31">
        <f>IF(OR($Q130=0,$H130=""),0,IF(AND($B130="Project",$H130&lt;TODAY()),3,IF($U130="",0,IF($U130&lt;=$H130,1,IF(NETWORKDAYS($H130,$U130)-1&gt;IF($B130="Program",Portfolio!$B$16,Portfolio!$B$15),3,2)))))</f>
        <v/>
      </c>
      <c r="Y130" s="31">
        <f>IF(OR($Q130=0,$K130="",$K130=0),0,IF(AND($B130="Project",$J130=""),0,IF(IF($B130="Program",$V130,$J130)&gt;$K130*(1+Portfolio!$B$17),3,IF(IF($B130="Program",$V130,$J130)&gt;$K130,2,IF(AND($B130="Program",OR($W130&gt;0,$V130=0)),0,1)))))</f>
        <v/>
      </c>
      <c r="Z130" s="31">
        <f>IF($A130="",0,IF($C130="Portfolio",1,IF(AND($B130="Project",$C130&lt;&gt;"",$C130&lt;&gt;"Outside the portfolio"),IFERROR(IF(AND(INDEX($B$6:$B$305,MATCH($C130,$A$6:$A$305,0))="Program",INDEX($C$6:$C$305,MATCH($C130,$A$6:$A$305,0))="Portfolio"),1,0),0),0)))</f>
        <v/>
      </c>
      <c r="AA130" s="31">
        <f>IF(AND($A130&lt;&gt;"",$E130="",OR($Q130=1,$D130="Proposed")),1,0)</f>
        <v/>
      </c>
      <c r="AB130" s="31">
        <f>IF(AND($A130&lt;&gt;"",$B130="Program",$F130="",$Q130=1),1,0)</f>
        <v/>
      </c>
      <c r="AC130" s="31">
        <f>IF(OR($A130="",$D130="Completed",$D130="Terminated"),0,IF($C130="",1,IF($C130="Portfolio",0,IF($C130="Outside the portfolio",IF($Q130=1,2,0),IF($B130="Project",IF(IFERROR(INDEX($B$6:$B$305,MATCH($C130,$A$6:$A$305,0)),"")="Program",0,1),1)))))</f>
        <v/>
      </c>
      <c r="AD130" s="31">
        <f>IF(AND($A130&lt;&gt;"",OR($M130="■ Red",$M130="◧ Amber"),$L130=""),1,0)</f>
        <v/>
      </c>
      <c r="AE130" s="31">
        <f>$AA130+$AB130+IF($AC130&gt;0,1,0)+$AD130</f>
        <v/>
      </c>
      <c r="AJ130" s="14" t="n"/>
      <c r="AK130" s="29" t="n"/>
      <c r="AL130" s="31">
        <f>IF(AND($Q130=1,$Z130=1),1,0)</f>
        <v/>
      </c>
      <c r="AM130" s="31">
        <f>IF(AND($AL130=1,$AJ130&lt;&gt;""),MAX(0,TODAY()-$AJ130),"")</f>
        <v/>
      </c>
      <c r="AN130" s="31">
        <f>IF(OR($AL130=0,COUNT($AJ$6:$AJ$305)=0),0,IF($AJ130="",1,IF(TODAY()-$AJ130&gt;Board!$B$40,1,0)))</f>
        <v/>
      </c>
      <c r="AO130" s="31">
        <f>IF($AL130=0,0,IF($M130="■ Red",3,IF($M130="◧ Amber",2,IF($M130="□ On track",1,0))))</f>
        <v/>
      </c>
      <c r="AP130" s="31">
        <f>IF($AL130=0,0,IF($AK130="Will not hold",3,IF($AK130="At risk",2,IF($AK130="Will hold",1,0))))</f>
        <v/>
      </c>
      <c r="AQ130" s="31">
        <f>IF($AL130=0,"",IF($AO130=3,0,IF($AO130=2,1,IF(AND($AP130&gt;=2,$AP130&gt;$AO130),2,""))))</f>
        <v/>
      </c>
      <c r="AR130" s="31">
        <f>IF($AQ130="","",$AQ130*1000+130)</f>
        <v/>
      </c>
      <c r="AS130" s="31">
        <f>IF(AND($AL130=1,$AO130&gt;=2,$AP130&gt;=1,$AP130&lt;$AO130),1,0)</f>
        <v/>
      </c>
      <c r="AT130" s="31">
        <f>IF(AND($AL130=1,$AO130&gt;=2,$AP130=0),1,0)</f>
        <v/>
      </c>
      <c r="AU130" s="31">
        <f>IF(AND($AL130=1,$U130&lt;&gt;"",$U130&lt;TODAY()),1,0)</f>
        <v/>
      </c>
      <c r="AV130" s="31">
        <f>IF(OR($A130="",$AJ130="",Portfolio!$B$10=""),0,IF($AJ130&lt;=Portfolio!$B$10,0,IF(AND($D130="Completed",$Z130=1),1,IF(AND($D130="Terminated",$Z130=1),2,IF(AND($Q130=1,$Z130=0),3,0)))))</f>
        <v/>
      </c>
      <c r="AW130" s="31">
        <f>IF($AV130&gt;0,COUNTIF($AV$6:$AV130,"&gt;0"),"")</f>
        <v/>
      </c>
      <c r="AX130" s="31">
        <f>IF($AL130=0,"",IF(AND($B130="Project",$H130&lt;&gt;"",$H130&lt;TODAY()),"Planned finish "&amp;TEXT($H130,"d mmm")&amp;" has passed",IF($X130&gt;=2,(NETWORKDAYS($H130,$U130)-1)&amp;" working days past plan","")))</f>
        <v/>
      </c>
      <c r="AY130" s="31">
        <f>IF($AL130=0,"",IF($Y130&gt;=2,"Over budget by "&amp;TEXT(IF($B130="Program",$V130,$J130)-$K130,"#,##0"),""))</f>
        <v/>
      </c>
      <c r="AZ130" s="31">
        <f>IF(AND($AL130=1,$U130&lt;&gt;""),IF(AND(N($U130)&gt;=TODAY(),N($U130)&lt;=TODAY()+Board!$B$41),1,0),0)</f>
        <v/>
      </c>
    </row>
    <row r="131">
      <c r="A131" s="29" t="n"/>
      <c r="B131" s="29" t="n"/>
      <c r="C131" s="29" t="n"/>
      <c r="D131" s="29" t="n"/>
      <c r="E131" s="29" t="n"/>
      <c r="F131" s="29" t="n"/>
      <c r="G131" s="29" t="n"/>
      <c r="H131" s="30" t="n"/>
      <c r="I131" s="30" t="n"/>
      <c r="J131" s="19" t="n"/>
      <c r="K131" s="19" t="n"/>
      <c r="L131" s="26" t="n"/>
      <c r="M131" s="31">
        <f>IF($A131="","",IF($D131="","Not read",IF($Q131=0,"Not counted",IF(MAX($X131,$Y131)=3,"■ Red",IF(MAX($X131,$Y131)=2,"◧ Amber",IF(MAX($X131,$Y131)=1,"□ On track","Not read"))))))</f>
        <v/>
      </c>
      <c r="N131" s="31">
        <f>IF(OR($A131="",$B131&lt;&gt;"Program"),"","■ "&amp;COUNTIFS($C$6:$C$305,$A131,$M$6:$M$305,"■ Red")&amp;" Red, ◧ "&amp;COUNTIFS($C$6:$C$305,$A131,$M$6:$M$305,"◧ Amber")&amp;" Amber")</f>
        <v/>
      </c>
      <c r="O131" s="32">
        <f>IF(OR($A131="",$E131=""),"",COUNTIFS($E$6:$E$305,$E131,$D$6:$D$305,"Active")+COUNTIFS($E$6:$E$305,$E131,$D$6:$D$305,"Paused"))</f>
        <v/>
      </c>
      <c r="P131" s="31">
        <f>IF($A131="","",IF($AE131=0,"○ Clear",IF($AA131=1,"△ No owner",IF($AC131=1,"△ Check Sits under",IF($AC131=2,"△ Outside the portfolio",IF($AB131=1,"△ No sponsor","△ No variance note"))))&amp;IF($AE131&gt;1," (+"&amp;($AE131-1)&amp;" more)","")))</f>
        <v/>
      </c>
      <c r="Q131" s="31">
        <f>IF(AND($A131&lt;&gt;"",OR($D131="Active",$D131="Paused")),1,0)</f>
        <v/>
      </c>
      <c r="R131" s="31">
        <f>IFERROR(INDEX($A$6:$A$305,MATCH(124,$S$6:$S$305,0)),"")</f>
        <v/>
      </c>
      <c r="S131" s="31">
        <f>IF(AND($A131&lt;&gt;"",$B131="Program"),COUNTIFS($B$6:$B131,"Program",$A$6:$A131,"&lt;&gt;"),"")</f>
        <v/>
      </c>
      <c r="T131" s="33">
        <f>IF(AND($A131&lt;&gt;"",$B131="Program"),SUMPRODUCT(MAX(($C$6:$C$305=$A131)*($B$6:$B$305="Project")*($D$6:$D$305&lt;&gt;"Proposed")*$I$6:$I$305)),0)</f>
        <v/>
      </c>
      <c r="U131" s="33">
        <f>IF($I131&lt;&gt;"",$I131,IF($T131&gt;0,$T131,""))</f>
        <v/>
      </c>
      <c r="V131" s="31">
        <f>IF(AND($A131&lt;&gt;"",$B131="Program"),SUMIFS($J$6:$J$305,$C$6:$C$305,$A131,$B$6:$B$305,"Project",$D$6:$D$305,"&lt;&gt;Proposed"),0)</f>
        <v/>
      </c>
      <c r="W131" s="31">
        <f>IF(AND($A131&lt;&gt;"",$B131="Program"),COUNTIFS($C$6:$C$305,$A131,$B$6:$B$305,"Project",$D$6:$D$305,"&lt;&gt;Proposed")-COUNTIFS($C$6:$C$305,$A131,$B$6:$B$305,"Project",$D$6:$D$305,"&lt;&gt;Proposed",$J$6:$J$305,"&gt;=0"),0)</f>
        <v/>
      </c>
      <c r="X131" s="31">
        <f>IF(OR($Q131=0,$H131=""),0,IF(AND($B131="Project",$H131&lt;TODAY()),3,IF($U131="",0,IF($U131&lt;=$H131,1,IF(NETWORKDAYS($H131,$U131)-1&gt;IF($B131="Program",Portfolio!$B$16,Portfolio!$B$15),3,2)))))</f>
        <v/>
      </c>
      <c r="Y131" s="31">
        <f>IF(OR($Q131=0,$K131="",$K131=0),0,IF(AND($B131="Project",$J131=""),0,IF(IF($B131="Program",$V131,$J131)&gt;$K131*(1+Portfolio!$B$17),3,IF(IF($B131="Program",$V131,$J131)&gt;$K131,2,IF(AND($B131="Program",OR($W131&gt;0,$V131=0)),0,1)))))</f>
        <v/>
      </c>
      <c r="Z131" s="31">
        <f>IF($A131="",0,IF($C131="Portfolio",1,IF(AND($B131="Project",$C131&lt;&gt;"",$C131&lt;&gt;"Outside the portfolio"),IFERROR(IF(AND(INDEX($B$6:$B$305,MATCH($C131,$A$6:$A$305,0))="Program",INDEX($C$6:$C$305,MATCH($C131,$A$6:$A$305,0))="Portfolio"),1,0),0),0)))</f>
        <v/>
      </c>
      <c r="AA131" s="31">
        <f>IF(AND($A131&lt;&gt;"",$E131="",OR($Q131=1,$D131="Proposed")),1,0)</f>
        <v/>
      </c>
      <c r="AB131" s="31">
        <f>IF(AND($A131&lt;&gt;"",$B131="Program",$F131="",$Q131=1),1,0)</f>
        <v/>
      </c>
      <c r="AC131" s="31">
        <f>IF(OR($A131="",$D131="Completed",$D131="Terminated"),0,IF($C131="",1,IF($C131="Portfolio",0,IF($C131="Outside the portfolio",IF($Q131=1,2,0),IF($B131="Project",IF(IFERROR(INDEX($B$6:$B$305,MATCH($C131,$A$6:$A$305,0)),"")="Program",0,1),1)))))</f>
        <v/>
      </c>
      <c r="AD131" s="31">
        <f>IF(AND($A131&lt;&gt;"",OR($M131="■ Red",$M131="◧ Amber"),$L131=""),1,0)</f>
        <v/>
      </c>
      <c r="AE131" s="31">
        <f>$AA131+$AB131+IF($AC131&gt;0,1,0)+$AD131</f>
        <v/>
      </c>
      <c r="AJ131" s="14" t="n"/>
      <c r="AK131" s="29" t="n"/>
      <c r="AL131" s="31">
        <f>IF(AND($Q131=1,$Z131=1),1,0)</f>
        <v/>
      </c>
      <c r="AM131" s="31">
        <f>IF(AND($AL131=1,$AJ131&lt;&gt;""),MAX(0,TODAY()-$AJ131),"")</f>
        <v/>
      </c>
      <c r="AN131" s="31">
        <f>IF(OR($AL131=0,COUNT($AJ$6:$AJ$305)=0),0,IF($AJ131="",1,IF(TODAY()-$AJ131&gt;Board!$B$40,1,0)))</f>
        <v/>
      </c>
      <c r="AO131" s="31">
        <f>IF($AL131=0,0,IF($M131="■ Red",3,IF($M131="◧ Amber",2,IF($M131="□ On track",1,0))))</f>
        <v/>
      </c>
      <c r="AP131" s="31">
        <f>IF($AL131=0,0,IF($AK131="Will not hold",3,IF($AK131="At risk",2,IF($AK131="Will hold",1,0))))</f>
        <v/>
      </c>
      <c r="AQ131" s="31">
        <f>IF($AL131=0,"",IF($AO131=3,0,IF($AO131=2,1,IF(AND($AP131&gt;=2,$AP131&gt;$AO131),2,""))))</f>
        <v/>
      </c>
      <c r="AR131" s="31">
        <f>IF($AQ131="","",$AQ131*1000+131)</f>
        <v/>
      </c>
      <c r="AS131" s="31">
        <f>IF(AND($AL131=1,$AO131&gt;=2,$AP131&gt;=1,$AP131&lt;$AO131),1,0)</f>
        <v/>
      </c>
      <c r="AT131" s="31">
        <f>IF(AND($AL131=1,$AO131&gt;=2,$AP131=0),1,0)</f>
        <v/>
      </c>
      <c r="AU131" s="31">
        <f>IF(AND($AL131=1,$U131&lt;&gt;"",$U131&lt;TODAY()),1,0)</f>
        <v/>
      </c>
      <c r="AV131" s="31">
        <f>IF(OR($A131="",$AJ131="",Portfolio!$B$10=""),0,IF($AJ131&lt;=Portfolio!$B$10,0,IF(AND($D131="Completed",$Z131=1),1,IF(AND($D131="Terminated",$Z131=1),2,IF(AND($Q131=1,$Z131=0),3,0)))))</f>
        <v/>
      </c>
      <c r="AW131" s="31">
        <f>IF($AV131&gt;0,COUNTIF($AV$6:$AV131,"&gt;0"),"")</f>
        <v/>
      </c>
      <c r="AX131" s="31">
        <f>IF($AL131=0,"",IF(AND($B131="Project",$H131&lt;&gt;"",$H131&lt;TODAY()),"Planned finish "&amp;TEXT($H131,"d mmm")&amp;" has passed",IF($X131&gt;=2,(NETWORKDAYS($H131,$U131)-1)&amp;" working days past plan","")))</f>
        <v/>
      </c>
      <c r="AY131" s="31">
        <f>IF($AL131=0,"",IF($Y131&gt;=2,"Over budget by "&amp;TEXT(IF($B131="Program",$V131,$J131)-$K131,"#,##0"),""))</f>
        <v/>
      </c>
      <c r="AZ131" s="31">
        <f>IF(AND($AL131=1,$U131&lt;&gt;""),IF(AND(N($U131)&gt;=TODAY(),N($U131)&lt;=TODAY()+Board!$B$41),1,0),0)</f>
        <v/>
      </c>
    </row>
    <row r="132">
      <c r="A132" s="29" t="n"/>
      <c r="B132" s="29" t="n"/>
      <c r="C132" s="29" t="n"/>
      <c r="D132" s="29" t="n"/>
      <c r="E132" s="29" t="n"/>
      <c r="F132" s="29" t="n"/>
      <c r="G132" s="29" t="n"/>
      <c r="H132" s="30" t="n"/>
      <c r="I132" s="30" t="n"/>
      <c r="J132" s="19" t="n"/>
      <c r="K132" s="19" t="n"/>
      <c r="L132" s="26" t="n"/>
      <c r="M132" s="31">
        <f>IF($A132="","",IF($D132="","Not read",IF($Q132=0,"Not counted",IF(MAX($X132,$Y132)=3,"■ Red",IF(MAX($X132,$Y132)=2,"◧ Amber",IF(MAX($X132,$Y132)=1,"□ On track","Not read"))))))</f>
        <v/>
      </c>
      <c r="N132" s="31">
        <f>IF(OR($A132="",$B132&lt;&gt;"Program"),"","■ "&amp;COUNTIFS($C$6:$C$305,$A132,$M$6:$M$305,"■ Red")&amp;" Red, ◧ "&amp;COUNTIFS($C$6:$C$305,$A132,$M$6:$M$305,"◧ Amber")&amp;" Amber")</f>
        <v/>
      </c>
      <c r="O132" s="32">
        <f>IF(OR($A132="",$E132=""),"",COUNTIFS($E$6:$E$305,$E132,$D$6:$D$305,"Active")+COUNTIFS($E$6:$E$305,$E132,$D$6:$D$305,"Paused"))</f>
        <v/>
      </c>
      <c r="P132" s="31">
        <f>IF($A132="","",IF($AE132=0,"○ Clear",IF($AA132=1,"△ No owner",IF($AC132=1,"△ Check Sits under",IF($AC132=2,"△ Outside the portfolio",IF($AB132=1,"△ No sponsor","△ No variance note"))))&amp;IF($AE132&gt;1," (+"&amp;($AE132-1)&amp;" more)","")))</f>
        <v/>
      </c>
      <c r="Q132" s="31">
        <f>IF(AND($A132&lt;&gt;"",OR($D132="Active",$D132="Paused")),1,0)</f>
        <v/>
      </c>
      <c r="R132" s="31">
        <f>IFERROR(INDEX($A$6:$A$305,MATCH(125,$S$6:$S$305,0)),"")</f>
        <v/>
      </c>
      <c r="S132" s="31">
        <f>IF(AND($A132&lt;&gt;"",$B132="Program"),COUNTIFS($B$6:$B132,"Program",$A$6:$A132,"&lt;&gt;"),"")</f>
        <v/>
      </c>
      <c r="T132" s="33">
        <f>IF(AND($A132&lt;&gt;"",$B132="Program"),SUMPRODUCT(MAX(($C$6:$C$305=$A132)*($B$6:$B$305="Project")*($D$6:$D$305&lt;&gt;"Proposed")*$I$6:$I$305)),0)</f>
        <v/>
      </c>
      <c r="U132" s="33">
        <f>IF($I132&lt;&gt;"",$I132,IF($T132&gt;0,$T132,""))</f>
        <v/>
      </c>
      <c r="V132" s="31">
        <f>IF(AND($A132&lt;&gt;"",$B132="Program"),SUMIFS($J$6:$J$305,$C$6:$C$305,$A132,$B$6:$B$305,"Project",$D$6:$D$305,"&lt;&gt;Proposed"),0)</f>
        <v/>
      </c>
      <c r="W132" s="31">
        <f>IF(AND($A132&lt;&gt;"",$B132="Program"),COUNTIFS($C$6:$C$305,$A132,$B$6:$B$305,"Project",$D$6:$D$305,"&lt;&gt;Proposed")-COUNTIFS($C$6:$C$305,$A132,$B$6:$B$305,"Project",$D$6:$D$305,"&lt;&gt;Proposed",$J$6:$J$305,"&gt;=0"),0)</f>
        <v/>
      </c>
      <c r="X132" s="31">
        <f>IF(OR($Q132=0,$H132=""),0,IF(AND($B132="Project",$H132&lt;TODAY()),3,IF($U132="",0,IF($U132&lt;=$H132,1,IF(NETWORKDAYS($H132,$U132)-1&gt;IF($B132="Program",Portfolio!$B$16,Portfolio!$B$15),3,2)))))</f>
        <v/>
      </c>
      <c r="Y132" s="31">
        <f>IF(OR($Q132=0,$K132="",$K132=0),0,IF(AND($B132="Project",$J132=""),0,IF(IF($B132="Program",$V132,$J132)&gt;$K132*(1+Portfolio!$B$17),3,IF(IF($B132="Program",$V132,$J132)&gt;$K132,2,IF(AND($B132="Program",OR($W132&gt;0,$V132=0)),0,1)))))</f>
        <v/>
      </c>
      <c r="Z132" s="31">
        <f>IF($A132="",0,IF($C132="Portfolio",1,IF(AND($B132="Project",$C132&lt;&gt;"",$C132&lt;&gt;"Outside the portfolio"),IFERROR(IF(AND(INDEX($B$6:$B$305,MATCH($C132,$A$6:$A$305,0))="Program",INDEX($C$6:$C$305,MATCH($C132,$A$6:$A$305,0))="Portfolio"),1,0),0),0)))</f>
        <v/>
      </c>
      <c r="AA132" s="31">
        <f>IF(AND($A132&lt;&gt;"",$E132="",OR($Q132=1,$D132="Proposed")),1,0)</f>
        <v/>
      </c>
      <c r="AB132" s="31">
        <f>IF(AND($A132&lt;&gt;"",$B132="Program",$F132="",$Q132=1),1,0)</f>
        <v/>
      </c>
      <c r="AC132" s="31">
        <f>IF(OR($A132="",$D132="Completed",$D132="Terminated"),0,IF($C132="",1,IF($C132="Portfolio",0,IF($C132="Outside the portfolio",IF($Q132=1,2,0),IF($B132="Project",IF(IFERROR(INDEX($B$6:$B$305,MATCH($C132,$A$6:$A$305,0)),"")="Program",0,1),1)))))</f>
        <v/>
      </c>
      <c r="AD132" s="31">
        <f>IF(AND($A132&lt;&gt;"",OR($M132="■ Red",$M132="◧ Amber"),$L132=""),1,0)</f>
        <v/>
      </c>
      <c r="AE132" s="31">
        <f>$AA132+$AB132+IF($AC132&gt;0,1,0)+$AD132</f>
        <v/>
      </c>
      <c r="AJ132" s="14" t="n"/>
      <c r="AK132" s="29" t="n"/>
      <c r="AL132" s="31">
        <f>IF(AND($Q132=1,$Z132=1),1,0)</f>
        <v/>
      </c>
      <c r="AM132" s="31">
        <f>IF(AND($AL132=1,$AJ132&lt;&gt;""),MAX(0,TODAY()-$AJ132),"")</f>
        <v/>
      </c>
      <c r="AN132" s="31">
        <f>IF(OR($AL132=0,COUNT($AJ$6:$AJ$305)=0),0,IF($AJ132="",1,IF(TODAY()-$AJ132&gt;Board!$B$40,1,0)))</f>
        <v/>
      </c>
      <c r="AO132" s="31">
        <f>IF($AL132=0,0,IF($M132="■ Red",3,IF($M132="◧ Amber",2,IF($M132="□ On track",1,0))))</f>
        <v/>
      </c>
      <c r="AP132" s="31">
        <f>IF($AL132=0,0,IF($AK132="Will not hold",3,IF($AK132="At risk",2,IF($AK132="Will hold",1,0))))</f>
        <v/>
      </c>
      <c r="AQ132" s="31">
        <f>IF($AL132=0,"",IF($AO132=3,0,IF($AO132=2,1,IF(AND($AP132&gt;=2,$AP132&gt;$AO132),2,""))))</f>
        <v/>
      </c>
      <c r="AR132" s="31">
        <f>IF($AQ132="","",$AQ132*1000+132)</f>
        <v/>
      </c>
      <c r="AS132" s="31">
        <f>IF(AND($AL132=1,$AO132&gt;=2,$AP132&gt;=1,$AP132&lt;$AO132),1,0)</f>
        <v/>
      </c>
      <c r="AT132" s="31">
        <f>IF(AND($AL132=1,$AO132&gt;=2,$AP132=0),1,0)</f>
        <v/>
      </c>
      <c r="AU132" s="31">
        <f>IF(AND($AL132=1,$U132&lt;&gt;"",$U132&lt;TODAY()),1,0)</f>
        <v/>
      </c>
      <c r="AV132" s="31">
        <f>IF(OR($A132="",$AJ132="",Portfolio!$B$10=""),0,IF($AJ132&lt;=Portfolio!$B$10,0,IF(AND($D132="Completed",$Z132=1),1,IF(AND($D132="Terminated",$Z132=1),2,IF(AND($Q132=1,$Z132=0),3,0)))))</f>
        <v/>
      </c>
      <c r="AW132" s="31">
        <f>IF($AV132&gt;0,COUNTIF($AV$6:$AV132,"&gt;0"),"")</f>
        <v/>
      </c>
      <c r="AX132" s="31">
        <f>IF($AL132=0,"",IF(AND($B132="Project",$H132&lt;&gt;"",$H132&lt;TODAY()),"Planned finish "&amp;TEXT($H132,"d mmm")&amp;" has passed",IF($X132&gt;=2,(NETWORKDAYS($H132,$U132)-1)&amp;" working days past plan","")))</f>
        <v/>
      </c>
      <c r="AY132" s="31">
        <f>IF($AL132=0,"",IF($Y132&gt;=2,"Over budget by "&amp;TEXT(IF($B132="Program",$V132,$J132)-$K132,"#,##0"),""))</f>
        <v/>
      </c>
      <c r="AZ132" s="31">
        <f>IF(AND($AL132=1,$U132&lt;&gt;""),IF(AND(N($U132)&gt;=TODAY(),N($U132)&lt;=TODAY()+Board!$B$41),1,0),0)</f>
        <v/>
      </c>
    </row>
    <row r="133">
      <c r="A133" s="29" t="n"/>
      <c r="B133" s="29" t="n"/>
      <c r="C133" s="29" t="n"/>
      <c r="D133" s="29" t="n"/>
      <c r="E133" s="29" t="n"/>
      <c r="F133" s="29" t="n"/>
      <c r="G133" s="29" t="n"/>
      <c r="H133" s="30" t="n"/>
      <c r="I133" s="30" t="n"/>
      <c r="J133" s="19" t="n"/>
      <c r="K133" s="19" t="n"/>
      <c r="L133" s="26" t="n"/>
      <c r="M133" s="31">
        <f>IF($A133="","",IF($D133="","Not read",IF($Q133=0,"Not counted",IF(MAX($X133,$Y133)=3,"■ Red",IF(MAX($X133,$Y133)=2,"◧ Amber",IF(MAX($X133,$Y133)=1,"□ On track","Not read"))))))</f>
        <v/>
      </c>
      <c r="N133" s="31">
        <f>IF(OR($A133="",$B133&lt;&gt;"Program"),"","■ "&amp;COUNTIFS($C$6:$C$305,$A133,$M$6:$M$305,"■ Red")&amp;" Red, ◧ "&amp;COUNTIFS($C$6:$C$305,$A133,$M$6:$M$305,"◧ Amber")&amp;" Amber")</f>
        <v/>
      </c>
      <c r="O133" s="32">
        <f>IF(OR($A133="",$E133=""),"",COUNTIFS($E$6:$E$305,$E133,$D$6:$D$305,"Active")+COUNTIFS($E$6:$E$305,$E133,$D$6:$D$305,"Paused"))</f>
        <v/>
      </c>
      <c r="P133" s="31">
        <f>IF($A133="","",IF($AE133=0,"○ Clear",IF($AA133=1,"△ No owner",IF($AC133=1,"△ Check Sits under",IF($AC133=2,"△ Outside the portfolio",IF($AB133=1,"△ No sponsor","△ No variance note"))))&amp;IF($AE133&gt;1," (+"&amp;($AE133-1)&amp;" more)","")))</f>
        <v/>
      </c>
      <c r="Q133" s="31">
        <f>IF(AND($A133&lt;&gt;"",OR($D133="Active",$D133="Paused")),1,0)</f>
        <v/>
      </c>
      <c r="R133" s="31">
        <f>IFERROR(INDEX($A$6:$A$305,MATCH(126,$S$6:$S$305,0)),"")</f>
        <v/>
      </c>
      <c r="S133" s="31">
        <f>IF(AND($A133&lt;&gt;"",$B133="Program"),COUNTIFS($B$6:$B133,"Program",$A$6:$A133,"&lt;&gt;"),"")</f>
        <v/>
      </c>
      <c r="T133" s="33">
        <f>IF(AND($A133&lt;&gt;"",$B133="Program"),SUMPRODUCT(MAX(($C$6:$C$305=$A133)*($B$6:$B$305="Project")*($D$6:$D$305&lt;&gt;"Proposed")*$I$6:$I$305)),0)</f>
        <v/>
      </c>
      <c r="U133" s="33">
        <f>IF($I133&lt;&gt;"",$I133,IF($T133&gt;0,$T133,""))</f>
        <v/>
      </c>
      <c r="V133" s="31">
        <f>IF(AND($A133&lt;&gt;"",$B133="Program"),SUMIFS($J$6:$J$305,$C$6:$C$305,$A133,$B$6:$B$305,"Project",$D$6:$D$305,"&lt;&gt;Proposed"),0)</f>
        <v/>
      </c>
      <c r="W133" s="31">
        <f>IF(AND($A133&lt;&gt;"",$B133="Program"),COUNTIFS($C$6:$C$305,$A133,$B$6:$B$305,"Project",$D$6:$D$305,"&lt;&gt;Proposed")-COUNTIFS($C$6:$C$305,$A133,$B$6:$B$305,"Project",$D$6:$D$305,"&lt;&gt;Proposed",$J$6:$J$305,"&gt;=0"),0)</f>
        <v/>
      </c>
      <c r="X133" s="31">
        <f>IF(OR($Q133=0,$H133=""),0,IF(AND($B133="Project",$H133&lt;TODAY()),3,IF($U133="",0,IF($U133&lt;=$H133,1,IF(NETWORKDAYS($H133,$U133)-1&gt;IF($B133="Program",Portfolio!$B$16,Portfolio!$B$15),3,2)))))</f>
        <v/>
      </c>
      <c r="Y133" s="31">
        <f>IF(OR($Q133=0,$K133="",$K133=0),0,IF(AND($B133="Project",$J133=""),0,IF(IF($B133="Program",$V133,$J133)&gt;$K133*(1+Portfolio!$B$17),3,IF(IF($B133="Program",$V133,$J133)&gt;$K133,2,IF(AND($B133="Program",OR($W133&gt;0,$V133=0)),0,1)))))</f>
        <v/>
      </c>
      <c r="Z133" s="31">
        <f>IF($A133="",0,IF($C133="Portfolio",1,IF(AND($B133="Project",$C133&lt;&gt;"",$C133&lt;&gt;"Outside the portfolio"),IFERROR(IF(AND(INDEX($B$6:$B$305,MATCH($C133,$A$6:$A$305,0))="Program",INDEX($C$6:$C$305,MATCH($C133,$A$6:$A$305,0))="Portfolio"),1,0),0),0)))</f>
        <v/>
      </c>
      <c r="AA133" s="31">
        <f>IF(AND($A133&lt;&gt;"",$E133="",OR($Q133=1,$D133="Proposed")),1,0)</f>
        <v/>
      </c>
      <c r="AB133" s="31">
        <f>IF(AND($A133&lt;&gt;"",$B133="Program",$F133="",$Q133=1),1,0)</f>
        <v/>
      </c>
      <c r="AC133" s="31">
        <f>IF(OR($A133="",$D133="Completed",$D133="Terminated"),0,IF($C133="",1,IF($C133="Portfolio",0,IF($C133="Outside the portfolio",IF($Q133=1,2,0),IF($B133="Project",IF(IFERROR(INDEX($B$6:$B$305,MATCH($C133,$A$6:$A$305,0)),"")="Program",0,1),1)))))</f>
        <v/>
      </c>
      <c r="AD133" s="31">
        <f>IF(AND($A133&lt;&gt;"",OR($M133="■ Red",$M133="◧ Amber"),$L133=""),1,0)</f>
        <v/>
      </c>
      <c r="AE133" s="31">
        <f>$AA133+$AB133+IF($AC133&gt;0,1,0)+$AD133</f>
        <v/>
      </c>
      <c r="AJ133" s="14" t="n"/>
      <c r="AK133" s="29" t="n"/>
      <c r="AL133" s="31">
        <f>IF(AND($Q133=1,$Z133=1),1,0)</f>
        <v/>
      </c>
      <c r="AM133" s="31">
        <f>IF(AND($AL133=1,$AJ133&lt;&gt;""),MAX(0,TODAY()-$AJ133),"")</f>
        <v/>
      </c>
      <c r="AN133" s="31">
        <f>IF(OR($AL133=0,COUNT($AJ$6:$AJ$305)=0),0,IF($AJ133="",1,IF(TODAY()-$AJ133&gt;Board!$B$40,1,0)))</f>
        <v/>
      </c>
      <c r="AO133" s="31">
        <f>IF($AL133=0,0,IF($M133="■ Red",3,IF($M133="◧ Amber",2,IF($M133="□ On track",1,0))))</f>
        <v/>
      </c>
      <c r="AP133" s="31">
        <f>IF($AL133=0,0,IF($AK133="Will not hold",3,IF($AK133="At risk",2,IF($AK133="Will hold",1,0))))</f>
        <v/>
      </c>
      <c r="AQ133" s="31">
        <f>IF($AL133=0,"",IF($AO133=3,0,IF($AO133=2,1,IF(AND($AP133&gt;=2,$AP133&gt;$AO133),2,""))))</f>
        <v/>
      </c>
      <c r="AR133" s="31">
        <f>IF($AQ133="","",$AQ133*1000+133)</f>
        <v/>
      </c>
      <c r="AS133" s="31">
        <f>IF(AND($AL133=1,$AO133&gt;=2,$AP133&gt;=1,$AP133&lt;$AO133),1,0)</f>
        <v/>
      </c>
      <c r="AT133" s="31">
        <f>IF(AND($AL133=1,$AO133&gt;=2,$AP133=0),1,0)</f>
        <v/>
      </c>
      <c r="AU133" s="31">
        <f>IF(AND($AL133=1,$U133&lt;&gt;"",$U133&lt;TODAY()),1,0)</f>
        <v/>
      </c>
      <c r="AV133" s="31">
        <f>IF(OR($A133="",$AJ133="",Portfolio!$B$10=""),0,IF($AJ133&lt;=Portfolio!$B$10,0,IF(AND($D133="Completed",$Z133=1),1,IF(AND($D133="Terminated",$Z133=1),2,IF(AND($Q133=1,$Z133=0),3,0)))))</f>
        <v/>
      </c>
      <c r="AW133" s="31">
        <f>IF($AV133&gt;0,COUNTIF($AV$6:$AV133,"&gt;0"),"")</f>
        <v/>
      </c>
      <c r="AX133" s="31">
        <f>IF($AL133=0,"",IF(AND($B133="Project",$H133&lt;&gt;"",$H133&lt;TODAY()),"Planned finish "&amp;TEXT($H133,"d mmm")&amp;" has passed",IF($X133&gt;=2,(NETWORKDAYS($H133,$U133)-1)&amp;" working days past plan","")))</f>
        <v/>
      </c>
      <c r="AY133" s="31">
        <f>IF($AL133=0,"",IF($Y133&gt;=2,"Over budget by "&amp;TEXT(IF($B133="Program",$V133,$J133)-$K133,"#,##0"),""))</f>
        <v/>
      </c>
      <c r="AZ133" s="31">
        <f>IF(AND($AL133=1,$U133&lt;&gt;""),IF(AND(N($U133)&gt;=TODAY(),N($U133)&lt;=TODAY()+Board!$B$41),1,0),0)</f>
        <v/>
      </c>
    </row>
    <row r="134">
      <c r="A134" s="29" t="n"/>
      <c r="B134" s="29" t="n"/>
      <c r="C134" s="29" t="n"/>
      <c r="D134" s="29" t="n"/>
      <c r="E134" s="29" t="n"/>
      <c r="F134" s="29" t="n"/>
      <c r="G134" s="29" t="n"/>
      <c r="H134" s="30" t="n"/>
      <c r="I134" s="30" t="n"/>
      <c r="J134" s="19" t="n"/>
      <c r="K134" s="19" t="n"/>
      <c r="L134" s="26" t="n"/>
      <c r="M134" s="31">
        <f>IF($A134="","",IF($D134="","Not read",IF($Q134=0,"Not counted",IF(MAX($X134,$Y134)=3,"■ Red",IF(MAX($X134,$Y134)=2,"◧ Amber",IF(MAX($X134,$Y134)=1,"□ On track","Not read"))))))</f>
        <v/>
      </c>
      <c r="N134" s="31">
        <f>IF(OR($A134="",$B134&lt;&gt;"Program"),"","■ "&amp;COUNTIFS($C$6:$C$305,$A134,$M$6:$M$305,"■ Red")&amp;" Red, ◧ "&amp;COUNTIFS($C$6:$C$305,$A134,$M$6:$M$305,"◧ Amber")&amp;" Amber")</f>
        <v/>
      </c>
      <c r="O134" s="32">
        <f>IF(OR($A134="",$E134=""),"",COUNTIFS($E$6:$E$305,$E134,$D$6:$D$305,"Active")+COUNTIFS($E$6:$E$305,$E134,$D$6:$D$305,"Paused"))</f>
        <v/>
      </c>
      <c r="P134" s="31">
        <f>IF($A134="","",IF($AE134=0,"○ Clear",IF($AA134=1,"△ No owner",IF($AC134=1,"△ Check Sits under",IF($AC134=2,"△ Outside the portfolio",IF($AB134=1,"△ No sponsor","△ No variance note"))))&amp;IF($AE134&gt;1," (+"&amp;($AE134-1)&amp;" more)","")))</f>
        <v/>
      </c>
      <c r="Q134" s="31">
        <f>IF(AND($A134&lt;&gt;"",OR($D134="Active",$D134="Paused")),1,0)</f>
        <v/>
      </c>
      <c r="R134" s="31">
        <f>IFERROR(INDEX($A$6:$A$305,MATCH(127,$S$6:$S$305,0)),"")</f>
        <v/>
      </c>
      <c r="S134" s="31">
        <f>IF(AND($A134&lt;&gt;"",$B134="Program"),COUNTIFS($B$6:$B134,"Program",$A$6:$A134,"&lt;&gt;"),"")</f>
        <v/>
      </c>
      <c r="T134" s="33">
        <f>IF(AND($A134&lt;&gt;"",$B134="Program"),SUMPRODUCT(MAX(($C$6:$C$305=$A134)*($B$6:$B$305="Project")*($D$6:$D$305&lt;&gt;"Proposed")*$I$6:$I$305)),0)</f>
        <v/>
      </c>
      <c r="U134" s="33">
        <f>IF($I134&lt;&gt;"",$I134,IF($T134&gt;0,$T134,""))</f>
        <v/>
      </c>
      <c r="V134" s="31">
        <f>IF(AND($A134&lt;&gt;"",$B134="Program"),SUMIFS($J$6:$J$305,$C$6:$C$305,$A134,$B$6:$B$305,"Project",$D$6:$D$305,"&lt;&gt;Proposed"),0)</f>
        <v/>
      </c>
      <c r="W134" s="31">
        <f>IF(AND($A134&lt;&gt;"",$B134="Program"),COUNTIFS($C$6:$C$305,$A134,$B$6:$B$305,"Project",$D$6:$D$305,"&lt;&gt;Proposed")-COUNTIFS($C$6:$C$305,$A134,$B$6:$B$305,"Project",$D$6:$D$305,"&lt;&gt;Proposed",$J$6:$J$305,"&gt;=0"),0)</f>
        <v/>
      </c>
      <c r="X134" s="31">
        <f>IF(OR($Q134=0,$H134=""),0,IF(AND($B134="Project",$H134&lt;TODAY()),3,IF($U134="",0,IF($U134&lt;=$H134,1,IF(NETWORKDAYS($H134,$U134)-1&gt;IF($B134="Program",Portfolio!$B$16,Portfolio!$B$15),3,2)))))</f>
        <v/>
      </c>
      <c r="Y134" s="31">
        <f>IF(OR($Q134=0,$K134="",$K134=0),0,IF(AND($B134="Project",$J134=""),0,IF(IF($B134="Program",$V134,$J134)&gt;$K134*(1+Portfolio!$B$17),3,IF(IF($B134="Program",$V134,$J134)&gt;$K134,2,IF(AND($B134="Program",OR($W134&gt;0,$V134=0)),0,1)))))</f>
        <v/>
      </c>
      <c r="Z134" s="31">
        <f>IF($A134="",0,IF($C134="Portfolio",1,IF(AND($B134="Project",$C134&lt;&gt;"",$C134&lt;&gt;"Outside the portfolio"),IFERROR(IF(AND(INDEX($B$6:$B$305,MATCH($C134,$A$6:$A$305,0))="Program",INDEX($C$6:$C$305,MATCH($C134,$A$6:$A$305,0))="Portfolio"),1,0),0),0)))</f>
        <v/>
      </c>
      <c r="AA134" s="31">
        <f>IF(AND($A134&lt;&gt;"",$E134="",OR($Q134=1,$D134="Proposed")),1,0)</f>
        <v/>
      </c>
      <c r="AB134" s="31">
        <f>IF(AND($A134&lt;&gt;"",$B134="Program",$F134="",$Q134=1),1,0)</f>
        <v/>
      </c>
      <c r="AC134" s="31">
        <f>IF(OR($A134="",$D134="Completed",$D134="Terminated"),0,IF($C134="",1,IF($C134="Portfolio",0,IF($C134="Outside the portfolio",IF($Q134=1,2,0),IF($B134="Project",IF(IFERROR(INDEX($B$6:$B$305,MATCH($C134,$A$6:$A$305,0)),"")="Program",0,1),1)))))</f>
        <v/>
      </c>
      <c r="AD134" s="31">
        <f>IF(AND($A134&lt;&gt;"",OR($M134="■ Red",$M134="◧ Amber"),$L134=""),1,0)</f>
        <v/>
      </c>
      <c r="AE134" s="31">
        <f>$AA134+$AB134+IF($AC134&gt;0,1,0)+$AD134</f>
        <v/>
      </c>
      <c r="AJ134" s="14" t="n"/>
      <c r="AK134" s="29" t="n"/>
      <c r="AL134" s="31">
        <f>IF(AND($Q134=1,$Z134=1),1,0)</f>
        <v/>
      </c>
      <c r="AM134" s="31">
        <f>IF(AND($AL134=1,$AJ134&lt;&gt;""),MAX(0,TODAY()-$AJ134),"")</f>
        <v/>
      </c>
      <c r="AN134" s="31">
        <f>IF(OR($AL134=0,COUNT($AJ$6:$AJ$305)=0),0,IF($AJ134="",1,IF(TODAY()-$AJ134&gt;Board!$B$40,1,0)))</f>
        <v/>
      </c>
      <c r="AO134" s="31">
        <f>IF($AL134=0,0,IF($M134="■ Red",3,IF($M134="◧ Amber",2,IF($M134="□ On track",1,0))))</f>
        <v/>
      </c>
      <c r="AP134" s="31">
        <f>IF($AL134=0,0,IF($AK134="Will not hold",3,IF($AK134="At risk",2,IF($AK134="Will hold",1,0))))</f>
        <v/>
      </c>
      <c r="AQ134" s="31">
        <f>IF($AL134=0,"",IF($AO134=3,0,IF($AO134=2,1,IF(AND($AP134&gt;=2,$AP134&gt;$AO134),2,""))))</f>
        <v/>
      </c>
      <c r="AR134" s="31">
        <f>IF($AQ134="","",$AQ134*1000+134)</f>
        <v/>
      </c>
      <c r="AS134" s="31">
        <f>IF(AND($AL134=1,$AO134&gt;=2,$AP134&gt;=1,$AP134&lt;$AO134),1,0)</f>
        <v/>
      </c>
      <c r="AT134" s="31">
        <f>IF(AND($AL134=1,$AO134&gt;=2,$AP134=0),1,0)</f>
        <v/>
      </c>
      <c r="AU134" s="31">
        <f>IF(AND($AL134=1,$U134&lt;&gt;"",$U134&lt;TODAY()),1,0)</f>
        <v/>
      </c>
      <c r="AV134" s="31">
        <f>IF(OR($A134="",$AJ134="",Portfolio!$B$10=""),0,IF($AJ134&lt;=Portfolio!$B$10,0,IF(AND($D134="Completed",$Z134=1),1,IF(AND($D134="Terminated",$Z134=1),2,IF(AND($Q134=1,$Z134=0),3,0)))))</f>
        <v/>
      </c>
      <c r="AW134" s="31">
        <f>IF($AV134&gt;0,COUNTIF($AV$6:$AV134,"&gt;0"),"")</f>
        <v/>
      </c>
      <c r="AX134" s="31">
        <f>IF($AL134=0,"",IF(AND($B134="Project",$H134&lt;&gt;"",$H134&lt;TODAY()),"Planned finish "&amp;TEXT($H134,"d mmm")&amp;" has passed",IF($X134&gt;=2,(NETWORKDAYS($H134,$U134)-1)&amp;" working days past plan","")))</f>
        <v/>
      </c>
      <c r="AY134" s="31">
        <f>IF($AL134=0,"",IF($Y134&gt;=2,"Over budget by "&amp;TEXT(IF($B134="Program",$V134,$J134)-$K134,"#,##0"),""))</f>
        <v/>
      </c>
      <c r="AZ134" s="31">
        <f>IF(AND($AL134=1,$U134&lt;&gt;""),IF(AND(N($U134)&gt;=TODAY(),N($U134)&lt;=TODAY()+Board!$B$41),1,0),0)</f>
        <v/>
      </c>
    </row>
    <row r="135">
      <c r="A135" s="29" t="n"/>
      <c r="B135" s="29" t="n"/>
      <c r="C135" s="29" t="n"/>
      <c r="D135" s="29" t="n"/>
      <c r="E135" s="29" t="n"/>
      <c r="F135" s="29" t="n"/>
      <c r="G135" s="29" t="n"/>
      <c r="H135" s="30" t="n"/>
      <c r="I135" s="30" t="n"/>
      <c r="J135" s="19" t="n"/>
      <c r="K135" s="19" t="n"/>
      <c r="L135" s="26" t="n"/>
      <c r="M135" s="31">
        <f>IF($A135="","",IF($D135="","Not read",IF($Q135=0,"Not counted",IF(MAX($X135,$Y135)=3,"■ Red",IF(MAX($X135,$Y135)=2,"◧ Amber",IF(MAX($X135,$Y135)=1,"□ On track","Not read"))))))</f>
        <v/>
      </c>
      <c r="N135" s="31">
        <f>IF(OR($A135="",$B135&lt;&gt;"Program"),"","■ "&amp;COUNTIFS($C$6:$C$305,$A135,$M$6:$M$305,"■ Red")&amp;" Red, ◧ "&amp;COUNTIFS($C$6:$C$305,$A135,$M$6:$M$305,"◧ Amber")&amp;" Amber")</f>
        <v/>
      </c>
      <c r="O135" s="32">
        <f>IF(OR($A135="",$E135=""),"",COUNTIFS($E$6:$E$305,$E135,$D$6:$D$305,"Active")+COUNTIFS($E$6:$E$305,$E135,$D$6:$D$305,"Paused"))</f>
        <v/>
      </c>
      <c r="P135" s="31">
        <f>IF($A135="","",IF($AE135=0,"○ Clear",IF($AA135=1,"△ No owner",IF($AC135=1,"△ Check Sits under",IF($AC135=2,"△ Outside the portfolio",IF($AB135=1,"△ No sponsor","△ No variance note"))))&amp;IF($AE135&gt;1," (+"&amp;($AE135-1)&amp;" more)","")))</f>
        <v/>
      </c>
      <c r="Q135" s="31">
        <f>IF(AND($A135&lt;&gt;"",OR($D135="Active",$D135="Paused")),1,0)</f>
        <v/>
      </c>
      <c r="R135" s="31">
        <f>IFERROR(INDEX($A$6:$A$305,MATCH(128,$S$6:$S$305,0)),"")</f>
        <v/>
      </c>
      <c r="S135" s="31">
        <f>IF(AND($A135&lt;&gt;"",$B135="Program"),COUNTIFS($B$6:$B135,"Program",$A$6:$A135,"&lt;&gt;"),"")</f>
        <v/>
      </c>
      <c r="T135" s="33">
        <f>IF(AND($A135&lt;&gt;"",$B135="Program"),SUMPRODUCT(MAX(($C$6:$C$305=$A135)*($B$6:$B$305="Project")*($D$6:$D$305&lt;&gt;"Proposed")*$I$6:$I$305)),0)</f>
        <v/>
      </c>
      <c r="U135" s="33">
        <f>IF($I135&lt;&gt;"",$I135,IF($T135&gt;0,$T135,""))</f>
        <v/>
      </c>
      <c r="V135" s="31">
        <f>IF(AND($A135&lt;&gt;"",$B135="Program"),SUMIFS($J$6:$J$305,$C$6:$C$305,$A135,$B$6:$B$305,"Project",$D$6:$D$305,"&lt;&gt;Proposed"),0)</f>
        <v/>
      </c>
      <c r="W135" s="31">
        <f>IF(AND($A135&lt;&gt;"",$B135="Program"),COUNTIFS($C$6:$C$305,$A135,$B$6:$B$305,"Project",$D$6:$D$305,"&lt;&gt;Proposed")-COUNTIFS($C$6:$C$305,$A135,$B$6:$B$305,"Project",$D$6:$D$305,"&lt;&gt;Proposed",$J$6:$J$305,"&gt;=0"),0)</f>
        <v/>
      </c>
      <c r="X135" s="31">
        <f>IF(OR($Q135=0,$H135=""),0,IF(AND($B135="Project",$H135&lt;TODAY()),3,IF($U135="",0,IF($U135&lt;=$H135,1,IF(NETWORKDAYS($H135,$U135)-1&gt;IF($B135="Program",Portfolio!$B$16,Portfolio!$B$15),3,2)))))</f>
        <v/>
      </c>
      <c r="Y135" s="31">
        <f>IF(OR($Q135=0,$K135="",$K135=0),0,IF(AND($B135="Project",$J135=""),0,IF(IF($B135="Program",$V135,$J135)&gt;$K135*(1+Portfolio!$B$17),3,IF(IF($B135="Program",$V135,$J135)&gt;$K135,2,IF(AND($B135="Program",OR($W135&gt;0,$V135=0)),0,1)))))</f>
        <v/>
      </c>
      <c r="Z135" s="31">
        <f>IF($A135="",0,IF($C135="Portfolio",1,IF(AND($B135="Project",$C135&lt;&gt;"",$C135&lt;&gt;"Outside the portfolio"),IFERROR(IF(AND(INDEX($B$6:$B$305,MATCH($C135,$A$6:$A$305,0))="Program",INDEX($C$6:$C$305,MATCH($C135,$A$6:$A$305,0))="Portfolio"),1,0),0),0)))</f>
        <v/>
      </c>
      <c r="AA135" s="31">
        <f>IF(AND($A135&lt;&gt;"",$E135="",OR($Q135=1,$D135="Proposed")),1,0)</f>
        <v/>
      </c>
      <c r="AB135" s="31">
        <f>IF(AND($A135&lt;&gt;"",$B135="Program",$F135="",$Q135=1),1,0)</f>
        <v/>
      </c>
      <c r="AC135" s="31">
        <f>IF(OR($A135="",$D135="Completed",$D135="Terminated"),0,IF($C135="",1,IF($C135="Portfolio",0,IF($C135="Outside the portfolio",IF($Q135=1,2,0),IF($B135="Project",IF(IFERROR(INDEX($B$6:$B$305,MATCH($C135,$A$6:$A$305,0)),"")="Program",0,1),1)))))</f>
        <v/>
      </c>
      <c r="AD135" s="31">
        <f>IF(AND($A135&lt;&gt;"",OR($M135="■ Red",$M135="◧ Amber"),$L135=""),1,0)</f>
        <v/>
      </c>
      <c r="AE135" s="31">
        <f>$AA135+$AB135+IF($AC135&gt;0,1,0)+$AD135</f>
        <v/>
      </c>
      <c r="AJ135" s="14" t="n"/>
      <c r="AK135" s="29" t="n"/>
      <c r="AL135" s="31">
        <f>IF(AND($Q135=1,$Z135=1),1,0)</f>
        <v/>
      </c>
      <c r="AM135" s="31">
        <f>IF(AND($AL135=1,$AJ135&lt;&gt;""),MAX(0,TODAY()-$AJ135),"")</f>
        <v/>
      </c>
      <c r="AN135" s="31">
        <f>IF(OR($AL135=0,COUNT($AJ$6:$AJ$305)=0),0,IF($AJ135="",1,IF(TODAY()-$AJ135&gt;Board!$B$40,1,0)))</f>
        <v/>
      </c>
      <c r="AO135" s="31">
        <f>IF($AL135=0,0,IF($M135="■ Red",3,IF($M135="◧ Amber",2,IF($M135="□ On track",1,0))))</f>
        <v/>
      </c>
      <c r="AP135" s="31">
        <f>IF($AL135=0,0,IF($AK135="Will not hold",3,IF($AK135="At risk",2,IF($AK135="Will hold",1,0))))</f>
        <v/>
      </c>
      <c r="AQ135" s="31">
        <f>IF($AL135=0,"",IF($AO135=3,0,IF($AO135=2,1,IF(AND($AP135&gt;=2,$AP135&gt;$AO135),2,""))))</f>
        <v/>
      </c>
      <c r="AR135" s="31">
        <f>IF($AQ135="","",$AQ135*1000+135)</f>
        <v/>
      </c>
      <c r="AS135" s="31">
        <f>IF(AND($AL135=1,$AO135&gt;=2,$AP135&gt;=1,$AP135&lt;$AO135),1,0)</f>
        <v/>
      </c>
      <c r="AT135" s="31">
        <f>IF(AND($AL135=1,$AO135&gt;=2,$AP135=0),1,0)</f>
        <v/>
      </c>
      <c r="AU135" s="31">
        <f>IF(AND($AL135=1,$U135&lt;&gt;"",$U135&lt;TODAY()),1,0)</f>
        <v/>
      </c>
      <c r="AV135" s="31">
        <f>IF(OR($A135="",$AJ135="",Portfolio!$B$10=""),0,IF($AJ135&lt;=Portfolio!$B$10,0,IF(AND($D135="Completed",$Z135=1),1,IF(AND($D135="Terminated",$Z135=1),2,IF(AND($Q135=1,$Z135=0),3,0)))))</f>
        <v/>
      </c>
      <c r="AW135" s="31">
        <f>IF($AV135&gt;0,COUNTIF($AV$6:$AV135,"&gt;0"),"")</f>
        <v/>
      </c>
      <c r="AX135" s="31">
        <f>IF($AL135=0,"",IF(AND($B135="Project",$H135&lt;&gt;"",$H135&lt;TODAY()),"Planned finish "&amp;TEXT($H135,"d mmm")&amp;" has passed",IF($X135&gt;=2,(NETWORKDAYS($H135,$U135)-1)&amp;" working days past plan","")))</f>
        <v/>
      </c>
      <c r="AY135" s="31">
        <f>IF($AL135=0,"",IF($Y135&gt;=2,"Over budget by "&amp;TEXT(IF($B135="Program",$V135,$J135)-$K135,"#,##0"),""))</f>
        <v/>
      </c>
      <c r="AZ135" s="31">
        <f>IF(AND($AL135=1,$U135&lt;&gt;""),IF(AND(N($U135)&gt;=TODAY(),N($U135)&lt;=TODAY()+Board!$B$41),1,0),0)</f>
        <v/>
      </c>
    </row>
    <row r="136">
      <c r="A136" s="29" t="n"/>
      <c r="B136" s="29" t="n"/>
      <c r="C136" s="29" t="n"/>
      <c r="D136" s="29" t="n"/>
      <c r="E136" s="29" t="n"/>
      <c r="F136" s="29" t="n"/>
      <c r="G136" s="29" t="n"/>
      <c r="H136" s="30" t="n"/>
      <c r="I136" s="30" t="n"/>
      <c r="J136" s="19" t="n"/>
      <c r="K136" s="19" t="n"/>
      <c r="L136" s="26" t="n"/>
      <c r="M136" s="31">
        <f>IF($A136="","",IF($D136="","Not read",IF($Q136=0,"Not counted",IF(MAX($X136,$Y136)=3,"■ Red",IF(MAX($X136,$Y136)=2,"◧ Amber",IF(MAX($X136,$Y136)=1,"□ On track","Not read"))))))</f>
        <v/>
      </c>
      <c r="N136" s="31">
        <f>IF(OR($A136="",$B136&lt;&gt;"Program"),"","■ "&amp;COUNTIFS($C$6:$C$305,$A136,$M$6:$M$305,"■ Red")&amp;" Red, ◧ "&amp;COUNTIFS($C$6:$C$305,$A136,$M$6:$M$305,"◧ Amber")&amp;" Amber")</f>
        <v/>
      </c>
      <c r="O136" s="32">
        <f>IF(OR($A136="",$E136=""),"",COUNTIFS($E$6:$E$305,$E136,$D$6:$D$305,"Active")+COUNTIFS($E$6:$E$305,$E136,$D$6:$D$305,"Paused"))</f>
        <v/>
      </c>
      <c r="P136" s="31">
        <f>IF($A136="","",IF($AE136=0,"○ Clear",IF($AA136=1,"△ No owner",IF($AC136=1,"△ Check Sits under",IF($AC136=2,"△ Outside the portfolio",IF($AB136=1,"△ No sponsor","△ No variance note"))))&amp;IF($AE136&gt;1," (+"&amp;($AE136-1)&amp;" more)","")))</f>
        <v/>
      </c>
      <c r="Q136" s="31">
        <f>IF(AND($A136&lt;&gt;"",OR($D136="Active",$D136="Paused")),1,0)</f>
        <v/>
      </c>
      <c r="R136" s="31">
        <f>IFERROR(INDEX($A$6:$A$305,MATCH(129,$S$6:$S$305,0)),"")</f>
        <v/>
      </c>
      <c r="S136" s="31">
        <f>IF(AND($A136&lt;&gt;"",$B136="Program"),COUNTIFS($B$6:$B136,"Program",$A$6:$A136,"&lt;&gt;"),"")</f>
        <v/>
      </c>
      <c r="T136" s="33">
        <f>IF(AND($A136&lt;&gt;"",$B136="Program"),SUMPRODUCT(MAX(($C$6:$C$305=$A136)*($B$6:$B$305="Project")*($D$6:$D$305&lt;&gt;"Proposed")*$I$6:$I$305)),0)</f>
        <v/>
      </c>
      <c r="U136" s="33">
        <f>IF($I136&lt;&gt;"",$I136,IF($T136&gt;0,$T136,""))</f>
        <v/>
      </c>
      <c r="V136" s="31">
        <f>IF(AND($A136&lt;&gt;"",$B136="Program"),SUMIFS($J$6:$J$305,$C$6:$C$305,$A136,$B$6:$B$305,"Project",$D$6:$D$305,"&lt;&gt;Proposed"),0)</f>
        <v/>
      </c>
      <c r="W136" s="31">
        <f>IF(AND($A136&lt;&gt;"",$B136="Program"),COUNTIFS($C$6:$C$305,$A136,$B$6:$B$305,"Project",$D$6:$D$305,"&lt;&gt;Proposed")-COUNTIFS($C$6:$C$305,$A136,$B$6:$B$305,"Project",$D$6:$D$305,"&lt;&gt;Proposed",$J$6:$J$305,"&gt;=0"),0)</f>
        <v/>
      </c>
      <c r="X136" s="31">
        <f>IF(OR($Q136=0,$H136=""),0,IF(AND($B136="Project",$H136&lt;TODAY()),3,IF($U136="",0,IF($U136&lt;=$H136,1,IF(NETWORKDAYS($H136,$U136)-1&gt;IF($B136="Program",Portfolio!$B$16,Portfolio!$B$15),3,2)))))</f>
        <v/>
      </c>
      <c r="Y136" s="31">
        <f>IF(OR($Q136=0,$K136="",$K136=0),0,IF(AND($B136="Project",$J136=""),0,IF(IF($B136="Program",$V136,$J136)&gt;$K136*(1+Portfolio!$B$17),3,IF(IF($B136="Program",$V136,$J136)&gt;$K136,2,IF(AND($B136="Program",OR($W136&gt;0,$V136=0)),0,1)))))</f>
        <v/>
      </c>
      <c r="Z136" s="31">
        <f>IF($A136="",0,IF($C136="Portfolio",1,IF(AND($B136="Project",$C136&lt;&gt;"",$C136&lt;&gt;"Outside the portfolio"),IFERROR(IF(AND(INDEX($B$6:$B$305,MATCH($C136,$A$6:$A$305,0))="Program",INDEX($C$6:$C$305,MATCH($C136,$A$6:$A$305,0))="Portfolio"),1,0),0),0)))</f>
        <v/>
      </c>
      <c r="AA136" s="31">
        <f>IF(AND($A136&lt;&gt;"",$E136="",OR($Q136=1,$D136="Proposed")),1,0)</f>
        <v/>
      </c>
      <c r="AB136" s="31">
        <f>IF(AND($A136&lt;&gt;"",$B136="Program",$F136="",$Q136=1),1,0)</f>
        <v/>
      </c>
      <c r="AC136" s="31">
        <f>IF(OR($A136="",$D136="Completed",$D136="Terminated"),0,IF($C136="",1,IF($C136="Portfolio",0,IF($C136="Outside the portfolio",IF($Q136=1,2,0),IF($B136="Project",IF(IFERROR(INDEX($B$6:$B$305,MATCH($C136,$A$6:$A$305,0)),"")="Program",0,1),1)))))</f>
        <v/>
      </c>
      <c r="AD136" s="31">
        <f>IF(AND($A136&lt;&gt;"",OR($M136="■ Red",$M136="◧ Amber"),$L136=""),1,0)</f>
        <v/>
      </c>
      <c r="AE136" s="31">
        <f>$AA136+$AB136+IF($AC136&gt;0,1,0)+$AD136</f>
        <v/>
      </c>
      <c r="AJ136" s="14" t="n"/>
      <c r="AK136" s="29" t="n"/>
      <c r="AL136" s="31">
        <f>IF(AND($Q136=1,$Z136=1),1,0)</f>
        <v/>
      </c>
      <c r="AM136" s="31">
        <f>IF(AND($AL136=1,$AJ136&lt;&gt;""),MAX(0,TODAY()-$AJ136),"")</f>
        <v/>
      </c>
      <c r="AN136" s="31">
        <f>IF(OR($AL136=0,COUNT($AJ$6:$AJ$305)=0),0,IF($AJ136="",1,IF(TODAY()-$AJ136&gt;Board!$B$40,1,0)))</f>
        <v/>
      </c>
      <c r="AO136" s="31">
        <f>IF($AL136=0,0,IF($M136="■ Red",3,IF($M136="◧ Amber",2,IF($M136="□ On track",1,0))))</f>
        <v/>
      </c>
      <c r="AP136" s="31">
        <f>IF($AL136=0,0,IF($AK136="Will not hold",3,IF($AK136="At risk",2,IF($AK136="Will hold",1,0))))</f>
        <v/>
      </c>
      <c r="AQ136" s="31">
        <f>IF($AL136=0,"",IF($AO136=3,0,IF($AO136=2,1,IF(AND($AP136&gt;=2,$AP136&gt;$AO136),2,""))))</f>
        <v/>
      </c>
      <c r="AR136" s="31">
        <f>IF($AQ136="","",$AQ136*1000+136)</f>
        <v/>
      </c>
      <c r="AS136" s="31">
        <f>IF(AND($AL136=1,$AO136&gt;=2,$AP136&gt;=1,$AP136&lt;$AO136),1,0)</f>
        <v/>
      </c>
      <c r="AT136" s="31">
        <f>IF(AND($AL136=1,$AO136&gt;=2,$AP136=0),1,0)</f>
        <v/>
      </c>
      <c r="AU136" s="31">
        <f>IF(AND($AL136=1,$U136&lt;&gt;"",$U136&lt;TODAY()),1,0)</f>
        <v/>
      </c>
      <c r="AV136" s="31">
        <f>IF(OR($A136="",$AJ136="",Portfolio!$B$10=""),0,IF($AJ136&lt;=Portfolio!$B$10,0,IF(AND($D136="Completed",$Z136=1),1,IF(AND($D136="Terminated",$Z136=1),2,IF(AND($Q136=1,$Z136=0),3,0)))))</f>
        <v/>
      </c>
      <c r="AW136" s="31">
        <f>IF($AV136&gt;0,COUNTIF($AV$6:$AV136,"&gt;0"),"")</f>
        <v/>
      </c>
      <c r="AX136" s="31">
        <f>IF($AL136=0,"",IF(AND($B136="Project",$H136&lt;&gt;"",$H136&lt;TODAY()),"Planned finish "&amp;TEXT($H136,"d mmm")&amp;" has passed",IF($X136&gt;=2,(NETWORKDAYS($H136,$U136)-1)&amp;" working days past plan","")))</f>
        <v/>
      </c>
      <c r="AY136" s="31">
        <f>IF($AL136=0,"",IF($Y136&gt;=2,"Over budget by "&amp;TEXT(IF($B136="Program",$V136,$J136)-$K136,"#,##0"),""))</f>
        <v/>
      </c>
      <c r="AZ136" s="31">
        <f>IF(AND($AL136=1,$U136&lt;&gt;""),IF(AND(N($U136)&gt;=TODAY(),N($U136)&lt;=TODAY()+Board!$B$41),1,0),0)</f>
        <v/>
      </c>
    </row>
    <row r="137">
      <c r="A137" s="29" t="n"/>
      <c r="B137" s="29" t="n"/>
      <c r="C137" s="29" t="n"/>
      <c r="D137" s="29" t="n"/>
      <c r="E137" s="29" t="n"/>
      <c r="F137" s="29" t="n"/>
      <c r="G137" s="29" t="n"/>
      <c r="H137" s="30" t="n"/>
      <c r="I137" s="30" t="n"/>
      <c r="J137" s="19" t="n"/>
      <c r="K137" s="19" t="n"/>
      <c r="L137" s="26" t="n"/>
      <c r="M137" s="31">
        <f>IF($A137="","",IF($D137="","Not read",IF($Q137=0,"Not counted",IF(MAX($X137,$Y137)=3,"■ Red",IF(MAX($X137,$Y137)=2,"◧ Amber",IF(MAX($X137,$Y137)=1,"□ On track","Not read"))))))</f>
        <v/>
      </c>
      <c r="N137" s="31">
        <f>IF(OR($A137="",$B137&lt;&gt;"Program"),"","■ "&amp;COUNTIFS($C$6:$C$305,$A137,$M$6:$M$305,"■ Red")&amp;" Red, ◧ "&amp;COUNTIFS($C$6:$C$305,$A137,$M$6:$M$305,"◧ Amber")&amp;" Amber")</f>
        <v/>
      </c>
      <c r="O137" s="32">
        <f>IF(OR($A137="",$E137=""),"",COUNTIFS($E$6:$E$305,$E137,$D$6:$D$305,"Active")+COUNTIFS($E$6:$E$305,$E137,$D$6:$D$305,"Paused"))</f>
        <v/>
      </c>
      <c r="P137" s="31">
        <f>IF($A137="","",IF($AE137=0,"○ Clear",IF($AA137=1,"△ No owner",IF($AC137=1,"△ Check Sits under",IF($AC137=2,"△ Outside the portfolio",IF($AB137=1,"△ No sponsor","△ No variance note"))))&amp;IF($AE137&gt;1," (+"&amp;($AE137-1)&amp;" more)","")))</f>
        <v/>
      </c>
      <c r="Q137" s="31">
        <f>IF(AND($A137&lt;&gt;"",OR($D137="Active",$D137="Paused")),1,0)</f>
        <v/>
      </c>
      <c r="R137" s="31">
        <f>IFERROR(INDEX($A$6:$A$305,MATCH(130,$S$6:$S$305,0)),"")</f>
        <v/>
      </c>
      <c r="S137" s="31">
        <f>IF(AND($A137&lt;&gt;"",$B137="Program"),COUNTIFS($B$6:$B137,"Program",$A$6:$A137,"&lt;&gt;"),"")</f>
        <v/>
      </c>
      <c r="T137" s="33">
        <f>IF(AND($A137&lt;&gt;"",$B137="Program"),SUMPRODUCT(MAX(($C$6:$C$305=$A137)*($B$6:$B$305="Project")*($D$6:$D$305&lt;&gt;"Proposed")*$I$6:$I$305)),0)</f>
        <v/>
      </c>
      <c r="U137" s="33">
        <f>IF($I137&lt;&gt;"",$I137,IF($T137&gt;0,$T137,""))</f>
        <v/>
      </c>
      <c r="V137" s="31">
        <f>IF(AND($A137&lt;&gt;"",$B137="Program"),SUMIFS($J$6:$J$305,$C$6:$C$305,$A137,$B$6:$B$305,"Project",$D$6:$D$305,"&lt;&gt;Proposed"),0)</f>
        <v/>
      </c>
      <c r="W137" s="31">
        <f>IF(AND($A137&lt;&gt;"",$B137="Program"),COUNTIFS($C$6:$C$305,$A137,$B$6:$B$305,"Project",$D$6:$D$305,"&lt;&gt;Proposed")-COUNTIFS($C$6:$C$305,$A137,$B$6:$B$305,"Project",$D$6:$D$305,"&lt;&gt;Proposed",$J$6:$J$305,"&gt;=0"),0)</f>
        <v/>
      </c>
      <c r="X137" s="31">
        <f>IF(OR($Q137=0,$H137=""),0,IF(AND($B137="Project",$H137&lt;TODAY()),3,IF($U137="",0,IF($U137&lt;=$H137,1,IF(NETWORKDAYS($H137,$U137)-1&gt;IF($B137="Program",Portfolio!$B$16,Portfolio!$B$15),3,2)))))</f>
        <v/>
      </c>
      <c r="Y137" s="31">
        <f>IF(OR($Q137=0,$K137="",$K137=0),0,IF(AND($B137="Project",$J137=""),0,IF(IF($B137="Program",$V137,$J137)&gt;$K137*(1+Portfolio!$B$17),3,IF(IF($B137="Program",$V137,$J137)&gt;$K137,2,IF(AND($B137="Program",OR($W137&gt;0,$V137=0)),0,1)))))</f>
        <v/>
      </c>
      <c r="Z137" s="31">
        <f>IF($A137="",0,IF($C137="Portfolio",1,IF(AND($B137="Project",$C137&lt;&gt;"",$C137&lt;&gt;"Outside the portfolio"),IFERROR(IF(AND(INDEX($B$6:$B$305,MATCH($C137,$A$6:$A$305,0))="Program",INDEX($C$6:$C$305,MATCH($C137,$A$6:$A$305,0))="Portfolio"),1,0),0),0)))</f>
        <v/>
      </c>
      <c r="AA137" s="31">
        <f>IF(AND($A137&lt;&gt;"",$E137="",OR($Q137=1,$D137="Proposed")),1,0)</f>
        <v/>
      </c>
      <c r="AB137" s="31">
        <f>IF(AND($A137&lt;&gt;"",$B137="Program",$F137="",$Q137=1),1,0)</f>
        <v/>
      </c>
      <c r="AC137" s="31">
        <f>IF(OR($A137="",$D137="Completed",$D137="Terminated"),0,IF($C137="",1,IF($C137="Portfolio",0,IF($C137="Outside the portfolio",IF($Q137=1,2,0),IF($B137="Project",IF(IFERROR(INDEX($B$6:$B$305,MATCH($C137,$A$6:$A$305,0)),"")="Program",0,1),1)))))</f>
        <v/>
      </c>
      <c r="AD137" s="31">
        <f>IF(AND($A137&lt;&gt;"",OR($M137="■ Red",$M137="◧ Amber"),$L137=""),1,0)</f>
        <v/>
      </c>
      <c r="AE137" s="31">
        <f>$AA137+$AB137+IF($AC137&gt;0,1,0)+$AD137</f>
        <v/>
      </c>
      <c r="AJ137" s="14" t="n"/>
      <c r="AK137" s="29" t="n"/>
      <c r="AL137" s="31">
        <f>IF(AND($Q137=1,$Z137=1),1,0)</f>
        <v/>
      </c>
      <c r="AM137" s="31">
        <f>IF(AND($AL137=1,$AJ137&lt;&gt;""),MAX(0,TODAY()-$AJ137),"")</f>
        <v/>
      </c>
      <c r="AN137" s="31">
        <f>IF(OR($AL137=0,COUNT($AJ$6:$AJ$305)=0),0,IF($AJ137="",1,IF(TODAY()-$AJ137&gt;Board!$B$40,1,0)))</f>
        <v/>
      </c>
      <c r="AO137" s="31">
        <f>IF($AL137=0,0,IF($M137="■ Red",3,IF($M137="◧ Amber",2,IF($M137="□ On track",1,0))))</f>
        <v/>
      </c>
      <c r="AP137" s="31">
        <f>IF($AL137=0,0,IF($AK137="Will not hold",3,IF($AK137="At risk",2,IF($AK137="Will hold",1,0))))</f>
        <v/>
      </c>
      <c r="AQ137" s="31">
        <f>IF($AL137=0,"",IF($AO137=3,0,IF($AO137=2,1,IF(AND($AP137&gt;=2,$AP137&gt;$AO137),2,""))))</f>
        <v/>
      </c>
      <c r="AR137" s="31">
        <f>IF($AQ137="","",$AQ137*1000+137)</f>
        <v/>
      </c>
      <c r="AS137" s="31">
        <f>IF(AND($AL137=1,$AO137&gt;=2,$AP137&gt;=1,$AP137&lt;$AO137),1,0)</f>
        <v/>
      </c>
      <c r="AT137" s="31">
        <f>IF(AND($AL137=1,$AO137&gt;=2,$AP137=0),1,0)</f>
        <v/>
      </c>
      <c r="AU137" s="31">
        <f>IF(AND($AL137=1,$U137&lt;&gt;"",$U137&lt;TODAY()),1,0)</f>
        <v/>
      </c>
      <c r="AV137" s="31">
        <f>IF(OR($A137="",$AJ137="",Portfolio!$B$10=""),0,IF($AJ137&lt;=Portfolio!$B$10,0,IF(AND($D137="Completed",$Z137=1),1,IF(AND($D137="Terminated",$Z137=1),2,IF(AND($Q137=1,$Z137=0),3,0)))))</f>
        <v/>
      </c>
      <c r="AW137" s="31">
        <f>IF($AV137&gt;0,COUNTIF($AV$6:$AV137,"&gt;0"),"")</f>
        <v/>
      </c>
      <c r="AX137" s="31">
        <f>IF($AL137=0,"",IF(AND($B137="Project",$H137&lt;&gt;"",$H137&lt;TODAY()),"Planned finish "&amp;TEXT($H137,"d mmm")&amp;" has passed",IF($X137&gt;=2,(NETWORKDAYS($H137,$U137)-1)&amp;" working days past plan","")))</f>
        <v/>
      </c>
      <c r="AY137" s="31">
        <f>IF($AL137=0,"",IF($Y137&gt;=2,"Over budget by "&amp;TEXT(IF($B137="Program",$V137,$J137)-$K137,"#,##0"),""))</f>
        <v/>
      </c>
      <c r="AZ137" s="31">
        <f>IF(AND($AL137=1,$U137&lt;&gt;""),IF(AND(N($U137)&gt;=TODAY(),N($U137)&lt;=TODAY()+Board!$B$41),1,0),0)</f>
        <v/>
      </c>
    </row>
    <row r="138">
      <c r="A138" s="29" t="n"/>
      <c r="B138" s="29" t="n"/>
      <c r="C138" s="29" t="n"/>
      <c r="D138" s="29" t="n"/>
      <c r="E138" s="29" t="n"/>
      <c r="F138" s="29" t="n"/>
      <c r="G138" s="29" t="n"/>
      <c r="H138" s="30" t="n"/>
      <c r="I138" s="30" t="n"/>
      <c r="J138" s="19" t="n"/>
      <c r="K138" s="19" t="n"/>
      <c r="L138" s="26" t="n"/>
      <c r="M138" s="31">
        <f>IF($A138="","",IF($D138="","Not read",IF($Q138=0,"Not counted",IF(MAX($X138,$Y138)=3,"■ Red",IF(MAX($X138,$Y138)=2,"◧ Amber",IF(MAX($X138,$Y138)=1,"□ On track","Not read"))))))</f>
        <v/>
      </c>
      <c r="N138" s="31">
        <f>IF(OR($A138="",$B138&lt;&gt;"Program"),"","■ "&amp;COUNTIFS($C$6:$C$305,$A138,$M$6:$M$305,"■ Red")&amp;" Red, ◧ "&amp;COUNTIFS($C$6:$C$305,$A138,$M$6:$M$305,"◧ Amber")&amp;" Amber")</f>
        <v/>
      </c>
      <c r="O138" s="32">
        <f>IF(OR($A138="",$E138=""),"",COUNTIFS($E$6:$E$305,$E138,$D$6:$D$305,"Active")+COUNTIFS($E$6:$E$305,$E138,$D$6:$D$305,"Paused"))</f>
        <v/>
      </c>
      <c r="P138" s="31">
        <f>IF($A138="","",IF($AE138=0,"○ Clear",IF($AA138=1,"△ No owner",IF($AC138=1,"△ Check Sits under",IF($AC138=2,"△ Outside the portfolio",IF($AB138=1,"△ No sponsor","△ No variance note"))))&amp;IF($AE138&gt;1," (+"&amp;($AE138-1)&amp;" more)","")))</f>
        <v/>
      </c>
      <c r="Q138" s="31">
        <f>IF(AND($A138&lt;&gt;"",OR($D138="Active",$D138="Paused")),1,0)</f>
        <v/>
      </c>
      <c r="R138" s="31">
        <f>IFERROR(INDEX($A$6:$A$305,MATCH(131,$S$6:$S$305,0)),"")</f>
        <v/>
      </c>
      <c r="S138" s="31">
        <f>IF(AND($A138&lt;&gt;"",$B138="Program"),COUNTIFS($B$6:$B138,"Program",$A$6:$A138,"&lt;&gt;"),"")</f>
        <v/>
      </c>
      <c r="T138" s="33">
        <f>IF(AND($A138&lt;&gt;"",$B138="Program"),SUMPRODUCT(MAX(($C$6:$C$305=$A138)*($B$6:$B$305="Project")*($D$6:$D$305&lt;&gt;"Proposed")*$I$6:$I$305)),0)</f>
        <v/>
      </c>
      <c r="U138" s="33">
        <f>IF($I138&lt;&gt;"",$I138,IF($T138&gt;0,$T138,""))</f>
        <v/>
      </c>
      <c r="V138" s="31">
        <f>IF(AND($A138&lt;&gt;"",$B138="Program"),SUMIFS($J$6:$J$305,$C$6:$C$305,$A138,$B$6:$B$305,"Project",$D$6:$D$305,"&lt;&gt;Proposed"),0)</f>
        <v/>
      </c>
      <c r="W138" s="31">
        <f>IF(AND($A138&lt;&gt;"",$B138="Program"),COUNTIFS($C$6:$C$305,$A138,$B$6:$B$305,"Project",$D$6:$D$305,"&lt;&gt;Proposed")-COUNTIFS($C$6:$C$305,$A138,$B$6:$B$305,"Project",$D$6:$D$305,"&lt;&gt;Proposed",$J$6:$J$305,"&gt;=0"),0)</f>
        <v/>
      </c>
      <c r="X138" s="31">
        <f>IF(OR($Q138=0,$H138=""),0,IF(AND($B138="Project",$H138&lt;TODAY()),3,IF($U138="",0,IF($U138&lt;=$H138,1,IF(NETWORKDAYS($H138,$U138)-1&gt;IF($B138="Program",Portfolio!$B$16,Portfolio!$B$15),3,2)))))</f>
        <v/>
      </c>
      <c r="Y138" s="31">
        <f>IF(OR($Q138=0,$K138="",$K138=0),0,IF(AND($B138="Project",$J138=""),0,IF(IF($B138="Program",$V138,$J138)&gt;$K138*(1+Portfolio!$B$17),3,IF(IF($B138="Program",$V138,$J138)&gt;$K138,2,IF(AND($B138="Program",OR($W138&gt;0,$V138=0)),0,1)))))</f>
        <v/>
      </c>
      <c r="Z138" s="31">
        <f>IF($A138="",0,IF($C138="Portfolio",1,IF(AND($B138="Project",$C138&lt;&gt;"",$C138&lt;&gt;"Outside the portfolio"),IFERROR(IF(AND(INDEX($B$6:$B$305,MATCH($C138,$A$6:$A$305,0))="Program",INDEX($C$6:$C$305,MATCH($C138,$A$6:$A$305,0))="Portfolio"),1,0),0),0)))</f>
        <v/>
      </c>
      <c r="AA138" s="31">
        <f>IF(AND($A138&lt;&gt;"",$E138="",OR($Q138=1,$D138="Proposed")),1,0)</f>
        <v/>
      </c>
      <c r="AB138" s="31">
        <f>IF(AND($A138&lt;&gt;"",$B138="Program",$F138="",$Q138=1),1,0)</f>
        <v/>
      </c>
      <c r="AC138" s="31">
        <f>IF(OR($A138="",$D138="Completed",$D138="Terminated"),0,IF($C138="",1,IF($C138="Portfolio",0,IF($C138="Outside the portfolio",IF($Q138=1,2,0),IF($B138="Project",IF(IFERROR(INDEX($B$6:$B$305,MATCH($C138,$A$6:$A$305,0)),"")="Program",0,1),1)))))</f>
        <v/>
      </c>
      <c r="AD138" s="31">
        <f>IF(AND($A138&lt;&gt;"",OR($M138="■ Red",$M138="◧ Amber"),$L138=""),1,0)</f>
        <v/>
      </c>
      <c r="AE138" s="31">
        <f>$AA138+$AB138+IF($AC138&gt;0,1,0)+$AD138</f>
        <v/>
      </c>
      <c r="AJ138" s="14" t="n"/>
      <c r="AK138" s="29" t="n"/>
      <c r="AL138" s="31">
        <f>IF(AND($Q138=1,$Z138=1),1,0)</f>
        <v/>
      </c>
      <c r="AM138" s="31">
        <f>IF(AND($AL138=1,$AJ138&lt;&gt;""),MAX(0,TODAY()-$AJ138),"")</f>
        <v/>
      </c>
      <c r="AN138" s="31">
        <f>IF(OR($AL138=0,COUNT($AJ$6:$AJ$305)=0),0,IF($AJ138="",1,IF(TODAY()-$AJ138&gt;Board!$B$40,1,0)))</f>
        <v/>
      </c>
      <c r="AO138" s="31">
        <f>IF($AL138=0,0,IF($M138="■ Red",3,IF($M138="◧ Amber",2,IF($M138="□ On track",1,0))))</f>
        <v/>
      </c>
      <c r="AP138" s="31">
        <f>IF($AL138=0,0,IF($AK138="Will not hold",3,IF($AK138="At risk",2,IF($AK138="Will hold",1,0))))</f>
        <v/>
      </c>
      <c r="AQ138" s="31">
        <f>IF($AL138=0,"",IF($AO138=3,0,IF($AO138=2,1,IF(AND($AP138&gt;=2,$AP138&gt;$AO138),2,""))))</f>
        <v/>
      </c>
      <c r="AR138" s="31">
        <f>IF($AQ138="","",$AQ138*1000+138)</f>
        <v/>
      </c>
      <c r="AS138" s="31">
        <f>IF(AND($AL138=1,$AO138&gt;=2,$AP138&gt;=1,$AP138&lt;$AO138),1,0)</f>
        <v/>
      </c>
      <c r="AT138" s="31">
        <f>IF(AND($AL138=1,$AO138&gt;=2,$AP138=0),1,0)</f>
        <v/>
      </c>
      <c r="AU138" s="31">
        <f>IF(AND($AL138=1,$U138&lt;&gt;"",$U138&lt;TODAY()),1,0)</f>
        <v/>
      </c>
      <c r="AV138" s="31">
        <f>IF(OR($A138="",$AJ138="",Portfolio!$B$10=""),0,IF($AJ138&lt;=Portfolio!$B$10,0,IF(AND($D138="Completed",$Z138=1),1,IF(AND($D138="Terminated",$Z138=1),2,IF(AND($Q138=1,$Z138=0),3,0)))))</f>
        <v/>
      </c>
      <c r="AW138" s="31">
        <f>IF($AV138&gt;0,COUNTIF($AV$6:$AV138,"&gt;0"),"")</f>
        <v/>
      </c>
      <c r="AX138" s="31">
        <f>IF($AL138=0,"",IF(AND($B138="Project",$H138&lt;&gt;"",$H138&lt;TODAY()),"Planned finish "&amp;TEXT($H138,"d mmm")&amp;" has passed",IF($X138&gt;=2,(NETWORKDAYS($H138,$U138)-1)&amp;" working days past plan","")))</f>
        <v/>
      </c>
      <c r="AY138" s="31">
        <f>IF($AL138=0,"",IF($Y138&gt;=2,"Over budget by "&amp;TEXT(IF($B138="Program",$V138,$J138)-$K138,"#,##0"),""))</f>
        <v/>
      </c>
      <c r="AZ138" s="31">
        <f>IF(AND($AL138=1,$U138&lt;&gt;""),IF(AND(N($U138)&gt;=TODAY(),N($U138)&lt;=TODAY()+Board!$B$41),1,0),0)</f>
        <v/>
      </c>
    </row>
    <row r="139">
      <c r="A139" s="29" t="n"/>
      <c r="B139" s="29" t="n"/>
      <c r="C139" s="29" t="n"/>
      <c r="D139" s="29" t="n"/>
      <c r="E139" s="29" t="n"/>
      <c r="F139" s="29" t="n"/>
      <c r="G139" s="29" t="n"/>
      <c r="H139" s="30" t="n"/>
      <c r="I139" s="30" t="n"/>
      <c r="J139" s="19" t="n"/>
      <c r="K139" s="19" t="n"/>
      <c r="L139" s="26" t="n"/>
      <c r="M139" s="31">
        <f>IF($A139="","",IF($D139="","Not read",IF($Q139=0,"Not counted",IF(MAX($X139,$Y139)=3,"■ Red",IF(MAX($X139,$Y139)=2,"◧ Amber",IF(MAX($X139,$Y139)=1,"□ On track","Not read"))))))</f>
        <v/>
      </c>
      <c r="N139" s="31">
        <f>IF(OR($A139="",$B139&lt;&gt;"Program"),"","■ "&amp;COUNTIFS($C$6:$C$305,$A139,$M$6:$M$305,"■ Red")&amp;" Red, ◧ "&amp;COUNTIFS($C$6:$C$305,$A139,$M$6:$M$305,"◧ Amber")&amp;" Amber")</f>
        <v/>
      </c>
      <c r="O139" s="32">
        <f>IF(OR($A139="",$E139=""),"",COUNTIFS($E$6:$E$305,$E139,$D$6:$D$305,"Active")+COUNTIFS($E$6:$E$305,$E139,$D$6:$D$305,"Paused"))</f>
        <v/>
      </c>
      <c r="P139" s="31">
        <f>IF($A139="","",IF($AE139=0,"○ Clear",IF($AA139=1,"△ No owner",IF($AC139=1,"△ Check Sits under",IF($AC139=2,"△ Outside the portfolio",IF($AB139=1,"△ No sponsor","△ No variance note"))))&amp;IF($AE139&gt;1," (+"&amp;($AE139-1)&amp;" more)","")))</f>
        <v/>
      </c>
      <c r="Q139" s="31">
        <f>IF(AND($A139&lt;&gt;"",OR($D139="Active",$D139="Paused")),1,0)</f>
        <v/>
      </c>
      <c r="R139" s="31">
        <f>IFERROR(INDEX($A$6:$A$305,MATCH(132,$S$6:$S$305,0)),"")</f>
        <v/>
      </c>
      <c r="S139" s="31">
        <f>IF(AND($A139&lt;&gt;"",$B139="Program"),COUNTIFS($B$6:$B139,"Program",$A$6:$A139,"&lt;&gt;"),"")</f>
        <v/>
      </c>
      <c r="T139" s="33">
        <f>IF(AND($A139&lt;&gt;"",$B139="Program"),SUMPRODUCT(MAX(($C$6:$C$305=$A139)*($B$6:$B$305="Project")*($D$6:$D$305&lt;&gt;"Proposed")*$I$6:$I$305)),0)</f>
        <v/>
      </c>
      <c r="U139" s="33">
        <f>IF($I139&lt;&gt;"",$I139,IF($T139&gt;0,$T139,""))</f>
        <v/>
      </c>
      <c r="V139" s="31">
        <f>IF(AND($A139&lt;&gt;"",$B139="Program"),SUMIFS($J$6:$J$305,$C$6:$C$305,$A139,$B$6:$B$305,"Project",$D$6:$D$305,"&lt;&gt;Proposed"),0)</f>
        <v/>
      </c>
      <c r="W139" s="31">
        <f>IF(AND($A139&lt;&gt;"",$B139="Program"),COUNTIFS($C$6:$C$305,$A139,$B$6:$B$305,"Project",$D$6:$D$305,"&lt;&gt;Proposed")-COUNTIFS($C$6:$C$305,$A139,$B$6:$B$305,"Project",$D$6:$D$305,"&lt;&gt;Proposed",$J$6:$J$305,"&gt;=0"),0)</f>
        <v/>
      </c>
      <c r="X139" s="31">
        <f>IF(OR($Q139=0,$H139=""),0,IF(AND($B139="Project",$H139&lt;TODAY()),3,IF($U139="",0,IF($U139&lt;=$H139,1,IF(NETWORKDAYS($H139,$U139)-1&gt;IF($B139="Program",Portfolio!$B$16,Portfolio!$B$15),3,2)))))</f>
        <v/>
      </c>
      <c r="Y139" s="31">
        <f>IF(OR($Q139=0,$K139="",$K139=0),0,IF(AND($B139="Project",$J139=""),0,IF(IF($B139="Program",$V139,$J139)&gt;$K139*(1+Portfolio!$B$17),3,IF(IF($B139="Program",$V139,$J139)&gt;$K139,2,IF(AND($B139="Program",OR($W139&gt;0,$V139=0)),0,1)))))</f>
        <v/>
      </c>
      <c r="Z139" s="31">
        <f>IF($A139="",0,IF($C139="Portfolio",1,IF(AND($B139="Project",$C139&lt;&gt;"",$C139&lt;&gt;"Outside the portfolio"),IFERROR(IF(AND(INDEX($B$6:$B$305,MATCH($C139,$A$6:$A$305,0))="Program",INDEX($C$6:$C$305,MATCH($C139,$A$6:$A$305,0))="Portfolio"),1,0),0),0)))</f>
        <v/>
      </c>
      <c r="AA139" s="31">
        <f>IF(AND($A139&lt;&gt;"",$E139="",OR($Q139=1,$D139="Proposed")),1,0)</f>
        <v/>
      </c>
      <c r="AB139" s="31">
        <f>IF(AND($A139&lt;&gt;"",$B139="Program",$F139="",$Q139=1),1,0)</f>
        <v/>
      </c>
      <c r="AC139" s="31">
        <f>IF(OR($A139="",$D139="Completed",$D139="Terminated"),0,IF($C139="",1,IF($C139="Portfolio",0,IF($C139="Outside the portfolio",IF($Q139=1,2,0),IF($B139="Project",IF(IFERROR(INDEX($B$6:$B$305,MATCH($C139,$A$6:$A$305,0)),"")="Program",0,1),1)))))</f>
        <v/>
      </c>
      <c r="AD139" s="31">
        <f>IF(AND($A139&lt;&gt;"",OR($M139="■ Red",$M139="◧ Amber"),$L139=""),1,0)</f>
        <v/>
      </c>
      <c r="AE139" s="31">
        <f>$AA139+$AB139+IF($AC139&gt;0,1,0)+$AD139</f>
        <v/>
      </c>
      <c r="AJ139" s="14" t="n"/>
      <c r="AK139" s="29" t="n"/>
      <c r="AL139" s="31">
        <f>IF(AND($Q139=1,$Z139=1),1,0)</f>
        <v/>
      </c>
      <c r="AM139" s="31">
        <f>IF(AND($AL139=1,$AJ139&lt;&gt;""),MAX(0,TODAY()-$AJ139),"")</f>
        <v/>
      </c>
      <c r="AN139" s="31">
        <f>IF(OR($AL139=0,COUNT($AJ$6:$AJ$305)=0),0,IF($AJ139="",1,IF(TODAY()-$AJ139&gt;Board!$B$40,1,0)))</f>
        <v/>
      </c>
      <c r="AO139" s="31">
        <f>IF($AL139=0,0,IF($M139="■ Red",3,IF($M139="◧ Amber",2,IF($M139="□ On track",1,0))))</f>
        <v/>
      </c>
      <c r="AP139" s="31">
        <f>IF($AL139=0,0,IF($AK139="Will not hold",3,IF($AK139="At risk",2,IF($AK139="Will hold",1,0))))</f>
        <v/>
      </c>
      <c r="AQ139" s="31">
        <f>IF($AL139=0,"",IF($AO139=3,0,IF($AO139=2,1,IF(AND($AP139&gt;=2,$AP139&gt;$AO139),2,""))))</f>
        <v/>
      </c>
      <c r="AR139" s="31">
        <f>IF($AQ139="","",$AQ139*1000+139)</f>
        <v/>
      </c>
      <c r="AS139" s="31">
        <f>IF(AND($AL139=1,$AO139&gt;=2,$AP139&gt;=1,$AP139&lt;$AO139),1,0)</f>
        <v/>
      </c>
      <c r="AT139" s="31">
        <f>IF(AND($AL139=1,$AO139&gt;=2,$AP139=0),1,0)</f>
        <v/>
      </c>
      <c r="AU139" s="31">
        <f>IF(AND($AL139=1,$U139&lt;&gt;"",$U139&lt;TODAY()),1,0)</f>
        <v/>
      </c>
      <c r="AV139" s="31">
        <f>IF(OR($A139="",$AJ139="",Portfolio!$B$10=""),0,IF($AJ139&lt;=Portfolio!$B$10,0,IF(AND($D139="Completed",$Z139=1),1,IF(AND($D139="Terminated",$Z139=1),2,IF(AND($Q139=1,$Z139=0),3,0)))))</f>
        <v/>
      </c>
      <c r="AW139" s="31">
        <f>IF($AV139&gt;0,COUNTIF($AV$6:$AV139,"&gt;0"),"")</f>
        <v/>
      </c>
      <c r="AX139" s="31">
        <f>IF($AL139=0,"",IF(AND($B139="Project",$H139&lt;&gt;"",$H139&lt;TODAY()),"Planned finish "&amp;TEXT($H139,"d mmm")&amp;" has passed",IF($X139&gt;=2,(NETWORKDAYS($H139,$U139)-1)&amp;" working days past plan","")))</f>
        <v/>
      </c>
      <c r="AY139" s="31">
        <f>IF($AL139=0,"",IF($Y139&gt;=2,"Over budget by "&amp;TEXT(IF($B139="Program",$V139,$J139)-$K139,"#,##0"),""))</f>
        <v/>
      </c>
      <c r="AZ139" s="31">
        <f>IF(AND($AL139=1,$U139&lt;&gt;""),IF(AND(N($U139)&gt;=TODAY(),N($U139)&lt;=TODAY()+Board!$B$41),1,0),0)</f>
        <v/>
      </c>
    </row>
    <row r="140">
      <c r="A140" s="29" t="n"/>
      <c r="B140" s="29" t="n"/>
      <c r="C140" s="29" t="n"/>
      <c r="D140" s="29" t="n"/>
      <c r="E140" s="29" t="n"/>
      <c r="F140" s="29" t="n"/>
      <c r="G140" s="29" t="n"/>
      <c r="H140" s="30" t="n"/>
      <c r="I140" s="30" t="n"/>
      <c r="J140" s="19" t="n"/>
      <c r="K140" s="19" t="n"/>
      <c r="L140" s="26" t="n"/>
      <c r="M140" s="31">
        <f>IF($A140="","",IF($D140="","Not read",IF($Q140=0,"Not counted",IF(MAX($X140,$Y140)=3,"■ Red",IF(MAX($X140,$Y140)=2,"◧ Amber",IF(MAX($X140,$Y140)=1,"□ On track","Not read"))))))</f>
        <v/>
      </c>
      <c r="N140" s="31">
        <f>IF(OR($A140="",$B140&lt;&gt;"Program"),"","■ "&amp;COUNTIFS($C$6:$C$305,$A140,$M$6:$M$305,"■ Red")&amp;" Red, ◧ "&amp;COUNTIFS($C$6:$C$305,$A140,$M$6:$M$305,"◧ Amber")&amp;" Amber")</f>
        <v/>
      </c>
      <c r="O140" s="32">
        <f>IF(OR($A140="",$E140=""),"",COUNTIFS($E$6:$E$305,$E140,$D$6:$D$305,"Active")+COUNTIFS($E$6:$E$305,$E140,$D$6:$D$305,"Paused"))</f>
        <v/>
      </c>
      <c r="P140" s="31">
        <f>IF($A140="","",IF($AE140=0,"○ Clear",IF($AA140=1,"△ No owner",IF($AC140=1,"△ Check Sits under",IF($AC140=2,"△ Outside the portfolio",IF($AB140=1,"△ No sponsor","△ No variance note"))))&amp;IF($AE140&gt;1," (+"&amp;($AE140-1)&amp;" more)","")))</f>
        <v/>
      </c>
      <c r="Q140" s="31">
        <f>IF(AND($A140&lt;&gt;"",OR($D140="Active",$D140="Paused")),1,0)</f>
        <v/>
      </c>
      <c r="R140" s="31">
        <f>IFERROR(INDEX($A$6:$A$305,MATCH(133,$S$6:$S$305,0)),"")</f>
        <v/>
      </c>
      <c r="S140" s="31">
        <f>IF(AND($A140&lt;&gt;"",$B140="Program"),COUNTIFS($B$6:$B140,"Program",$A$6:$A140,"&lt;&gt;"),"")</f>
        <v/>
      </c>
      <c r="T140" s="33">
        <f>IF(AND($A140&lt;&gt;"",$B140="Program"),SUMPRODUCT(MAX(($C$6:$C$305=$A140)*($B$6:$B$305="Project")*($D$6:$D$305&lt;&gt;"Proposed")*$I$6:$I$305)),0)</f>
        <v/>
      </c>
      <c r="U140" s="33">
        <f>IF($I140&lt;&gt;"",$I140,IF($T140&gt;0,$T140,""))</f>
        <v/>
      </c>
      <c r="V140" s="31">
        <f>IF(AND($A140&lt;&gt;"",$B140="Program"),SUMIFS($J$6:$J$305,$C$6:$C$305,$A140,$B$6:$B$305,"Project",$D$6:$D$305,"&lt;&gt;Proposed"),0)</f>
        <v/>
      </c>
      <c r="W140" s="31">
        <f>IF(AND($A140&lt;&gt;"",$B140="Program"),COUNTIFS($C$6:$C$305,$A140,$B$6:$B$305,"Project",$D$6:$D$305,"&lt;&gt;Proposed")-COUNTIFS($C$6:$C$305,$A140,$B$6:$B$305,"Project",$D$6:$D$305,"&lt;&gt;Proposed",$J$6:$J$305,"&gt;=0"),0)</f>
        <v/>
      </c>
      <c r="X140" s="31">
        <f>IF(OR($Q140=0,$H140=""),0,IF(AND($B140="Project",$H140&lt;TODAY()),3,IF($U140="",0,IF($U140&lt;=$H140,1,IF(NETWORKDAYS($H140,$U140)-1&gt;IF($B140="Program",Portfolio!$B$16,Portfolio!$B$15),3,2)))))</f>
        <v/>
      </c>
      <c r="Y140" s="31">
        <f>IF(OR($Q140=0,$K140="",$K140=0),0,IF(AND($B140="Project",$J140=""),0,IF(IF($B140="Program",$V140,$J140)&gt;$K140*(1+Portfolio!$B$17),3,IF(IF($B140="Program",$V140,$J140)&gt;$K140,2,IF(AND($B140="Program",OR($W140&gt;0,$V140=0)),0,1)))))</f>
        <v/>
      </c>
      <c r="Z140" s="31">
        <f>IF($A140="",0,IF($C140="Portfolio",1,IF(AND($B140="Project",$C140&lt;&gt;"",$C140&lt;&gt;"Outside the portfolio"),IFERROR(IF(AND(INDEX($B$6:$B$305,MATCH($C140,$A$6:$A$305,0))="Program",INDEX($C$6:$C$305,MATCH($C140,$A$6:$A$305,0))="Portfolio"),1,0),0),0)))</f>
        <v/>
      </c>
      <c r="AA140" s="31">
        <f>IF(AND($A140&lt;&gt;"",$E140="",OR($Q140=1,$D140="Proposed")),1,0)</f>
        <v/>
      </c>
      <c r="AB140" s="31">
        <f>IF(AND($A140&lt;&gt;"",$B140="Program",$F140="",$Q140=1),1,0)</f>
        <v/>
      </c>
      <c r="AC140" s="31">
        <f>IF(OR($A140="",$D140="Completed",$D140="Terminated"),0,IF($C140="",1,IF($C140="Portfolio",0,IF($C140="Outside the portfolio",IF($Q140=1,2,0),IF($B140="Project",IF(IFERROR(INDEX($B$6:$B$305,MATCH($C140,$A$6:$A$305,0)),"")="Program",0,1),1)))))</f>
        <v/>
      </c>
      <c r="AD140" s="31">
        <f>IF(AND($A140&lt;&gt;"",OR($M140="■ Red",$M140="◧ Amber"),$L140=""),1,0)</f>
        <v/>
      </c>
      <c r="AE140" s="31">
        <f>$AA140+$AB140+IF($AC140&gt;0,1,0)+$AD140</f>
        <v/>
      </c>
      <c r="AJ140" s="14" t="n"/>
      <c r="AK140" s="29" t="n"/>
      <c r="AL140" s="31">
        <f>IF(AND($Q140=1,$Z140=1),1,0)</f>
        <v/>
      </c>
      <c r="AM140" s="31">
        <f>IF(AND($AL140=1,$AJ140&lt;&gt;""),MAX(0,TODAY()-$AJ140),"")</f>
        <v/>
      </c>
      <c r="AN140" s="31">
        <f>IF(OR($AL140=0,COUNT($AJ$6:$AJ$305)=0),0,IF($AJ140="",1,IF(TODAY()-$AJ140&gt;Board!$B$40,1,0)))</f>
        <v/>
      </c>
      <c r="AO140" s="31">
        <f>IF($AL140=0,0,IF($M140="■ Red",3,IF($M140="◧ Amber",2,IF($M140="□ On track",1,0))))</f>
        <v/>
      </c>
      <c r="AP140" s="31">
        <f>IF($AL140=0,0,IF($AK140="Will not hold",3,IF($AK140="At risk",2,IF($AK140="Will hold",1,0))))</f>
        <v/>
      </c>
      <c r="AQ140" s="31">
        <f>IF($AL140=0,"",IF($AO140=3,0,IF($AO140=2,1,IF(AND($AP140&gt;=2,$AP140&gt;$AO140),2,""))))</f>
        <v/>
      </c>
      <c r="AR140" s="31">
        <f>IF($AQ140="","",$AQ140*1000+140)</f>
        <v/>
      </c>
      <c r="AS140" s="31">
        <f>IF(AND($AL140=1,$AO140&gt;=2,$AP140&gt;=1,$AP140&lt;$AO140),1,0)</f>
        <v/>
      </c>
      <c r="AT140" s="31">
        <f>IF(AND($AL140=1,$AO140&gt;=2,$AP140=0),1,0)</f>
        <v/>
      </c>
      <c r="AU140" s="31">
        <f>IF(AND($AL140=1,$U140&lt;&gt;"",$U140&lt;TODAY()),1,0)</f>
        <v/>
      </c>
      <c r="AV140" s="31">
        <f>IF(OR($A140="",$AJ140="",Portfolio!$B$10=""),0,IF($AJ140&lt;=Portfolio!$B$10,0,IF(AND($D140="Completed",$Z140=1),1,IF(AND($D140="Terminated",$Z140=1),2,IF(AND($Q140=1,$Z140=0),3,0)))))</f>
        <v/>
      </c>
      <c r="AW140" s="31">
        <f>IF($AV140&gt;0,COUNTIF($AV$6:$AV140,"&gt;0"),"")</f>
        <v/>
      </c>
      <c r="AX140" s="31">
        <f>IF($AL140=0,"",IF(AND($B140="Project",$H140&lt;&gt;"",$H140&lt;TODAY()),"Planned finish "&amp;TEXT($H140,"d mmm")&amp;" has passed",IF($X140&gt;=2,(NETWORKDAYS($H140,$U140)-1)&amp;" working days past plan","")))</f>
        <v/>
      </c>
      <c r="AY140" s="31">
        <f>IF($AL140=0,"",IF($Y140&gt;=2,"Over budget by "&amp;TEXT(IF($B140="Program",$V140,$J140)-$K140,"#,##0"),""))</f>
        <v/>
      </c>
      <c r="AZ140" s="31">
        <f>IF(AND($AL140=1,$U140&lt;&gt;""),IF(AND(N($U140)&gt;=TODAY(),N($U140)&lt;=TODAY()+Board!$B$41),1,0),0)</f>
        <v/>
      </c>
    </row>
    <row r="141">
      <c r="A141" s="29" t="n"/>
      <c r="B141" s="29" t="n"/>
      <c r="C141" s="29" t="n"/>
      <c r="D141" s="29" t="n"/>
      <c r="E141" s="29" t="n"/>
      <c r="F141" s="29" t="n"/>
      <c r="G141" s="29" t="n"/>
      <c r="H141" s="30" t="n"/>
      <c r="I141" s="30" t="n"/>
      <c r="J141" s="19" t="n"/>
      <c r="K141" s="19" t="n"/>
      <c r="L141" s="26" t="n"/>
      <c r="M141" s="31">
        <f>IF($A141="","",IF($D141="","Not read",IF($Q141=0,"Not counted",IF(MAX($X141,$Y141)=3,"■ Red",IF(MAX($X141,$Y141)=2,"◧ Amber",IF(MAX($X141,$Y141)=1,"□ On track","Not read"))))))</f>
        <v/>
      </c>
      <c r="N141" s="31">
        <f>IF(OR($A141="",$B141&lt;&gt;"Program"),"","■ "&amp;COUNTIFS($C$6:$C$305,$A141,$M$6:$M$305,"■ Red")&amp;" Red, ◧ "&amp;COUNTIFS($C$6:$C$305,$A141,$M$6:$M$305,"◧ Amber")&amp;" Amber")</f>
        <v/>
      </c>
      <c r="O141" s="32">
        <f>IF(OR($A141="",$E141=""),"",COUNTIFS($E$6:$E$305,$E141,$D$6:$D$305,"Active")+COUNTIFS($E$6:$E$305,$E141,$D$6:$D$305,"Paused"))</f>
        <v/>
      </c>
      <c r="P141" s="31">
        <f>IF($A141="","",IF($AE141=0,"○ Clear",IF($AA141=1,"△ No owner",IF($AC141=1,"△ Check Sits under",IF($AC141=2,"△ Outside the portfolio",IF($AB141=1,"△ No sponsor","△ No variance note"))))&amp;IF($AE141&gt;1," (+"&amp;($AE141-1)&amp;" more)","")))</f>
        <v/>
      </c>
      <c r="Q141" s="31">
        <f>IF(AND($A141&lt;&gt;"",OR($D141="Active",$D141="Paused")),1,0)</f>
        <v/>
      </c>
      <c r="R141" s="31">
        <f>IFERROR(INDEX($A$6:$A$305,MATCH(134,$S$6:$S$305,0)),"")</f>
        <v/>
      </c>
      <c r="S141" s="31">
        <f>IF(AND($A141&lt;&gt;"",$B141="Program"),COUNTIFS($B$6:$B141,"Program",$A$6:$A141,"&lt;&gt;"),"")</f>
        <v/>
      </c>
      <c r="T141" s="33">
        <f>IF(AND($A141&lt;&gt;"",$B141="Program"),SUMPRODUCT(MAX(($C$6:$C$305=$A141)*($B$6:$B$305="Project")*($D$6:$D$305&lt;&gt;"Proposed")*$I$6:$I$305)),0)</f>
        <v/>
      </c>
      <c r="U141" s="33">
        <f>IF($I141&lt;&gt;"",$I141,IF($T141&gt;0,$T141,""))</f>
        <v/>
      </c>
      <c r="V141" s="31">
        <f>IF(AND($A141&lt;&gt;"",$B141="Program"),SUMIFS($J$6:$J$305,$C$6:$C$305,$A141,$B$6:$B$305,"Project",$D$6:$D$305,"&lt;&gt;Proposed"),0)</f>
        <v/>
      </c>
      <c r="W141" s="31">
        <f>IF(AND($A141&lt;&gt;"",$B141="Program"),COUNTIFS($C$6:$C$305,$A141,$B$6:$B$305,"Project",$D$6:$D$305,"&lt;&gt;Proposed")-COUNTIFS($C$6:$C$305,$A141,$B$6:$B$305,"Project",$D$6:$D$305,"&lt;&gt;Proposed",$J$6:$J$305,"&gt;=0"),0)</f>
        <v/>
      </c>
      <c r="X141" s="31">
        <f>IF(OR($Q141=0,$H141=""),0,IF(AND($B141="Project",$H141&lt;TODAY()),3,IF($U141="",0,IF($U141&lt;=$H141,1,IF(NETWORKDAYS($H141,$U141)-1&gt;IF($B141="Program",Portfolio!$B$16,Portfolio!$B$15),3,2)))))</f>
        <v/>
      </c>
      <c r="Y141" s="31">
        <f>IF(OR($Q141=0,$K141="",$K141=0),0,IF(AND($B141="Project",$J141=""),0,IF(IF($B141="Program",$V141,$J141)&gt;$K141*(1+Portfolio!$B$17),3,IF(IF($B141="Program",$V141,$J141)&gt;$K141,2,IF(AND($B141="Program",OR($W141&gt;0,$V141=0)),0,1)))))</f>
        <v/>
      </c>
      <c r="Z141" s="31">
        <f>IF($A141="",0,IF($C141="Portfolio",1,IF(AND($B141="Project",$C141&lt;&gt;"",$C141&lt;&gt;"Outside the portfolio"),IFERROR(IF(AND(INDEX($B$6:$B$305,MATCH($C141,$A$6:$A$305,0))="Program",INDEX($C$6:$C$305,MATCH($C141,$A$6:$A$305,0))="Portfolio"),1,0),0),0)))</f>
        <v/>
      </c>
      <c r="AA141" s="31">
        <f>IF(AND($A141&lt;&gt;"",$E141="",OR($Q141=1,$D141="Proposed")),1,0)</f>
        <v/>
      </c>
      <c r="AB141" s="31">
        <f>IF(AND($A141&lt;&gt;"",$B141="Program",$F141="",$Q141=1),1,0)</f>
        <v/>
      </c>
      <c r="AC141" s="31">
        <f>IF(OR($A141="",$D141="Completed",$D141="Terminated"),0,IF($C141="",1,IF($C141="Portfolio",0,IF($C141="Outside the portfolio",IF($Q141=1,2,0),IF($B141="Project",IF(IFERROR(INDEX($B$6:$B$305,MATCH($C141,$A$6:$A$305,0)),"")="Program",0,1),1)))))</f>
        <v/>
      </c>
      <c r="AD141" s="31">
        <f>IF(AND($A141&lt;&gt;"",OR($M141="■ Red",$M141="◧ Amber"),$L141=""),1,0)</f>
        <v/>
      </c>
      <c r="AE141" s="31">
        <f>$AA141+$AB141+IF($AC141&gt;0,1,0)+$AD141</f>
        <v/>
      </c>
      <c r="AJ141" s="14" t="n"/>
      <c r="AK141" s="29" t="n"/>
      <c r="AL141" s="31">
        <f>IF(AND($Q141=1,$Z141=1),1,0)</f>
        <v/>
      </c>
      <c r="AM141" s="31">
        <f>IF(AND($AL141=1,$AJ141&lt;&gt;""),MAX(0,TODAY()-$AJ141),"")</f>
        <v/>
      </c>
      <c r="AN141" s="31">
        <f>IF(OR($AL141=0,COUNT($AJ$6:$AJ$305)=0),0,IF($AJ141="",1,IF(TODAY()-$AJ141&gt;Board!$B$40,1,0)))</f>
        <v/>
      </c>
      <c r="AO141" s="31">
        <f>IF($AL141=0,0,IF($M141="■ Red",3,IF($M141="◧ Amber",2,IF($M141="□ On track",1,0))))</f>
        <v/>
      </c>
      <c r="AP141" s="31">
        <f>IF($AL141=0,0,IF($AK141="Will not hold",3,IF($AK141="At risk",2,IF($AK141="Will hold",1,0))))</f>
        <v/>
      </c>
      <c r="AQ141" s="31">
        <f>IF($AL141=0,"",IF($AO141=3,0,IF($AO141=2,1,IF(AND($AP141&gt;=2,$AP141&gt;$AO141),2,""))))</f>
        <v/>
      </c>
      <c r="AR141" s="31">
        <f>IF($AQ141="","",$AQ141*1000+141)</f>
        <v/>
      </c>
      <c r="AS141" s="31">
        <f>IF(AND($AL141=1,$AO141&gt;=2,$AP141&gt;=1,$AP141&lt;$AO141),1,0)</f>
        <v/>
      </c>
      <c r="AT141" s="31">
        <f>IF(AND($AL141=1,$AO141&gt;=2,$AP141=0),1,0)</f>
        <v/>
      </c>
      <c r="AU141" s="31">
        <f>IF(AND($AL141=1,$U141&lt;&gt;"",$U141&lt;TODAY()),1,0)</f>
        <v/>
      </c>
      <c r="AV141" s="31">
        <f>IF(OR($A141="",$AJ141="",Portfolio!$B$10=""),0,IF($AJ141&lt;=Portfolio!$B$10,0,IF(AND($D141="Completed",$Z141=1),1,IF(AND($D141="Terminated",$Z141=1),2,IF(AND($Q141=1,$Z141=0),3,0)))))</f>
        <v/>
      </c>
      <c r="AW141" s="31">
        <f>IF($AV141&gt;0,COUNTIF($AV$6:$AV141,"&gt;0"),"")</f>
        <v/>
      </c>
      <c r="AX141" s="31">
        <f>IF($AL141=0,"",IF(AND($B141="Project",$H141&lt;&gt;"",$H141&lt;TODAY()),"Planned finish "&amp;TEXT($H141,"d mmm")&amp;" has passed",IF($X141&gt;=2,(NETWORKDAYS($H141,$U141)-1)&amp;" working days past plan","")))</f>
        <v/>
      </c>
      <c r="AY141" s="31">
        <f>IF($AL141=0,"",IF($Y141&gt;=2,"Over budget by "&amp;TEXT(IF($B141="Program",$V141,$J141)-$K141,"#,##0"),""))</f>
        <v/>
      </c>
      <c r="AZ141" s="31">
        <f>IF(AND($AL141=1,$U141&lt;&gt;""),IF(AND(N($U141)&gt;=TODAY(),N($U141)&lt;=TODAY()+Board!$B$41),1,0),0)</f>
        <v/>
      </c>
    </row>
    <row r="142">
      <c r="A142" s="29" t="n"/>
      <c r="B142" s="29" t="n"/>
      <c r="C142" s="29" t="n"/>
      <c r="D142" s="29" t="n"/>
      <c r="E142" s="29" t="n"/>
      <c r="F142" s="29" t="n"/>
      <c r="G142" s="29" t="n"/>
      <c r="H142" s="30" t="n"/>
      <c r="I142" s="30" t="n"/>
      <c r="J142" s="19" t="n"/>
      <c r="K142" s="19" t="n"/>
      <c r="L142" s="26" t="n"/>
      <c r="M142" s="31">
        <f>IF($A142="","",IF($D142="","Not read",IF($Q142=0,"Not counted",IF(MAX($X142,$Y142)=3,"■ Red",IF(MAX($X142,$Y142)=2,"◧ Amber",IF(MAX($X142,$Y142)=1,"□ On track","Not read"))))))</f>
        <v/>
      </c>
      <c r="N142" s="31">
        <f>IF(OR($A142="",$B142&lt;&gt;"Program"),"","■ "&amp;COUNTIFS($C$6:$C$305,$A142,$M$6:$M$305,"■ Red")&amp;" Red, ◧ "&amp;COUNTIFS($C$6:$C$305,$A142,$M$6:$M$305,"◧ Amber")&amp;" Amber")</f>
        <v/>
      </c>
      <c r="O142" s="32">
        <f>IF(OR($A142="",$E142=""),"",COUNTIFS($E$6:$E$305,$E142,$D$6:$D$305,"Active")+COUNTIFS($E$6:$E$305,$E142,$D$6:$D$305,"Paused"))</f>
        <v/>
      </c>
      <c r="P142" s="31">
        <f>IF($A142="","",IF($AE142=0,"○ Clear",IF($AA142=1,"△ No owner",IF($AC142=1,"△ Check Sits under",IF($AC142=2,"△ Outside the portfolio",IF($AB142=1,"△ No sponsor","△ No variance note"))))&amp;IF($AE142&gt;1," (+"&amp;($AE142-1)&amp;" more)","")))</f>
        <v/>
      </c>
      <c r="Q142" s="31">
        <f>IF(AND($A142&lt;&gt;"",OR($D142="Active",$D142="Paused")),1,0)</f>
        <v/>
      </c>
      <c r="R142" s="31">
        <f>IFERROR(INDEX($A$6:$A$305,MATCH(135,$S$6:$S$305,0)),"")</f>
        <v/>
      </c>
      <c r="S142" s="31">
        <f>IF(AND($A142&lt;&gt;"",$B142="Program"),COUNTIFS($B$6:$B142,"Program",$A$6:$A142,"&lt;&gt;"),"")</f>
        <v/>
      </c>
      <c r="T142" s="33">
        <f>IF(AND($A142&lt;&gt;"",$B142="Program"),SUMPRODUCT(MAX(($C$6:$C$305=$A142)*($B$6:$B$305="Project")*($D$6:$D$305&lt;&gt;"Proposed")*$I$6:$I$305)),0)</f>
        <v/>
      </c>
      <c r="U142" s="33">
        <f>IF($I142&lt;&gt;"",$I142,IF($T142&gt;0,$T142,""))</f>
        <v/>
      </c>
      <c r="V142" s="31">
        <f>IF(AND($A142&lt;&gt;"",$B142="Program"),SUMIFS($J$6:$J$305,$C$6:$C$305,$A142,$B$6:$B$305,"Project",$D$6:$D$305,"&lt;&gt;Proposed"),0)</f>
        <v/>
      </c>
      <c r="W142" s="31">
        <f>IF(AND($A142&lt;&gt;"",$B142="Program"),COUNTIFS($C$6:$C$305,$A142,$B$6:$B$305,"Project",$D$6:$D$305,"&lt;&gt;Proposed")-COUNTIFS($C$6:$C$305,$A142,$B$6:$B$305,"Project",$D$6:$D$305,"&lt;&gt;Proposed",$J$6:$J$305,"&gt;=0"),0)</f>
        <v/>
      </c>
      <c r="X142" s="31">
        <f>IF(OR($Q142=0,$H142=""),0,IF(AND($B142="Project",$H142&lt;TODAY()),3,IF($U142="",0,IF($U142&lt;=$H142,1,IF(NETWORKDAYS($H142,$U142)-1&gt;IF($B142="Program",Portfolio!$B$16,Portfolio!$B$15),3,2)))))</f>
        <v/>
      </c>
      <c r="Y142" s="31">
        <f>IF(OR($Q142=0,$K142="",$K142=0),0,IF(AND($B142="Project",$J142=""),0,IF(IF($B142="Program",$V142,$J142)&gt;$K142*(1+Portfolio!$B$17),3,IF(IF($B142="Program",$V142,$J142)&gt;$K142,2,IF(AND($B142="Program",OR($W142&gt;0,$V142=0)),0,1)))))</f>
        <v/>
      </c>
      <c r="Z142" s="31">
        <f>IF($A142="",0,IF($C142="Portfolio",1,IF(AND($B142="Project",$C142&lt;&gt;"",$C142&lt;&gt;"Outside the portfolio"),IFERROR(IF(AND(INDEX($B$6:$B$305,MATCH($C142,$A$6:$A$305,0))="Program",INDEX($C$6:$C$305,MATCH($C142,$A$6:$A$305,0))="Portfolio"),1,0),0),0)))</f>
        <v/>
      </c>
      <c r="AA142" s="31">
        <f>IF(AND($A142&lt;&gt;"",$E142="",OR($Q142=1,$D142="Proposed")),1,0)</f>
        <v/>
      </c>
      <c r="AB142" s="31">
        <f>IF(AND($A142&lt;&gt;"",$B142="Program",$F142="",$Q142=1),1,0)</f>
        <v/>
      </c>
      <c r="AC142" s="31">
        <f>IF(OR($A142="",$D142="Completed",$D142="Terminated"),0,IF($C142="",1,IF($C142="Portfolio",0,IF($C142="Outside the portfolio",IF($Q142=1,2,0),IF($B142="Project",IF(IFERROR(INDEX($B$6:$B$305,MATCH($C142,$A$6:$A$305,0)),"")="Program",0,1),1)))))</f>
        <v/>
      </c>
      <c r="AD142" s="31">
        <f>IF(AND($A142&lt;&gt;"",OR($M142="■ Red",$M142="◧ Amber"),$L142=""),1,0)</f>
        <v/>
      </c>
      <c r="AE142" s="31">
        <f>$AA142+$AB142+IF($AC142&gt;0,1,0)+$AD142</f>
        <v/>
      </c>
      <c r="AJ142" s="14" t="n"/>
      <c r="AK142" s="29" t="n"/>
      <c r="AL142" s="31">
        <f>IF(AND($Q142=1,$Z142=1),1,0)</f>
        <v/>
      </c>
      <c r="AM142" s="31">
        <f>IF(AND($AL142=1,$AJ142&lt;&gt;""),MAX(0,TODAY()-$AJ142),"")</f>
        <v/>
      </c>
      <c r="AN142" s="31">
        <f>IF(OR($AL142=0,COUNT($AJ$6:$AJ$305)=0),0,IF($AJ142="",1,IF(TODAY()-$AJ142&gt;Board!$B$40,1,0)))</f>
        <v/>
      </c>
      <c r="AO142" s="31">
        <f>IF($AL142=0,0,IF($M142="■ Red",3,IF($M142="◧ Amber",2,IF($M142="□ On track",1,0))))</f>
        <v/>
      </c>
      <c r="AP142" s="31">
        <f>IF($AL142=0,0,IF($AK142="Will not hold",3,IF($AK142="At risk",2,IF($AK142="Will hold",1,0))))</f>
        <v/>
      </c>
      <c r="AQ142" s="31">
        <f>IF($AL142=0,"",IF($AO142=3,0,IF($AO142=2,1,IF(AND($AP142&gt;=2,$AP142&gt;$AO142),2,""))))</f>
        <v/>
      </c>
      <c r="AR142" s="31">
        <f>IF($AQ142="","",$AQ142*1000+142)</f>
        <v/>
      </c>
      <c r="AS142" s="31">
        <f>IF(AND($AL142=1,$AO142&gt;=2,$AP142&gt;=1,$AP142&lt;$AO142),1,0)</f>
        <v/>
      </c>
      <c r="AT142" s="31">
        <f>IF(AND($AL142=1,$AO142&gt;=2,$AP142=0),1,0)</f>
        <v/>
      </c>
      <c r="AU142" s="31">
        <f>IF(AND($AL142=1,$U142&lt;&gt;"",$U142&lt;TODAY()),1,0)</f>
        <v/>
      </c>
      <c r="AV142" s="31">
        <f>IF(OR($A142="",$AJ142="",Portfolio!$B$10=""),0,IF($AJ142&lt;=Portfolio!$B$10,0,IF(AND($D142="Completed",$Z142=1),1,IF(AND($D142="Terminated",$Z142=1),2,IF(AND($Q142=1,$Z142=0),3,0)))))</f>
        <v/>
      </c>
      <c r="AW142" s="31">
        <f>IF($AV142&gt;0,COUNTIF($AV$6:$AV142,"&gt;0"),"")</f>
        <v/>
      </c>
      <c r="AX142" s="31">
        <f>IF($AL142=0,"",IF(AND($B142="Project",$H142&lt;&gt;"",$H142&lt;TODAY()),"Planned finish "&amp;TEXT($H142,"d mmm")&amp;" has passed",IF($X142&gt;=2,(NETWORKDAYS($H142,$U142)-1)&amp;" working days past plan","")))</f>
        <v/>
      </c>
      <c r="AY142" s="31">
        <f>IF($AL142=0,"",IF($Y142&gt;=2,"Over budget by "&amp;TEXT(IF($B142="Program",$V142,$J142)-$K142,"#,##0"),""))</f>
        <v/>
      </c>
      <c r="AZ142" s="31">
        <f>IF(AND($AL142=1,$U142&lt;&gt;""),IF(AND(N($U142)&gt;=TODAY(),N($U142)&lt;=TODAY()+Board!$B$41),1,0),0)</f>
        <v/>
      </c>
    </row>
    <row r="143">
      <c r="A143" s="29" t="n"/>
      <c r="B143" s="29" t="n"/>
      <c r="C143" s="29" t="n"/>
      <c r="D143" s="29" t="n"/>
      <c r="E143" s="29" t="n"/>
      <c r="F143" s="29" t="n"/>
      <c r="G143" s="29" t="n"/>
      <c r="H143" s="30" t="n"/>
      <c r="I143" s="30" t="n"/>
      <c r="J143" s="19" t="n"/>
      <c r="K143" s="19" t="n"/>
      <c r="L143" s="26" t="n"/>
      <c r="M143" s="31">
        <f>IF($A143="","",IF($D143="","Not read",IF($Q143=0,"Not counted",IF(MAX($X143,$Y143)=3,"■ Red",IF(MAX($X143,$Y143)=2,"◧ Amber",IF(MAX($X143,$Y143)=1,"□ On track","Not read"))))))</f>
        <v/>
      </c>
      <c r="N143" s="31">
        <f>IF(OR($A143="",$B143&lt;&gt;"Program"),"","■ "&amp;COUNTIFS($C$6:$C$305,$A143,$M$6:$M$305,"■ Red")&amp;" Red, ◧ "&amp;COUNTIFS($C$6:$C$305,$A143,$M$6:$M$305,"◧ Amber")&amp;" Amber")</f>
        <v/>
      </c>
      <c r="O143" s="32">
        <f>IF(OR($A143="",$E143=""),"",COUNTIFS($E$6:$E$305,$E143,$D$6:$D$305,"Active")+COUNTIFS($E$6:$E$305,$E143,$D$6:$D$305,"Paused"))</f>
        <v/>
      </c>
      <c r="P143" s="31">
        <f>IF($A143="","",IF($AE143=0,"○ Clear",IF($AA143=1,"△ No owner",IF($AC143=1,"△ Check Sits under",IF($AC143=2,"△ Outside the portfolio",IF($AB143=1,"△ No sponsor","△ No variance note"))))&amp;IF($AE143&gt;1," (+"&amp;($AE143-1)&amp;" more)","")))</f>
        <v/>
      </c>
      <c r="Q143" s="31">
        <f>IF(AND($A143&lt;&gt;"",OR($D143="Active",$D143="Paused")),1,0)</f>
        <v/>
      </c>
      <c r="R143" s="31">
        <f>IFERROR(INDEX($A$6:$A$305,MATCH(136,$S$6:$S$305,0)),"")</f>
        <v/>
      </c>
      <c r="S143" s="31">
        <f>IF(AND($A143&lt;&gt;"",$B143="Program"),COUNTIFS($B$6:$B143,"Program",$A$6:$A143,"&lt;&gt;"),"")</f>
        <v/>
      </c>
      <c r="T143" s="33">
        <f>IF(AND($A143&lt;&gt;"",$B143="Program"),SUMPRODUCT(MAX(($C$6:$C$305=$A143)*($B$6:$B$305="Project")*($D$6:$D$305&lt;&gt;"Proposed")*$I$6:$I$305)),0)</f>
        <v/>
      </c>
      <c r="U143" s="33">
        <f>IF($I143&lt;&gt;"",$I143,IF($T143&gt;0,$T143,""))</f>
        <v/>
      </c>
      <c r="V143" s="31">
        <f>IF(AND($A143&lt;&gt;"",$B143="Program"),SUMIFS($J$6:$J$305,$C$6:$C$305,$A143,$B$6:$B$305,"Project",$D$6:$D$305,"&lt;&gt;Proposed"),0)</f>
        <v/>
      </c>
      <c r="W143" s="31">
        <f>IF(AND($A143&lt;&gt;"",$B143="Program"),COUNTIFS($C$6:$C$305,$A143,$B$6:$B$305,"Project",$D$6:$D$305,"&lt;&gt;Proposed")-COUNTIFS($C$6:$C$305,$A143,$B$6:$B$305,"Project",$D$6:$D$305,"&lt;&gt;Proposed",$J$6:$J$305,"&gt;=0"),0)</f>
        <v/>
      </c>
      <c r="X143" s="31">
        <f>IF(OR($Q143=0,$H143=""),0,IF(AND($B143="Project",$H143&lt;TODAY()),3,IF($U143="",0,IF($U143&lt;=$H143,1,IF(NETWORKDAYS($H143,$U143)-1&gt;IF($B143="Program",Portfolio!$B$16,Portfolio!$B$15),3,2)))))</f>
        <v/>
      </c>
      <c r="Y143" s="31">
        <f>IF(OR($Q143=0,$K143="",$K143=0),0,IF(AND($B143="Project",$J143=""),0,IF(IF($B143="Program",$V143,$J143)&gt;$K143*(1+Portfolio!$B$17),3,IF(IF($B143="Program",$V143,$J143)&gt;$K143,2,IF(AND($B143="Program",OR($W143&gt;0,$V143=0)),0,1)))))</f>
        <v/>
      </c>
      <c r="Z143" s="31">
        <f>IF($A143="",0,IF($C143="Portfolio",1,IF(AND($B143="Project",$C143&lt;&gt;"",$C143&lt;&gt;"Outside the portfolio"),IFERROR(IF(AND(INDEX($B$6:$B$305,MATCH($C143,$A$6:$A$305,0))="Program",INDEX($C$6:$C$305,MATCH($C143,$A$6:$A$305,0))="Portfolio"),1,0),0),0)))</f>
        <v/>
      </c>
      <c r="AA143" s="31">
        <f>IF(AND($A143&lt;&gt;"",$E143="",OR($Q143=1,$D143="Proposed")),1,0)</f>
        <v/>
      </c>
      <c r="AB143" s="31">
        <f>IF(AND($A143&lt;&gt;"",$B143="Program",$F143="",$Q143=1),1,0)</f>
        <v/>
      </c>
      <c r="AC143" s="31">
        <f>IF(OR($A143="",$D143="Completed",$D143="Terminated"),0,IF($C143="",1,IF($C143="Portfolio",0,IF($C143="Outside the portfolio",IF($Q143=1,2,0),IF($B143="Project",IF(IFERROR(INDEX($B$6:$B$305,MATCH($C143,$A$6:$A$305,0)),"")="Program",0,1),1)))))</f>
        <v/>
      </c>
      <c r="AD143" s="31">
        <f>IF(AND($A143&lt;&gt;"",OR($M143="■ Red",$M143="◧ Amber"),$L143=""),1,0)</f>
        <v/>
      </c>
      <c r="AE143" s="31">
        <f>$AA143+$AB143+IF($AC143&gt;0,1,0)+$AD143</f>
        <v/>
      </c>
      <c r="AJ143" s="14" t="n"/>
      <c r="AK143" s="29" t="n"/>
      <c r="AL143" s="31">
        <f>IF(AND($Q143=1,$Z143=1),1,0)</f>
        <v/>
      </c>
      <c r="AM143" s="31">
        <f>IF(AND($AL143=1,$AJ143&lt;&gt;""),MAX(0,TODAY()-$AJ143),"")</f>
        <v/>
      </c>
      <c r="AN143" s="31">
        <f>IF(OR($AL143=0,COUNT($AJ$6:$AJ$305)=0),0,IF($AJ143="",1,IF(TODAY()-$AJ143&gt;Board!$B$40,1,0)))</f>
        <v/>
      </c>
      <c r="AO143" s="31">
        <f>IF($AL143=0,0,IF($M143="■ Red",3,IF($M143="◧ Amber",2,IF($M143="□ On track",1,0))))</f>
        <v/>
      </c>
      <c r="AP143" s="31">
        <f>IF($AL143=0,0,IF($AK143="Will not hold",3,IF($AK143="At risk",2,IF($AK143="Will hold",1,0))))</f>
        <v/>
      </c>
      <c r="AQ143" s="31">
        <f>IF($AL143=0,"",IF($AO143=3,0,IF($AO143=2,1,IF(AND($AP143&gt;=2,$AP143&gt;$AO143),2,""))))</f>
        <v/>
      </c>
      <c r="AR143" s="31">
        <f>IF($AQ143="","",$AQ143*1000+143)</f>
        <v/>
      </c>
      <c r="AS143" s="31">
        <f>IF(AND($AL143=1,$AO143&gt;=2,$AP143&gt;=1,$AP143&lt;$AO143),1,0)</f>
        <v/>
      </c>
      <c r="AT143" s="31">
        <f>IF(AND($AL143=1,$AO143&gt;=2,$AP143=0),1,0)</f>
        <v/>
      </c>
      <c r="AU143" s="31">
        <f>IF(AND($AL143=1,$U143&lt;&gt;"",$U143&lt;TODAY()),1,0)</f>
        <v/>
      </c>
      <c r="AV143" s="31">
        <f>IF(OR($A143="",$AJ143="",Portfolio!$B$10=""),0,IF($AJ143&lt;=Portfolio!$B$10,0,IF(AND($D143="Completed",$Z143=1),1,IF(AND($D143="Terminated",$Z143=1),2,IF(AND($Q143=1,$Z143=0),3,0)))))</f>
        <v/>
      </c>
      <c r="AW143" s="31">
        <f>IF($AV143&gt;0,COUNTIF($AV$6:$AV143,"&gt;0"),"")</f>
        <v/>
      </c>
      <c r="AX143" s="31">
        <f>IF($AL143=0,"",IF(AND($B143="Project",$H143&lt;&gt;"",$H143&lt;TODAY()),"Planned finish "&amp;TEXT($H143,"d mmm")&amp;" has passed",IF($X143&gt;=2,(NETWORKDAYS($H143,$U143)-1)&amp;" working days past plan","")))</f>
        <v/>
      </c>
      <c r="AY143" s="31">
        <f>IF($AL143=0,"",IF($Y143&gt;=2,"Over budget by "&amp;TEXT(IF($B143="Program",$V143,$J143)-$K143,"#,##0"),""))</f>
        <v/>
      </c>
      <c r="AZ143" s="31">
        <f>IF(AND($AL143=1,$U143&lt;&gt;""),IF(AND(N($U143)&gt;=TODAY(),N($U143)&lt;=TODAY()+Board!$B$41),1,0),0)</f>
        <v/>
      </c>
    </row>
    <row r="144">
      <c r="A144" s="29" t="n"/>
      <c r="B144" s="29" t="n"/>
      <c r="C144" s="29" t="n"/>
      <c r="D144" s="29" t="n"/>
      <c r="E144" s="29" t="n"/>
      <c r="F144" s="29" t="n"/>
      <c r="G144" s="29" t="n"/>
      <c r="H144" s="30" t="n"/>
      <c r="I144" s="30" t="n"/>
      <c r="J144" s="19" t="n"/>
      <c r="K144" s="19" t="n"/>
      <c r="L144" s="26" t="n"/>
      <c r="M144" s="31">
        <f>IF($A144="","",IF($D144="","Not read",IF($Q144=0,"Not counted",IF(MAX($X144,$Y144)=3,"■ Red",IF(MAX($X144,$Y144)=2,"◧ Amber",IF(MAX($X144,$Y144)=1,"□ On track","Not read"))))))</f>
        <v/>
      </c>
      <c r="N144" s="31">
        <f>IF(OR($A144="",$B144&lt;&gt;"Program"),"","■ "&amp;COUNTIFS($C$6:$C$305,$A144,$M$6:$M$305,"■ Red")&amp;" Red, ◧ "&amp;COUNTIFS($C$6:$C$305,$A144,$M$6:$M$305,"◧ Amber")&amp;" Amber")</f>
        <v/>
      </c>
      <c r="O144" s="32">
        <f>IF(OR($A144="",$E144=""),"",COUNTIFS($E$6:$E$305,$E144,$D$6:$D$305,"Active")+COUNTIFS($E$6:$E$305,$E144,$D$6:$D$305,"Paused"))</f>
        <v/>
      </c>
      <c r="P144" s="31">
        <f>IF($A144="","",IF($AE144=0,"○ Clear",IF($AA144=1,"△ No owner",IF($AC144=1,"△ Check Sits under",IF($AC144=2,"△ Outside the portfolio",IF($AB144=1,"△ No sponsor","△ No variance note"))))&amp;IF($AE144&gt;1," (+"&amp;($AE144-1)&amp;" more)","")))</f>
        <v/>
      </c>
      <c r="Q144" s="31">
        <f>IF(AND($A144&lt;&gt;"",OR($D144="Active",$D144="Paused")),1,0)</f>
        <v/>
      </c>
      <c r="R144" s="31">
        <f>IFERROR(INDEX($A$6:$A$305,MATCH(137,$S$6:$S$305,0)),"")</f>
        <v/>
      </c>
      <c r="S144" s="31">
        <f>IF(AND($A144&lt;&gt;"",$B144="Program"),COUNTIFS($B$6:$B144,"Program",$A$6:$A144,"&lt;&gt;"),"")</f>
        <v/>
      </c>
      <c r="T144" s="33">
        <f>IF(AND($A144&lt;&gt;"",$B144="Program"),SUMPRODUCT(MAX(($C$6:$C$305=$A144)*($B$6:$B$305="Project")*($D$6:$D$305&lt;&gt;"Proposed")*$I$6:$I$305)),0)</f>
        <v/>
      </c>
      <c r="U144" s="33">
        <f>IF($I144&lt;&gt;"",$I144,IF($T144&gt;0,$T144,""))</f>
        <v/>
      </c>
      <c r="V144" s="31">
        <f>IF(AND($A144&lt;&gt;"",$B144="Program"),SUMIFS($J$6:$J$305,$C$6:$C$305,$A144,$B$6:$B$305,"Project",$D$6:$D$305,"&lt;&gt;Proposed"),0)</f>
        <v/>
      </c>
      <c r="W144" s="31">
        <f>IF(AND($A144&lt;&gt;"",$B144="Program"),COUNTIFS($C$6:$C$305,$A144,$B$6:$B$305,"Project",$D$6:$D$305,"&lt;&gt;Proposed")-COUNTIFS($C$6:$C$305,$A144,$B$6:$B$305,"Project",$D$6:$D$305,"&lt;&gt;Proposed",$J$6:$J$305,"&gt;=0"),0)</f>
        <v/>
      </c>
      <c r="X144" s="31">
        <f>IF(OR($Q144=0,$H144=""),0,IF(AND($B144="Project",$H144&lt;TODAY()),3,IF($U144="",0,IF($U144&lt;=$H144,1,IF(NETWORKDAYS($H144,$U144)-1&gt;IF($B144="Program",Portfolio!$B$16,Portfolio!$B$15),3,2)))))</f>
        <v/>
      </c>
      <c r="Y144" s="31">
        <f>IF(OR($Q144=0,$K144="",$K144=0),0,IF(AND($B144="Project",$J144=""),0,IF(IF($B144="Program",$V144,$J144)&gt;$K144*(1+Portfolio!$B$17),3,IF(IF($B144="Program",$V144,$J144)&gt;$K144,2,IF(AND($B144="Program",OR($W144&gt;0,$V144=0)),0,1)))))</f>
        <v/>
      </c>
      <c r="Z144" s="31">
        <f>IF($A144="",0,IF($C144="Portfolio",1,IF(AND($B144="Project",$C144&lt;&gt;"",$C144&lt;&gt;"Outside the portfolio"),IFERROR(IF(AND(INDEX($B$6:$B$305,MATCH($C144,$A$6:$A$305,0))="Program",INDEX($C$6:$C$305,MATCH($C144,$A$6:$A$305,0))="Portfolio"),1,0),0),0)))</f>
        <v/>
      </c>
      <c r="AA144" s="31">
        <f>IF(AND($A144&lt;&gt;"",$E144="",OR($Q144=1,$D144="Proposed")),1,0)</f>
        <v/>
      </c>
      <c r="AB144" s="31">
        <f>IF(AND($A144&lt;&gt;"",$B144="Program",$F144="",$Q144=1),1,0)</f>
        <v/>
      </c>
      <c r="AC144" s="31">
        <f>IF(OR($A144="",$D144="Completed",$D144="Terminated"),0,IF($C144="",1,IF($C144="Portfolio",0,IF($C144="Outside the portfolio",IF($Q144=1,2,0),IF($B144="Project",IF(IFERROR(INDEX($B$6:$B$305,MATCH($C144,$A$6:$A$305,0)),"")="Program",0,1),1)))))</f>
        <v/>
      </c>
      <c r="AD144" s="31">
        <f>IF(AND($A144&lt;&gt;"",OR($M144="■ Red",$M144="◧ Amber"),$L144=""),1,0)</f>
        <v/>
      </c>
      <c r="AE144" s="31">
        <f>$AA144+$AB144+IF($AC144&gt;0,1,0)+$AD144</f>
        <v/>
      </c>
      <c r="AJ144" s="14" t="n"/>
      <c r="AK144" s="29" t="n"/>
      <c r="AL144" s="31">
        <f>IF(AND($Q144=1,$Z144=1),1,0)</f>
        <v/>
      </c>
      <c r="AM144" s="31">
        <f>IF(AND($AL144=1,$AJ144&lt;&gt;""),MAX(0,TODAY()-$AJ144),"")</f>
        <v/>
      </c>
      <c r="AN144" s="31">
        <f>IF(OR($AL144=0,COUNT($AJ$6:$AJ$305)=0),0,IF($AJ144="",1,IF(TODAY()-$AJ144&gt;Board!$B$40,1,0)))</f>
        <v/>
      </c>
      <c r="AO144" s="31">
        <f>IF($AL144=0,0,IF($M144="■ Red",3,IF($M144="◧ Amber",2,IF($M144="□ On track",1,0))))</f>
        <v/>
      </c>
      <c r="AP144" s="31">
        <f>IF($AL144=0,0,IF($AK144="Will not hold",3,IF($AK144="At risk",2,IF($AK144="Will hold",1,0))))</f>
        <v/>
      </c>
      <c r="AQ144" s="31">
        <f>IF($AL144=0,"",IF($AO144=3,0,IF($AO144=2,1,IF(AND($AP144&gt;=2,$AP144&gt;$AO144),2,""))))</f>
        <v/>
      </c>
      <c r="AR144" s="31">
        <f>IF($AQ144="","",$AQ144*1000+144)</f>
        <v/>
      </c>
      <c r="AS144" s="31">
        <f>IF(AND($AL144=1,$AO144&gt;=2,$AP144&gt;=1,$AP144&lt;$AO144),1,0)</f>
        <v/>
      </c>
      <c r="AT144" s="31">
        <f>IF(AND($AL144=1,$AO144&gt;=2,$AP144=0),1,0)</f>
        <v/>
      </c>
      <c r="AU144" s="31">
        <f>IF(AND($AL144=1,$U144&lt;&gt;"",$U144&lt;TODAY()),1,0)</f>
        <v/>
      </c>
      <c r="AV144" s="31">
        <f>IF(OR($A144="",$AJ144="",Portfolio!$B$10=""),0,IF($AJ144&lt;=Portfolio!$B$10,0,IF(AND($D144="Completed",$Z144=1),1,IF(AND($D144="Terminated",$Z144=1),2,IF(AND($Q144=1,$Z144=0),3,0)))))</f>
        <v/>
      </c>
      <c r="AW144" s="31">
        <f>IF($AV144&gt;0,COUNTIF($AV$6:$AV144,"&gt;0"),"")</f>
        <v/>
      </c>
      <c r="AX144" s="31">
        <f>IF($AL144=0,"",IF(AND($B144="Project",$H144&lt;&gt;"",$H144&lt;TODAY()),"Planned finish "&amp;TEXT($H144,"d mmm")&amp;" has passed",IF($X144&gt;=2,(NETWORKDAYS($H144,$U144)-1)&amp;" working days past plan","")))</f>
        <v/>
      </c>
      <c r="AY144" s="31">
        <f>IF($AL144=0,"",IF($Y144&gt;=2,"Over budget by "&amp;TEXT(IF($B144="Program",$V144,$J144)-$K144,"#,##0"),""))</f>
        <v/>
      </c>
      <c r="AZ144" s="31">
        <f>IF(AND($AL144=1,$U144&lt;&gt;""),IF(AND(N($U144)&gt;=TODAY(),N($U144)&lt;=TODAY()+Board!$B$41),1,0),0)</f>
        <v/>
      </c>
    </row>
    <row r="145">
      <c r="A145" s="29" t="n"/>
      <c r="B145" s="29" t="n"/>
      <c r="C145" s="29" t="n"/>
      <c r="D145" s="29" t="n"/>
      <c r="E145" s="29" t="n"/>
      <c r="F145" s="29" t="n"/>
      <c r="G145" s="29" t="n"/>
      <c r="H145" s="30" t="n"/>
      <c r="I145" s="30" t="n"/>
      <c r="J145" s="19" t="n"/>
      <c r="K145" s="19" t="n"/>
      <c r="L145" s="26" t="n"/>
      <c r="M145" s="31">
        <f>IF($A145="","",IF($D145="","Not read",IF($Q145=0,"Not counted",IF(MAX($X145,$Y145)=3,"■ Red",IF(MAX($X145,$Y145)=2,"◧ Amber",IF(MAX($X145,$Y145)=1,"□ On track","Not read"))))))</f>
        <v/>
      </c>
      <c r="N145" s="31">
        <f>IF(OR($A145="",$B145&lt;&gt;"Program"),"","■ "&amp;COUNTIFS($C$6:$C$305,$A145,$M$6:$M$305,"■ Red")&amp;" Red, ◧ "&amp;COUNTIFS($C$6:$C$305,$A145,$M$6:$M$305,"◧ Amber")&amp;" Amber")</f>
        <v/>
      </c>
      <c r="O145" s="32">
        <f>IF(OR($A145="",$E145=""),"",COUNTIFS($E$6:$E$305,$E145,$D$6:$D$305,"Active")+COUNTIFS($E$6:$E$305,$E145,$D$6:$D$305,"Paused"))</f>
        <v/>
      </c>
      <c r="P145" s="31">
        <f>IF($A145="","",IF($AE145=0,"○ Clear",IF($AA145=1,"△ No owner",IF($AC145=1,"△ Check Sits under",IF($AC145=2,"△ Outside the portfolio",IF($AB145=1,"△ No sponsor","△ No variance note"))))&amp;IF($AE145&gt;1," (+"&amp;($AE145-1)&amp;" more)","")))</f>
        <v/>
      </c>
      <c r="Q145" s="31">
        <f>IF(AND($A145&lt;&gt;"",OR($D145="Active",$D145="Paused")),1,0)</f>
        <v/>
      </c>
      <c r="R145" s="31">
        <f>IFERROR(INDEX($A$6:$A$305,MATCH(138,$S$6:$S$305,0)),"")</f>
        <v/>
      </c>
      <c r="S145" s="31">
        <f>IF(AND($A145&lt;&gt;"",$B145="Program"),COUNTIFS($B$6:$B145,"Program",$A$6:$A145,"&lt;&gt;"),"")</f>
        <v/>
      </c>
      <c r="T145" s="33">
        <f>IF(AND($A145&lt;&gt;"",$B145="Program"),SUMPRODUCT(MAX(($C$6:$C$305=$A145)*($B$6:$B$305="Project")*($D$6:$D$305&lt;&gt;"Proposed")*$I$6:$I$305)),0)</f>
        <v/>
      </c>
      <c r="U145" s="33">
        <f>IF($I145&lt;&gt;"",$I145,IF($T145&gt;0,$T145,""))</f>
        <v/>
      </c>
      <c r="V145" s="31">
        <f>IF(AND($A145&lt;&gt;"",$B145="Program"),SUMIFS($J$6:$J$305,$C$6:$C$305,$A145,$B$6:$B$305,"Project",$D$6:$D$305,"&lt;&gt;Proposed"),0)</f>
        <v/>
      </c>
      <c r="W145" s="31">
        <f>IF(AND($A145&lt;&gt;"",$B145="Program"),COUNTIFS($C$6:$C$305,$A145,$B$6:$B$305,"Project",$D$6:$D$305,"&lt;&gt;Proposed")-COUNTIFS($C$6:$C$305,$A145,$B$6:$B$305,"Project",$D$6:$D$305,"&lt;&gt;Proposed",$J$6:$J$305,"&gt;=0"),0)</f>
        <v/>
      </c>
      <c r="X145" s="31">
        <f>IF(OR($Q145=0,$H145=""),0,IF(AND($B145="Project",$H145&lt;TODAY()),3,IF($U145="",0,IF($U145&lt;=$H145,1,IF(NETWORKDAYS($H145,$U145)-1&gt;IF($B145="Program",Portfolio!$B$16,Portfolio!$B$15),3,2)))))</f>
        <v/>
      </c>
      <c r="Y145" s="31">
        <f>IF(OR($Q145=0,$K145="",$K145=0),0,IF(AND($B145="Project",$J145=""),0,IF(IF($B145="Program",$V145,$J145)&gt;$K145*(1+Portfolio!$B$17),3,IF(IF($B145="Program",$V145,$J145)&gt;$K145,2,IF(AND($B145="Program",OR($W145&gt;0,$V145=0)),0,1)))))</f>
        <v/>
      </c>
      <c r="Z145" s="31">
        <f>IF($A145="",0,IF($C145="Portfolio",1,IF(AND($B145="Project",$C145&lt;&gt;"",$C145&lt;&gt;"Outside the portfolio"),IFERROR(IF(AND(INDEX($B$6:$B$305,MATCH($C145,$A$6:$A$305,0))="Program",INDEX($C$6:$C$305,MATCH($C145,$A$6:$A$305,0))="Portfolio"),1,0),0),0)))</f>
        <v/>
      </c>
      <c r="AA145" s="31">
        <f>IF(AND($A145&lt;&gt;"",$E145="",OR($Q145=1,$D145="Proposed")),1,0)</f>
        <v/>
      </c>
      <c r="AB145" s="31">
        <f>IF(AND($A145&lt;&gt;"",$B145="Program",$F145="",$Q145=1),1,0)</f>
        <v/>
      </c>
      <c r="AC145" s="31">
        <f>IF(OR($A145="",$D145="Completed",$D145="Terminated"),0,IF($C145="",1,IF($C145="Portfolio",0,IF($C145="Outside the portfolio",IF($Q145=1,2,0),IF($B145="Project",IF(IFERROR(INDEX($B$6:$B$305,MATCH($C145,$A$6:$A$305,0)),"")="Program",0,1),1)))))</f>
        <v/>
      </c>
      <c r="AD145" s="31">
        <f>IF(AND($A145&lt;&gt;"",OR($M145="■ Red",$M145="◧ Amber"),$L145=""),1,0)</f>
        <v/>
      </c>
      <c r="AE145" s="31">
        <f>$AA145+$AB145+IF($AC145&gt;0,1,0)+$AD145</f>
        <v/>
      </c>
      <c r="AJ145" s="14" t="n"/>
      <c r="AK145" s="29" t="n"/>
      <c r="AL145" s="31">
        <f>IF(AND($Q145=1,$Z145=1),1,0)</f>
        <v/>
      </c>
      <c r="AM145" s="31">
        <f>IF(AND($AL145=1,$AJ145&lt;&gt;""),MAX(0,TODAY()-$AJ145),"")</f>
        <v/>
      </c>
      <c r="AN145" s="31">
        <f>IF(OR($AL145=0,COUNT($AJ$6:$AJ$305)=0),0,IF($AJ145="",1,IF(TODAY()-$AJ145&gt;Board!$B$40,1,0)))</f>
        <v/>
      </c>
      <c r="AO145" s="31">
        <f>IF($AL145=0,0,IF($M145="■ Red",3,IF($M145="◧ Amber",2,IF($M145="□ On track",1,0))))</f>
        <v/>
      </c>
      <c r="AP145" s="31">
        <f>IF($AL145=0,0,IF($AK145="Will not hold",3,IF($AK145="At risk",2,IF($AK145="Will hold",1,0))))</f>
        <v/>
      </c>
      <c r="AQ145" s="31">
        <f>IF($AL145=0,"",IF($AO145=3,0,IF($AO145=2,1,IF(AND($AP145&gt;=2,$AP145&gt;$AO145),2,""))))</f>
        <v/>
      </c>
      <c r="AR145" s="31">
        <f>IF($AQ145="","",$AQ145*1000+145)</f>
        <v/>
      </c>
      <c r="AS145" s="31">
        <f>IF(AND($AL145=1,$AO145&gt;=2,$AP145&gt;=1,$AP145&lt;$AO145),1,0)</f>
        <v/>
      </c>
      <c r="AT145" s="31">
        <f>IF(AND($AL145=1,$AO145&gt;=2,$AP145=0),1,0)</f>
        <v/>
      </c>
      <c r="AU145" s="31">
        <f>IF(AND($AL145=1,$U145&lt;&gt;"",$U145&lt;TODAY()),1,0)</f>
        <v/>
      </c>
      <c r="AV145" s="31">
        <f>IF(OR($A145="",$AJ145="",Portfolio!$B$10=""),0,IF($AJ145&lt;=Portfolio!$B$10,0,IF(AND($D145="Completed",$Z145=1),1,IF(AND($D145="Terminated",$Z145=1),2,IF(AND($Q145=1,$Z145=0),3,0)))))</f>
        <v/>
      </c>
      <c r="AW145" s="31">
        <f>IF($AV145&gt;0,COUNTIF($AV$6:$AV145,"&gt;0"),"")</f>
        <v/>
      </c>
      <c r="AX145" s="31">
        <f>IF($AL145=0,"",IF(AND($B145="Project",$H145&lt;&gt;"",$H145&lt;TODAY()),"Planned finish "&amp;TEXT($H145,"d mmm")&amp;" has passed",IF($X145&gt;=2,(NETWORKDAYS($H145,$U145)-1)&amp;" working days past plan","")))</f>
        <v/>
      </c>
      <c r="AY145" s="31">
        <f>IF($AL145=0,"",IF($Y145&gt;=2,"Over budget by "&amp;TEXT(IF($B145="Program",$V145,$J145)-$K145,"#,##0"),""))</f>
        <v/>
      </c>
      <c r="AZ145" s="31">
        <f>IF(AND($AL145=1,$U145&lt;&gt;""),IF(AND(N($U145)&gt;=TODAY(),N($U145)&lt;=TODAY()+Board!$B$41),1,0),0)</f>
        <v/>
      </c>
    </row>
    <row r="146">
      <c r="A146" s="29" t="n"/>
      <c r="B146" s="29" t="n"/>
      <c r="C146" s="29" t="n"/>
      <c r="D146" s="29" t="n"/>
      <c r="E146" s="29" t="n"/>
      <c r="F146" s="29" t="n"/>
      <c r="G146" s="29" t="n"/>
      <c r="H146" s="30" t="n"/>
      <c r="I146" s="30" t="n"/>
      <c r="J146" s="19" t="n"/>
      <c r="K146" s="19" t="n"/>
      <c r="L146" s="26" t="n"/>
      <c r="M146" s="31">
        <f>IF($A146="","",IF($D146="","Not read",IF($Q146=0,"Not counted",IF(MAX($X146,$Y146)=3,"■ Red",IF(MAX($X146,$Y146)=2,"◧ Amber",IF(MAX($X146,$Y146)=1,"□ On track","Not read"))))))</f>
        <v/>
      </c>
      <c r="N146" s="31">
        <f>IF(OR($A146="",$B146&lt;&gt;"Program"),"","■ "&amp;COUNTIFS($C$6:$C$305,$A146,$M$6:$M$305,"■ Red")&amp;" Red, ◧ "&amp;COUNTIFS($C$6:$C$305,$A146,$M$6:$M$305,"◧ Amber")&amp;" Amber")</f>
        <v/>
      </c>
      <c r="O146" s="32">
        <f>IF(OR($A146="",$E146=""),"",COUNTIFS($E$6:$E$305,$E146,$D$6:$D$305,"Active")+COUNTIFS($E$6:$E$305,$E146,$D$6:$D$305,"Paused"))</f>
        <v/>
      </c>
      <c r="P146" s="31">
        <f>IF($A146="","",IF($AE146=0,"○ Clear",IF($AA146=1,"△ No owner",IF($AC146=1,"△ Check Sits under",IF($AC146=2,"△ Outside the portfolio",IF($AB146=1,"△ No sponsor","△ No variance note"))))&amp;IF($AE146&gt;1," (+"&amp;($AE146-1)&amp;" more)","")))</f>
        <v/>
      </c>
      <c r="Q146" s="31">
        <f>IF(AND($A146&lt;&gt;"",OR($D146="Active",$D146="Paused")),1,0)</f>
        <v/>
      </c>
      <c r="R146" s="31">
        <f>IFERROR(INDEX($A$6:$A$305,MATCH(139,$S$6:$S$305,0)),"")</f>
        <v/>
      </c>
      <c r="S146" s="31">
        <f>IF(AND($A146&lt;&gt;"",$B146="Program"),COUNTIFS($B$6:$B146,"Program",$A$6:$A146,"&lt;&gt;"),"")</f>
        <v/>
      </c>
      <c r="T146" s="33">
        <f>IF(AND($A146&lt;&gt;"",$B146="Program"),SUMPRODUCT(MAX(($C$6:$C$305=$A146)*($B$6:$B$305="Project")*($D$6:$D$305&lt;&gt;"Proposed")*$I$6:$I$305)),0)</f>
        <v/>
      </c>
      <c r="U146" s="33">
        <f>IF($I146&lt;&gt;"",$I146,IF($T146&gt;0,$T146,""))</f>
        <v/>
      </c>
      <c r="V146" s="31">
        <f>IF(AND($A146&lt;&gt;"",$B146="Program"),SUMIFS($J$6:$J$305,$C$6:$C$305,$A146,$B$6:$B$305,"Project",$D$6:$D$305,"&lt;&gt;Proposed"),0)</f>
        <v/>
      </c>
      <c r="W146" s="31">
        <f>IF(AND($A146&lt;&gt;"",$B146="Program"),COUNTIFS($C$6:$C$305,$A146,$B$6:$B$305,"Project",$D$6:$D$305,"&lt;&gt;Proposed")-COUNTIFS($C$6:$C$305,$A146,$B$6:$B$305,"Project",$D$6:$D$305,"&lt;&gt;Proposed",$J$6:$J$305,"&gt;=0"),0)</f>
        <v/>
      </c>
      <c r="X146" s="31">
        <f>IF(OR($Q146=0,$H146=""),0,IF(AND($B146="Project",$H146&lt;TODAY()),3,IF($U146="",0,IF($U146&lt;=$H146,1,IF(NETWORKDAYS($H146,$U146)-1&gt;IF($B146="Program",Portfolio!$B$16,Portfolio!$B$15),3,2)))))</f>
        <v/>
      </c>
      <c r="Y146" s="31">
        <f>IF(OR($Q146=0,$K146="",$K146=0),0,IF(AND($B146="Project",$J146=""),0,IF(IF($B146="Program",$V146,$J146)&gt;$K146*(1+Portfolio!$B$17),3,IF(IF($B146="Program",$V146,$J146)&gt;$K146,2,IF(AND($B146="Program",OR($W146&gt;0,$V146=0)),0,1)))))</f>
        <v/>
      </c>
      <c r="Z146" s="31">
        <f>IF($A146="",0,IF($C146="Portfolio",1,IF(AND($B146="Project",$C146&lt;&gt;"",$C146&lt;&gt;"Outside the portfolio"),IFERROR(IF(AND(INDEX($B$6:$B$305,MATCH($C146,$A$6:$A$305,0))="Program",INDEX($C$6:$C$305,MATCH($C146,$A$6:$A$305,0))="Portfolio"),1,0),0),0)))</f>
        <v/>
      </c>
      <c r="AA146" s="31">
        <f>IF(AND($A146&lt;&gt;"",$E146="",OR($Q146=1,$D146="Proposed")),1,0)</f>
        <v/>
      </c>
      <c r="AB146" s="31">
        <f>IF(AND($A146&lt;&gt;"",$B146="Program",$F146="",$Q146=1),1,0)</f>
        <v/>
      </c>
      <c r="AC146" s="31">
        <f>IF(OR($A146="",$D146="Completed",$D146="Terminated"),0,IF($C146="",1,IF($C146="Portfolio",0,IF($C146="Outside the portfolio",IF($Q146=1,2,0),IF($B146="Project",IF(IFERROR(INDEX($B$6:$B$305,MATCH($C146,$A$6:$A$305,0)),"")="Program",0,1),1)))))</f>
        <v/>
      </c>
      <c r="AD146" s="31">
        <f>IF(AND($A146&lt;&gt;"",OR($M146="■ Red",$M146="◧ Amber"),$L146=""),1,0)</f>
        <v/>
      </c>
      <c r="AE146" s="31">
        <f>$AA146+$AB146+IF($AC146&gt;0,1,0)+$AD146</f>
        <v/>
      </c>
      <c r="AJ146" s="14" t="n"/>
      <c r="AK146" s="29" t="n"/>
      <c r="AL146" s="31">
        <f>IF(AND($Q146=1,$Z146=1),1,0)</f>
        <v/>
      </c>
      <c r="AM146" s="31">
        <f>IF(AND($AL146=1,$AJ146&lt;&gt;""),MAX(0,TODAY()-$AJ146),"")</f>
        <v/>
      </c>
      <c r="AN146" s="31">
        <f>IF(OR($AL146=0,COUNT($AJ$6:$AJ$305)=0),0,IF($AJ146="",1,IF(TODAY()-$AJ146&gt;Board!$B$40,1,0)))</f>
        <v/>
      </c>
      <c r="AO146" s="31">
        <f>IF($AL146=0,0,IF($M146="■ Red",3,IF($M146="◧ Amber",2,IF($M146="□ On track",1,0))))</f>
        <v/>
      </c>
      <c r="AP146" s="31">
        <f>IF($AL146=0,0,IF($AK146="Will not hold",3,IF($AK146="At risk",2,IF($AK146="Will hold",1,0))))</f>
        <v/>
      </c>
      <c r="AQ146" s="31">
        <f>IF($AL146=0,"",IF($AO146=3,0,IF($AO146=2,1,IF(AND($AP146&gt;=2,$AP146&gt;$AO146),2,""))))</f>
        <v/>
      </c>
      <c r="AR146" s="31">
        <f>IF($AQ146="","",$AQ146*1000+146)</f>
        <v/>
      </c>
      <c r="AS146" s="31">
        <f>IF(AND($AL146=1,$AO146&gt;=2,$AP146&gt;=1,$AP146&lt;$AO146),1,0)</f>
        <v/>
      </c>
      <c r="AT146" s="31">
        <f>IF(AND($AL146=1,$AO146&gt;=2,$AP146=0),1,0)</f>
        <v/>
      </c>
      <c r="AU146" s="31">
        <f>IF(AND($AL146=1,$U146&lt;&gt;"",$U146&lt;TODAY()),1,0)</f>
        <v/>
      </c>
      <c r="AV146" s="31">
        <f>IF(OR($A146="",$AJ146="",Portfolio!$B$10=""),0,IF($AJ146&lt;=Portfolio!$B$10,0,IF(AND($D146="Completed",$Z146=1),1,IF(AND($D146="Terminated",$Z146=1),2,IF(AND($Q146=1,$Z146=0),3,0)))))</f>
        <v/>
      </c>
      <c r="AW146" s="31">
        <f>IF($AV146&gt;0,COUNTIF($AV$6:$AV146,"&gt;0"),"")</f>
        <v/>
      </c>
      <c r="AX146" s="31">
        <f>IF($AL146=0,"",IF(AND($B146="Project",$H146&lt;&gt;"",$H146&lt;TODAY()),"Planned finish "&amp;TEXT($H146,"d mmm")&amp;" has passed",IF($X146&gt;=2,(NETWORKDAYS($H146,$U146)-1)&amp;" working days past plan","")))</f>
        <v/>
      </c>
      <c r="AY146" s="31">
        <f>IF($AL146=0,"",IF($Y146&gt;=2,"Over budget by "&amp;TEXT(IF($B146="Program",$V146,$J146)-$K146,"#,##0"),""))</f>
        <v/>
      </c>
      <c r="AZ146" s="31">
        <f>IF(AND($AL146=1,$U146&lt;&gt;""),IF(AND(N($U146)&gt;=TODAY(),N($U146)&lt;=TODAY()+Board!$B$41),1,0),0)</f>
        <v/>
      </c>
    </row>
    <row r="147">
      <c r="A147" s="29" t="n"/>
      <c r="B147" s="29" t="n"/>
      <c r="C147" s="29" t="n"/>
      <c r="D147" s="29" t="n"/>
      <c r="E147" s="29" t="n"/>
      <c r="F147" s="29" t="n"/>
      <c r="G147" s="29" t="n"/>
      <c r="H147" s="30" t="n"/>
      <c r="I147" s="30" t="n"/>
      <c r="J147" s="19" t="n"/>
      <c r="K147" s="19" t="n"/>
      <c r="L147" s="26" t="n"/>
      <c r="M147" s="31">
        <f>IF($A147="","",IF($D147="","Not read",IF($Q147=0,"Not counted",IF(MAX($X147,$Y147)=3,"■ Red",IF(MAX($X147,$Y147)=2,"◧ Amber",IF(MAX($X147,$Y147)=1,"□ On track","Not read"))))))</f>
        <v/>
      </c>
      <c r="N147" s="31">
        <f>IF(OR($A147="",$B147&lt;&gt;"Program"),"","■ "&amp;COUNTIFS($C$6:$C$305,$A147,$M$6:$M$305,"■ Red")&amp;" Red, ◧ "&amp;COUNTIFS($C$6:$C$305,$A147,$M$6:$M$305,"◧ Amber")&amp;" Amber")</f>
        <v/>
      </c>
      <c r="O147" s="32">
        <f>IF(OR($A147="",$E147=""),"",COUNTIFS($E$6:$E$305,$E147,$D$6:$D$305,"Active")+COUNTIFS($E$6:$E$305,$E147,$D$6:$D$305,"Paused"))</f>
        <v/>
      </c>
      <c r="P147" s="31">
        <f>IF($A147="","",IF($AE147=0,"○ Clear",IF($AA147=1,"△ No owner",IF($AC147=1,"△ Check Sits under",IF($AC147=2,"△ Outside the portfolio",IF($AB147=1,"△ No sponsor","△ No variance note"))))&amp;IF($AE147&gt;1," (+"&amp;($AE147-1)&amp;" more)","")))</f>
        <v/>
      </c>
      <c r="Q147" s="31">
        <f>IF(AND($A147&lt;&gt;"",OR($D147="Active",$D147="Paused")),1,0)</f>
        <v/>
      </c>
      <c r="R147" s="31">
        <f>IFERROR(INDEX($A$6:$A$305,MATCH(140,$S$6:$S$305,0)),"")</f>
        <v/>
      </c>
      <c r="S147" s="31">
        <f>IF(AND($A147&lt;&gt;"",$B147="Program"),COUNTIFS($B$6:$B147,"Program",$A$6:$A147,"&lt;&gt;"),"")</f>
        <v/>
      </c>
      <c r="T147" s="33">
        <f>IF(AND($A147&lt;&gt;"",$B147="Program"),SUMPRODUCT(MAX(($C$6:$C$305=$A147)*($B$6:$B$305="Project")*($D$6:$D$305&lt;&gt;"Proposed")*$I$6:$I$305)),0)</f>
        <v/>
      </c>
      <c r="U147" s="33">
        <f>IF($I147&lt;&gt;"",$I147,IF($T147&gt;0,$T147,""))</f>
        <v/>
      </c>
      <c r="V147" s="31">
        <f>IF(AND($A147&lt;&gt;"",$B147="Program"),SUMIFS($J$6:$J$305,$C$6:$C$305,$A147,$B$6:$B$305,"Project",$D$6:$D$305,"&lt;&gt;Proposed"),0)</f>
        <v/>
      </c>
      <c r="W147" s="31">
        <f>IF(AND($A147&lt;&gt;"",$B147="Program"),COUNTIFS($C$6:$C$305,$A147,$B$6:$B$305,"Project",$D$6:$D$305,"&lt;&gt;Proposed")-COUNTIFS($C$6:$C$305,$A147,$B$6:$B$305,"Project",$D$6:$D$305,"&lt;&gt;Proposed",$J$6:$J$305,"&gt;=0"),0)</f>
        <v/>
      </c>
      <c r="X147" s="31">
        <f>IF(OR($Q147=0,$H147=""),0,IF(AND($B147="Project",$H147&lt;TODAY()),3,IF($U147="",0,IF($U147&lt;=$H147,1,IF(NETWORKDAYS($H147,$U147)-1&gt;IF($B147="Program",Portfolio!$B$16,Portfolio!$B$15),3,2)))))</f>
        <v/>
      </c>
      <c r="Y147" s="31">
        <f>IF(OR($Q147=0,$K147="",$K147=0),0,IF(AND($B147="Project",$J147=""),0,IF(IF($B147="Program",$V147,$J147)&gt;$K147*(1+Portfolio!$B$17),3,IF(IF($B147="Program",$V147,$J147)&gt;$K147,2,IF(AND($B147="Program",OR($W147&gt;0,$V147=0)),0,1)))))</f>
        <v/>
      </c>
      <c r="Z147" s="31">
        <f>IF($A147="",0,IF($C147="Portfolio",1,IF(AND($B147="Project",$C147&lt;&gt;"",$C147&lt;&gt;"Outside the portfolio"),IFERROR(IF(AND(INDEX($B$6:$B$305,MATCH($C147,$A$6:$A$305,0))="Program",INDEX($C$6:$C$305,MATCH($C147,$A$6:$A$305,0))="Portfolio"),1,0),0),0)))</f>
        <v/>
      </c>
      <c r="AA147" s="31">
        <f>IF(AND($A147&lt;&gt;"",$E147="",OR($Q147=1,$D147="Proposed")),1,0)</f>
        <v/>
      </c>
      <c r="AB147" s="31">
        <f>IF(AND($A147&lt;&gt;"",$B147="Program",$F147="",$Q147=1),1,0)</f>
        <v/>
      </c>
      <c r="AC147" s="31">
        <f>IF(OR($A147="",$D147="Completed",$D147="Terminated"),0,IF($C147="",1,IF($C147="Portfolio",0,IF($C147="Outside the portfolio",IF($Q147=1,2,0),IF($B147="Project",IF(IFERROR(INDEX($B$6:$B$305,MATCH($C147,$A$6:$A$305,0)),"")="Program",0,1),1)))))</f>
        <v/>
      </c>
      <c r="AD147" s="31">
        <f>IF(AND($A147&lt;&gt;"",OR($M147="■ Red",$M147="◧ Amber"),$L147=""),1,0)</f>
        <v/>
      </c>
      <c r="AE147" s="31">
        <f>$AA147+$AB147+IF($AC147&gt;0,1,0)+$AD147</f>
        <v/>
      </c>
      <c r="AJ147" s="14" t="n"/>
      <c r="AK147" s="29" t="n"/>
      <c r="AL147" s="31">
        <f>IF(AND($Q147=1,$Z147=1),1,0)</f>
        <v/>
      </c>
      <c r="AM147" s="31">
        <f>IF(AND($AL147=1,$AJ147&lt;&gt;""),MAX(0,TODAY()-$AJ147),"")</f>
        <v/>
      </c>
      <c r="AN147" s="31">
        <f>IF(OR($AL147=0,COUNT($AJ$6:$AJ$305)=0),0,IF($AJ147="",1,IF(TODAY()-$AJ147&gt;Board!$B$40,1,0)))</f>
        <v/>
      </c>
      <c r="AO147" s="31">
        <f>IF($AL147=0,0,IF($M147="■ Red",3,IF($M147="◧ Amber",2,IF($M147="□ On track",1,0))))</f>
        <v/>
      </c>
      <c r="AP147" s="31">
        <f>IF($AL147=0,0,IF($AK147="Will not hold",3,IF($AK147="At risk",2,IF($AK147="Will hold",1,0))))</f>
        <v/>
      </c>
      <c r="AQ147" s="31">
        <f>IF($AL147=0,"",IF($AO147=3,0,IF($AO147=2,1,IF(AND($AP147&gt;=2,$AP147&gt;$AO147),2,""))))</f>
        <v/>
      </c>
      <c r="AR147" s="31">
        <f>IF($AQ147="","",$AQ147*1000+147)</f>
        <v/>
      </c>
      <c r="AS147" s="31">
        <f>IF(AND($AL147=1,$AO147&gt;=2,$AP147&gt;=1,$AP147&lt;$AO147),1,0)</f>
        <v/>
      </c>
      <c r="AT147" s="31">
        <f>IF(AND($AL147=1,$AO147&gt;=2,$AP147=0),1,0)</f>
        <v/>
      </c>
      <c r="AU147" s="31">
        <f>IF(AND($AL147=1,$U147&lt;&gt;"",$U147&lt;TODAY()),1,0)</f>
        <v/>
      </c>
      <c r="AV147" s="31">
        <f>IF(OR($A147="",$AJ147="",Portfolio!$B$10=""),0,IF($AJ147&lt;=Portfolio!$B$10,0,IF(AND($D147="Completed",$Z147=1),1,IF(AND($D147="Terminated",$Z147=1),2,IF(AND($Q147=1,$Z147=0),3,0)))))</f>
        <v/>
      </c>
      <c r="AW147" s="31">
        <f>IF($AV147&gt;0,COUNTIF($AV$6:$AV147,"&gt;0"),"")</f>
        <v/>
      </c>
      <c r="AX147" s="31">
        <f>IF($AL147=0,"",IF(AND($B147="Project",$H147&lt;&gt;"",$H147&lt;TODAY()),"Planned finish "&amp;TEXT($H147,"d mmm")&amp;" has passed",IF($X147&gt;=2,(NETWORKDAYS($H147,$U147)-1)&amp;" working days past plan","")))</f>
        <v/>
      </c>
      <c r="AY147" s="31">
        <f>IF($AL147=0,"",IF($Y147&gt;=2,"Over budget by "&amp;TEXT(IF($B147="Program",$V147,$J147)-$K147,"#,##0"),""))</f>
        <v/>
      </c>
      <c r="AZ147" s="31">
        <f>IF(AND($AL147=1,$U147&lt;&gt;""),IF(AND(N($U147)&gt;=TODAY(),N($U147)&lt;=TODAY()+Board!$B$41),1,0),0)</f>
        <v/>
      </c>
    </row>
    <row r="148">
      <c r="A148" s="29" t="n"/>
      <c r="B148" s="29" t="n"/>
      <c r="C148" s="29" t="n"/>
      <c r="D148" s="29" t="n"/>
      <c r="E148" s="29" t="n"/>
      <c r="F148" s="29" t="n"/>
      <c r="G148" s="29" t="n"/>
      <c r="H148" s="30" t="n"/>
      <c r="I148" s="30" t="n"/>
      <c r="J148" s="19" t="n"/>
      <c r="K148" s="19" t="n"/>
      <c r="L148" s="26" t="n"/>
      <c r="M148" s="31">
        <f>IF($A148="","",IF($D148="","Not read",IF($Q148=0,"Not counted",IF(MAX($X148,$Y148)=3,"■ Red",IF(MAX($X148,$Y148)=2,"◧ Amber",IF(MAX($X148,$Y148)=1,"□ On track","Not read"))))))</f>
        <v/>
      </c>
      <c r="N148" s="31">
        <f>IF(OR($A148="",$B148&lt;&gt;"Program"),"","■ "&amp;COUNTIFS($C$6:$C$305,$A148,$M$6:$M$305,"■ Red")&amp;" Red, ◧ "&amp;COUNTIFS($C$6:$C$305,$A148,$M$6:$M$305,"◧ Amber")&amp;" Amber")</f>
        <v/>
      </c>
      <c r="O148" s="32">
        <f>IF(OR($A148="",$E148=""),"",COUNTIFS($E$6:$E$305,$E148,$D$6:$D$305,"Active")+COUNTIFS($E$6:$E$305,$E148,$D$6:$D$305,"Paused"))</f>
        <v/>
      </c>
      <c r="P148" s="31">
        <f>IF($A148="","",IF($AE148=0,"○ Clear",IF($AA148=1,"△ No owner",IF($AC148=1,"△ Check Sits under",IF($AC148=2,"△ Outside the portfolio",IF($AB148=1,"△ No sponsor","△ No variance note"))))&amp;IF($AE148&gt;1," (+"&amp;($AE148-1)&amp;" more)","")))</f>
        <v/>
      </c>
      <c r="Q148" s="31">
        <f>IF(AND($A148&lt;&gt;"",OR($D148="Active",$D148="Paused")),1,0)</f>
        <v/>
      </c>
      <c r="R148" s="31">
        <f>IFERROR(INDEX($A$6:$A$305,MATCH(141,$S$6:$S$305,0)),"")</f>
        <v/>
      </c>
      <c r="S148" s="31">
        <f>IF(AND($A148&lt;&gt;"",$B148="Program"),COUNTIFS($B$6:$B148,"Program",$A$6:$A148,"&lt;&gt;"),"")</f>
        <v/>
      </c>
      <c r="T148" s="33">
        <f>IF(AND($A148&lt;&gt;"",$B148="Program"),SUMPRODUCT(MAX(($C$6:$C$305=$A148)*($B$6:$B$305="Project")*($D$6:$D$305&lt;&gt;"Proposed")*$I$6:$I$305)),0)</f>
        <v/>
      </c>
      <c r="U148" s="33">
        <f>IF($I148&lt;&gt;"",$I148,IF($T148&gt;0,$T148,""))</f>
        <v/>
      </c>
      <c r="V148" s="31">
        <f>IF(AND($A148&lt;&gt;"",$B148="Program"),SUMIFS($J$6:$J$305,$C$6:$C$305,$A148,$B$6:$B$305,"Project",$D$6:$D$305,"&lt;&gt;Proposed"),0)</f>
        <v/>
      </c>
      <c r="W148" s="31">
        <f>IF(AND($A148&lt;&gt;"",$B148="Program"),COUNTIFS($C$6:$C$305,$A148,$B$6:$B$305,"Project",$D$6:$D$305,"&lt;&gt;Proposed")-COUNTIFS($C$6:$C$305,$A148,$B$6:$B$305,"Project",$D$6:$D$305,"&lt;&gt;Proposed",$J$6:$J$305,"&gt;=0"),0)</f>
        <v/>
      </c>
      <c r="X148" s="31">
        <f>IF(OR($Q148=0,$H148=""),0,IF(AND($B148="Project",$H148&lt;TODAY()),3,IF($U148="",0,IF($U148&lt;=$H148,1,IF(NETWORKDAYS($H148,$U148)-1&gt;IF($B148="Program",Portfolio!$B$16,Portfolio!$B$15),3,2)))))</f>
        <v/>
      </c>
      <c r="Y148" s="31">
        <f>IF(OR($Q148=0,$K148="",$K148=0),0,IF(AND($B148="Project",$J148=""),0,IF(IF($B148="Program",$V148,$J148)&gt;$K148*(1+Portfolio!$B$17),3,IF(IF($B148="Program",$V148,$J148)&gt;$K148,2,IF(AND($B148="Program",OR($W148&gt;0,$V148=0)),0,1)))))</f>
        <v/>
      </c>
      <c r="Z148" s="31">
        <f>IF($A148="",0,IF($C148="Portfolio",1,IF(AND($B148="Project",$C148&lt;&gt;"",$C148&lt;&gt;"Outside the portfolio"),IFERROR(IF(AND(INDEX($B$6:$B$305,MATCH($C148,$A$6:$A$305,0))="Program",INDEX($C$6:$C$305,MATCH($C148,$A$6:$A$305,0))="Portfolio"),1,0),0),0)))</f>
        <v/>
      </c>
      <c r="AA148" s="31">
        <f>IF(AND($A148&lt;&gt;"",$E148="",OR($Q148=1,$D148="Proposed")),1,0)</f>
        <v/>
      </c>
      <c r="AB148" s="31">
        <f>IF(AND($A148&lt;&gt;"",$B148="Program",$F148="",$Q148=1),1,0)</f>
        <v/>
      </c>
      <c r="AC148" s="31">
        <f>IF(OR($A148="",$D148="Completed",$D148="Terminated"),0,IF($C148="",1,IF($C148="Portfolio",0,IF($C148="Outside the portfolio",IF($Q148=1,2,0),IF($B148="Project",IF(IFERROR(INDEX($B$6:$B$305,MATCH($C148,$A$6:$A$305,0)),"")="Program",0,1),1)))))</f>
        <v/>
      </c>
      <c r="AD148" s="31">
        <f>IF(AND($A148&lt;&gt;"",OR($M148="■ Red",$M148="◧ Amber"),$L148=""),1,0)</f>
        <v/>
      </c>
      <c r="AE148" s="31">
        <f>$AA148+$AB148+IF($AC148&gt;0,1,0)+$AD148</f>
        <v/>
      </c>
      <c r="AJ148" s="14" t="n"/>
      <c r="AK148" s="29" t="n"/>
      <c r="AL148" s="31">
        <f>IF(AND($Q148=1,$Z148=1),1,0)</f>
        <v/>
      </c>
      <c r="AM148" s="31">
        <f>IF(AND($AL148=1,$AJ148&lt;&gt;""),MAX(0,TODAY()-$AJ148),"")</f>
        <v/>
      </c>
      <c r="AN148" s="31">
        <f>IF(OR($AL148=0,COUNT($AJ$6:$AJ$305)=0),0,IF($AJ148="",1,IF(TODAY()-$AJ148&gt;Board!$B$40,1,0)))</f>
        <v/>
      </c>
      <c r="AO148" s="31">
        <f>IF($AL148=0,0,IF($M148="■ Red",3,IF($M148="◧ Amber",2,IF($M148="□ On track",1,0))))</f>
        <v/>
      </c>
      <c r="AP148" s="31">
        <f>IF($AL148=0,0,IF($AK148="Will not hold",3,IF($AK148="At risk",2,IF($AK148="Will hold",1,0))))</f>
        <v/>
      </c>
      <c r="AQ148" s="31">
        <f>IF($AL148=0,"",IF($AO148=3,0,IF($AO148=2,1,IF(AND($AP148&gt;=2,$AP148&gt;$AO148),2,""))))</f>
        <v/>
      </c>
      <c r="AR148" s="31">
        <f>IF($AQ148="","",$AQ148*1000+148)</f>
        <v/>
      </c>
      <c r="AS148" s="31">
        <f>IF(AND($AL148=1,$AO148&gt;=2,$AP148&gt;=1,$AP148&lt;$AO148),1,0)</f>
        <v/>
      </c>
      <c r="AT148" s="31">
        <f>IF(AND($AL148=1,$AO148&gt;=2,$AP148=0),1,0)</f>
        <v/>
      </c>
      <c r="AU148" s="31">
        <f>IF(AND($AL148=1,$U148&lt;&gt;"",$U148&lt;TODAY()),1,0)</f>
        <v/>
      </c>
      <c r="AV148" s="31">
        <f>IF(OR($A148="",$AJ148="",Portfolio!$B$10=""),0,IF($AJ148&lt;=Portfolio!$B$10,0,IF(AND($D148="Completed",$Z148=1),1,IF(AND($D148="Terminated",$Z148=1),2,IF(AND($Q148=1,$Z148=0),3,0)))))</f>
        <v/>
      </c>
      <c r="AW148" s="31">
        <f>IF($AV148&gt;0,COUNTIF($AV$6:$AV148,"&gt;0"),"")</f>
        <v/>
      </c>
      <c r="AX148" s="31">
        <f>IF($AL148=0,"",IF(AND($B148="Project",$H148&lt;&gt;"",$H148&lt;TODAY()),"Planned finish "&amp;TEXT($H148,"d mmm")&amp;" has passed",IF($X148&gt;=2,(NETWORKDAYS($H148,$U148)-1)&amp;" working days past plan","")))</f>
        <v/>
      </c>
      <c r="AY148" s="31">
        <f>IF($AL148=0,"",IF($Y148&gt;=2,"Over budget by "&amp;TEXT(IF($B148="Program",$V148,$J148)-$K148,"#,##0"),""))</f>
        <v/>
      </c>
      <c r="AZ148" s="31">
        <f>IF(AND($AL148=1,$U148&lt;&gt;""),IF(AND(N($U148)&gt;=TODAY(),N($U148)&lt;=TODAY()+Board!$B$41),1,0),0)</f>
        <v/>
      </c>
    </row>
    <row r="149">
      <c r="A149" s="29" t="n"/>
      <c r="B149" s="29" t="n"/>
      <c r="C149" s="29" t="n"/>
      <c r="D149" s="29" t="n"/>
      <c r="E149" s="29" t="n"/>
      <c r="F149" s="29" t="n"/>
      <c r="G149" s="29" t="n"/>
      <c r="H149" s="30" t="n"/>
      <c r="I149" s="30" t="n"/>
      <c r="J149" s="19" t="n"/>
      <c r="K149" s="19" t="n"/>
      <c r="L149" s="26" t="n"/>
      <c r="M149" s="31">
        <f>IF($A149="","",IF($D149="","Not read",IF($Q149=0,"Not counted",IF(MAX($X149,$Y149)=3,"■ Red",IF(MAX($X149,$Y149)=2,"◧ Amber",IF(MAX($X149,$Y149)=1,"□ On track","Not read"))))))</f>
        <v/>
      </c>
      <c r="N149" s="31">
        <f>IF(OR($A149="",$B149&lt;&gt;"Program"),"","■ "&amp;COUNTIFS($C$6:$C$305,$A149,$M$6:$M$305,"■ Red")&amp;" Red, ◧ "&amp;COUNTIFS($C$6:$C$305,$A149,$M$6:$M$305,"◧ Amber")&amp;" Amber")</f>
        <v/>
      </c>
      <c r="O149" s="32">
        <f>IF(OR($A149="",$E149=""),"",COUNTIFS($E$6:$E$305,$E149,$D$6:$D$305,"Active")+COUNTIFS($E$6:$E$305,$E149,$D$6:$D$305,"Paused"))</f>
        <v/>
      </c>
      <c r="P149" s="31">
        <f>IF($A149="","",IF($AE149=0,"○ Clear",IF($AA149=1,"△ No owner",IF($AC149=1,"△ Check Sits under",IF($AC149=2,"△ Outside the portfolio",IF($AB149=1,"△ No sponsor","△ No variance note"))))&amp;IF($AE149&gt;1," (+"&amp;($AE149-1)&amp;" more)","")))</f>
        <v/>
      </c>
      <c r="Q149" s="31">
        <f>IF(AND($A149&lt;&gt;"",OR($D149="Active",$D149="Paused")),1,0)</f>
        <v/>
      </c>
      <c r="R149" s="31">
        <f>IFERROR(INDEX($A$6:$A$305,MATCH(142,$S$6:$S$305,0)),"")</f>
        <v/>
      </c>
      <c r="S149" s="31">
        <f>IF(AND($A149&lt;&gt;"",$B149="Program"),COUNTIFS($B$6:$B149,"Program",$A$6:$A149,"&lt;&gt;"),"")</f>
        <v/>
      </c>
      <c r="T149" s="33">
        <f>IF(AND($A149&lt;&gt;"",$B149="Program"),SUMPRODUCT(MAX(($C$6:$C$305=$A149)*($B$6:$B$305="Project")*($D$6:$D$305&lt;&gt;"Proposed")*$I$6:$I$305)),0)</f>
        <v/>
      </c>
      <c r="U149" s="33">
        <f>IF($I149&lt;&gt;"",$I149,IF($T149&gt;0,$T149,""))</f>
        <v/>
      </c>
      <c r="V149" s="31">
        <f>IF(AND($A149&lt;&gt;"",$B149="Program"),SUMIFS($J$6:$J$305,$C$6:$C$305,$A149,$B$6:$B$305,"Project",$D$6:$D$305,"&lt;&gt;Proposed"),0)</f>
        <v/>
      </c>
      <c r="W149" s="31">
        <f>IF(AND($A149&lt;&gt;"",$B149="Program"),COUNTIFS($C$6:$C$305,$A149,$B$6:$B$305,"Project",$D$6:$D$305,"&lt;&gt;Proposed")-COUNTIFS($C$6:$C$305,$A149,$B$6:$B$305,"Project",$D$6:$D$305,"&lt;&gt;Proposed",$J$6:$J$305,"&gt;=0"),0)</f>
        <v/>
      </c>
      <c r="X149" s="31">
        <f>IF(OR($Q149=0,$H149=""),0,IF(AND($B149="Project",$H149&lt;TODAY()),3,IF($U149="",0,IF($U149&lt;=$H149,1,IF(NETWORKDAYS($H149,$U149)-1&gt;IF($B149="Program",Portfolio!$B$16,Portfolio!$B$15),3,2)))))</f>
        <v/>
      </c>
      <c r="Y149" s="31">
        <f>IF(OR($Q149=0,$K149="",$K149=0),0,IF(AND($B149="Project",$J149=""),0,IF(IF($B149="Program",$V149,$J149)&gt;$K149*(1+Portfolio!$B$17),3,IF(IF($B149="Program",$V149,$J149)&gt;$K149,2,IF(AND($B149="Program",OR($W149&gt;0,$V149=0)),0,1)))))</f>
        <v/>
      </c>
      <c r="Z149" s="31">
        <f>IF($A149="",0,IF($C149="Portfolio",1,IF(AND($B149="Project",$C149&lt;&gt;"",$C149&lt;&gt;"Outside the portfolio"),IFERROR(IF(AND(INDEX($B$6:$B$305,MATCH($C149,$A$6:$A$305,0))="Program",INDEX($C$6:$C$305,MATCH($C149,$A$6:$A$305,0))="Portfolio"),1,0),0),0)))</f>
        <v/>
      </c>
      <c r="AA149" s="31">
        <f>IF(AND($A149&lt;&gt;"",$E149="",OR($Q149=1,$D149="Proposed")),1,0)</f>
        <v/>
      </c>
      <c r="AB149" s="31">
        <f>IF(AND($A149&lt;&gt;"",$B149="Program",$F149="",$Q149=1),1,0)</f>
        <v/>
      </c>
      <c r="AC149" s="31">
        <f>IF(OR($A149="",$D149="Completed",$D149="Terminated"),0,IF($C149="",1,IF($C149="Portfolio",0,IF($C149="Outside the portfolio",IF($Q149=1,2,0),IF($B149="Project",IF(IFERROR(INDEX($B$6:$B$305,MATCH($C149,$A$6:$A$305,0)),"")="Program",0,1),1)))))</f>
        <v/>
      </c>
      <c r="AD149" s="31">
        <f>IF(AND($A149&lt;&gt;"",OR($M149="■ Red",$M149="◧ Amber"),$L149=""),1,0)</f>
        <v/>
      </c>
      <c r="AE149" s="31">
        <f>$AA149+$AB149+IF($AC149&gt;0,1,0)+$AD149</f>
        <v/>
      </c>
      <c r="AJ149" s="14" t="n"/>
      <c r="AK149" s="29" t="n"/>
      <c r="AL149" s="31">
        <f>IF(AND($Q149=1,$Z149=1),1,0)</f>
        <v/>
      </c>
      <c r="AM149" s="31">
        <f>IF(AND($AL149=1,$AJ149&lt;&gt;""),MAX(0,TODAY()-$AJ149),"")</f>
        <v/>
      </c>
      <c r="AN149" s="31">
        <f>IF(OR($AL149=0,COUNT($AJ$6:$AJ$305)=0),0,IF($AJ149="",1,IF(TODAY()-$AJ149&gt;Board!$B$40,1,0)))</f>
        <v/>
      </c>
      <c r="AO149" s="31">
        <f>IF($AL149=0,0,IF($M149="■ Red",3,IF($M149="◧ Amber",2,IF($M149="□ On track",1,0))))</f>
        <v/>
      </c>
      <c r="AP149" s="31">
        <f>IF($AL149=0,0,IF($AK149="Will not hold",3,IF($AK149="At risk",2,IF($AK149="Will hold",1,0))))</f>
        <v/>
      </c>
      <c r="AQ149" s="31">
        <f>IF($AL149=0,"",IF($AO149=3,0,IF($AO149=2,1,IF(AND($AP149&gt;=2,$AP149&gt;$AO149),2,""))))</f>
        <v/>
      </c>
      <c r="AR149" s="31">
        <f>IF($AQ149="","",$AQ149*1000+149)</f>
        <v/>
      </c>
      <c r="AS149" s="31">
        <f>IF(AND($AL149=1,$AO149&gt;=2,$AP149&gt;=1,$AP149&lt;$AO149),1,0)</f>
        <v/>
      </c>
      <c r="AT149" s="31">
        <f>IF(AND($AL149=1,$AO149&gt;=2,$AP149=0),1,0)</f>
        <v/>
      </c>
      <c r="AU149" s="31">
        <f>IF(AND($AL149=1,$U149&lt;&gt;"",$U149&lt;TODAY()),1,0)</f>
        <v/>
      </c>
      <c r="AV149" s="31">
        <f>IF(OR($A149="",$AJ149="",Portfolio!$B$10=""),0,IF($AJ149&lt;=Portfolio!$B$10,0,IF(AND($D149="Completed",$Z149=1),1,IF(AND($D149="Terminated",$Z149=1),2,IF(AND($Q149=1,$Z149=0),3,0)))))</f>
        <v/>
      </c>
      <c r="AW149" s="31">
        <f>IF($AV149&gt;0,COUNTIF($AV$6:$AV149,"&gt;0"),"")</f>
        <v/>
      </c>
      <c r="AX149" s="31">
        <f>IF($AL149=0,"",IF(AND($B149="Project",$H149&lt;&gt;"",$H149&lt;TODAY()),"Planned finish "&amp;TEXT($H149,"d mmm")&amp;" has passed",IF($X149&gt;=2,(NETWORKDAYS($H149,$U149)-1)&amp;" working days past plan","")))</f>
        <v/>
      </c>
      <c r="AY149" s="31">
        <f>IF($AL149=0,"",IF($Y149&gt;=2,"Over budget by "&amp;TEXT(IF($B149="Program",$V149,$J149)-$K149,"#,##0"),""))</f>
        <v/>
      </c>
      <c r="AZ149" s="31">
        <f>IF(AND($AL149=1,$U149&lt;&gt;""),IF(AND(N($U149)&gt;=TODAY(),N($U149)&lt;=TODAY()+Board!$B$41),1,0),0)</f>
        <v/>
      </c>
    </row>
    <row r="150">
      <c r="A150" s="29" t="n"/>
      <c r="B150" s="29" t="n"/>
      <c r="C150" s="29" t="n"/>
      <c r="D150" s="29" t="n"/>
      <c r="E150" s="29" t="n"/>
      <c r="F150" s="29" t="n"/>
      <c r="G150" s="29" t="n"/>
      <c r="H150" s="30" t="n"/>
      <c r="I150" s="30" t="n"/>
      <c r="J150" s="19" t="n"/>
      <c r="K150" s="19" t="n"/>
      <c r="L150" s="26" t="n"/>
      <c r="M150" s="31">
        <f>IF($A150="","",IF($D150="","Not read",IF($Q150=0,"Not counted",IF(MAX($X150,$Y150)=3,"■ Red",IF(MAX($X150,$Y150)=2,"◧ Amber",IF(MAX($X150,$Y150)=1,"□ On track","Not read"))))))</f>
        <v/>
      </c>
      <c r="N150" s="31">
        <f>IF(OR($A150="",$B150&lt;&gt;"Program"),"","■ "&amp;COUNTIFS($C$6:$C$305,$A150,$M$6:$M$305,"■ Red")&amp;" Red, ◧ "&amp;COUNTIFS($C$6:$C$305,$A150,$M$6:$M$305,"◧ Amber")&amp;" Amber")</f>
        <v/>
      </c>
      <c r="O150" s="32">
        <f>IF(OR($A150="",$E150=""),"",COUNTIFS($E$6:$E$305,$E150,$D$6:$D$305,"Active")+COUNTIFS($E$6:$E$305,$E150,$D$6:$D$305,"Paused"))</f>
        <v/>
      </c>
      <c r="P150" s="31">
        <f>IF($A150="","",IF($AE150=0,"○ Clear",IF($AA150=1,"△ No owner",IF($AC150=1,"△ Check Sits under",IF($AC150=2,"△ Outside the portfolio",IF($AB150=1,"△ No sponsor","△ No variance note"))))&amp;IF($AE150&gt;1," (+"&amp;($AE150-1)&amp;" more)","")))</f>
        <v/>
      </c>
      <c r="Q150" s="31">
        <f>IF(AND($A150&lt;&gt;"",OR($D150="Active",$D150="Paused")),1,0)</f>
        <v/>
      </c>
      <c r="R150" s="31">
        <f>IFERROR(INDEX($A$6:$A$305,MATCH(143,$S$6:$S$305,0)),"")</f>
        <v/>
      </c>
      <c r="S150" s="31">
        <f>IF(AND($A150&lt;&gt;"",$B150="Program"),COUNTIFS($B$6:$B150,"Program",$A$6:$A150,"&lt;&gt;"),"")</f>
        <v/>
      </c>
      <c r="T150" s="33">
        <f>IF(AND($A150&lt;&gt;"",$B150="Program"),SUMPRODUCT(MAX(($C$6:$C$305=$A150)*($B$6:$B$305="Project")*($D$6:$D$305&lt;&gt;"Proposed")*$I$6:$I$305)),0)</f>
        <v/>
      </c>
      <c r="U150" s="33">
        <f>IF($I150&lt;&gt;"",$I150,IF($T150&gt;0,$T150,""))</f>
        <v/>
      </c>
      <c r="V150" s="31">
        <f>IF(AND($A150&lt;&gt;"",$B150="Program"),SUMIFS($J$6:$J$305,$C$6:$C$305,$A150,$B$6:$B$305,"Project",$D$6:$D$305,"&lt;&gt;Proposed"),0)</f>
        <v/>
      </c>
      <c r="W150" s="31">
        <f>IF(AND($A150&lt;&gt;"",$B150="Program"),COUNTIFS($C$6:$C$305,$A150,$B$6:$B$305,"Project",$D$6:$D$305,"&lt;&gt;Proposed")-COUNTIFS($C$6:$C$305,$A150,$B$6:$B$305,"Project",$D$6:$D$305,"&lt;&gt;Proposed",$J$6:$J$305,"&gt;=0"),0)</f>
        <v/>
      </c>
      <c r="X150" s="31">
        <f>IF(OR($Q150=0,$H150=""),0,IF(AND($B150="Project",$H150&lt;TODAY()),3,IF($U150="",0,IF($U150&lt;=$H150,1,IF(NETWORKDAYS($H150,$U150)-1&gt;IF($B150="Program",Portfolio!$B$16,Portfolio!$B$15),3,2)))))</f>
        <v/>
      </c>
      <c r="Y150" s="31">
        <f>IF(OR($Q150=0,$K150="",$K150=0),0,IF(AND($B150="Project",$J150=""),0,IF(IF($B150="Program",$V150,$J150)&gt;$K150*(1+Portfolio!$B$17),3,IF(IF($B150="Program",$V150,$J150)&gt;$K150,2,IF(AND($B150="Program",OR($W150&gt;0,$V150=0)),0,1)))))</f>
        <v/>
      </c>
      <c r="Z150" s="31">
        <f>IF($A150="",0,IF($C150="Portfolio",1,IF(AND($B150="Project",$C150&lt;&gt;"",$C150&lt;&gt;"Outside the portfolio"),IFERROR(IF(AND(INDEX($B$6:$B$305,MATCH($C150,$A$6:$A$305,0))="Program",INDEX($C$6:$C$305,MATCH($C150,$A$6:$A$305,0))="Portfolio"),1,0),0),0)))</f>
        <v/>
      </c>
      <c r="AA150" s="31">
        <f>IF(AND($A150&lt;&gt;"",$E150="",OR($Q150=1,$D150="Proposed")),1,0)</f>
        <v/>
      </c>
      <c r="AB150" s="31">
        <f>IF(AND($A150&lt;&gt;"",$B150="Program",$F150="",$Q150=1),1,0)</f>
        <v/>
      </c>
      <c r="AC150" s="31">
        <f>IF(OR($A150="",$D150="Completed",$D150="Terminated"),0,IF($C150="",1,IF($C150="Portfolio",0,IF($C150="Outside the portfolio",IF($Q150=1,2,0),IF($B150="Project",IF(IFERROR(INDEX($B$6:$B$305,MATCH($C150,$A$6:$A$305,0)),"")="Program",0,1),1)))))</f>
        <v/>
      </c>
      <c r="AD150" s="31">
        <f>IF(AND($A150&lt;&gt;"",OR($M150="■ Red",$M150="◧ Amber"),$L150=""),1,0)</f>
        <v/>
      </c>
      <c r="AE150" s="31">
        <f>$AA150+$AB150+IF($AC150&gt;0,1,0)+$AD150</f>
        <v/>
      </c>
      <c r="AJ150" s="14" t="n"/>
      <c r="AK150" s="29" t="n"/>
      <c r="AL150" s="31">
        <f>IF(AND($Q150=1,$Z150=1),1,0)</f>
        <v/>
      </c>
      <c r="AM150" s="31">
        <f>IF(AND($AL150=1,$AJ150&lt;&gt;""),MAX(0,TODAY()-$AJ150),"")</f>
        <v/>
      </c>
      <c r="AN150" s="31">
        <f>IF(OR($AL150=0,COUNT($AJ$6:$AJ$305)=0),0,IF($AJ150="",1,IF(TODAY()-$AJ150&gt;Board!$B$40,1,0)))</f>
        <v/>
      </c>
      <c r="AO150" s="31">
        <f>IF($AL150=0,0,IF($M150="■ Red",3,IF($M150="◧ Amber",2,IF($M150="□ On track",1,0))))</f>
        <v/>
      </c>
      <c r="AP150" s="31">
        <f>IF($AL150=0,0,IF($AK150="Will not hold",3,IF($AK150="At risk",2,IF($AK150="Will hold",1,0))))</f>
        <v/>
      </c>
      <c r="AQ150" s="31">
        <f>IF($AL150=0,"",IF($AO150=3,0,IF($AO150=2,1,IF(AND($AP150&gt;=2,$AP150&gt;$AO150),2,""))))</f>
        <v/>
      </c>
      <c r="AR150" s="31">
        <f>IF($AQ150="","",$AQ150*1000+150)</f>
        <v/>
      </c>
      <c r="AS150" s="31">
        <f>IF(AND($AL150=1,$AO150&gt;=2,$AP150&gt;=1,$AP150&lt;$AO150),1,0)</f>
        <v/>
      </c>
      <c r="AT150" s="31">
        <f>IF(AND($AL150=1,$AO150&gt;=2,$AP150=0),1,0)</f>
        <v/>
      </c>
      <c r="AU150" s="31">
        <f>IF(AND($AL150=1,$U150&lt;&gt;"",$U150&lt;TODAY()),1,0)</f>
        <v/>
      </c>
      <c r="AV150" s="31">
        <f>IF(OR($A150="",$AJ150="",Portfolio!$B$10=""),0,IF($AJ150&lt;=Portfolio!$B$10,0,IF(AND($D150="Completed",$Z150=1),1,IF(AND($D150="Terminated",$Z150=1),2,IF(AND($Q150=1,$Z150=0),3,0)))))</f>
        <v/>
      </c>
      <c r="AW150" s="31">
        <f>IF($AV150&gt;0,COUNTIF($AV$6:$AV150,"&gt;0"),"")</f>
        <v/>
      </c>
      <c r="AX150" s="31">
        <f>IF($AL150=0,"",IF(AND($B150="Project",$H150&lt;&gt;"",$H150&lt;TODAY()),"Planned finish "&amp;TEXT($H150,"d mmm")&amp;" has passed",IF($X150&gt;=2,(NETWORKDAYS($H150,$U150)-1)&amp;" working days past plan","")))</f>
        <v/>
      </c>
      <c r="AY150" s="31">
        <f>IF($AL150=0,"",IF($Y150&gt;=2,"Over budget by "&amp;TEXT(IF($B150="Program",$V150,$J150)-$K150,"#,##0"),""))</f>
        <v/>
      </c>
      <c r="AZ150" s="31">
        <f>IF(AND($AL150=1,$U150&lt;&gt;""),IF(AND(N($U150)&gt;=TODAY(),N($U150)&lt;=TODAY()+Board!$B$41),1,0),0)</f>
        <v/>
      </c>
    </row>
    <row r="151">
      <c r="A151" s="29" t="n"/>
      <c r="B151" s="29" t="n"/>
      <c r="C151" s="29" t="n"/>
      <c r="D151" s="29" t="n"/>
      <c r="E151" s="29" t="n"/>
      <c r="F151" s="29" t="n"/>
      <c r="G151" s="29" t="n"/>
      <c r="H151" s="30" t="n"/>
      <c r="I151" s="30" t="n"/>
      <c r="J151" s="19" t="n"/>
      <c r="K151" s="19" t="n"/>
      <c r="L151" s="26" t="n"/>
      <c r="M151" s="31">
        <f>IF($A151="","",IF($D151="","Not read",IF($Q151=0,"Not counted",IF(MAX($X151,$Y151)=3,"■ Red",IF(MAX($X151,$Y151)=2,"◧ Amber",IF(MAX($X151,$Y151)=1,"□ On track","Not read"))))))</f>
        <v/>
      </c>
      <c r="N151" s="31">
        <f>IF(OR($A151="",$B151&lt;&gt;"Program"),"","■ "&amp;COUNTIFS($C$6:$C$305,$A151,$M$6:$M$305,"■ Red")&amp;" Red, ◧ "&amp;COUNTIFS($C$6:$C$305,$A151,$M$6:$M$305,"◧ Amber")&amp;" Amber")</f>
        <v/>
      </c>
      <c r="O151" s="32">
        <f>IF(OR($A151="",$E151=""),"",COUNTIFS($E$6:$E$305,$E151,$D$6:$D$305,"Active")+COUNTIFS($E$6:$E$305,$E151,$D$6:$D$305,"Paused"))</f>
        <v/>
      </c>
      <c r="P151" s="31">
        <f>IF($A151="","",IF($AE151=0,"○ Clear",IF($AA151=1,"△ No owner",IF($AC151=1,"△ Check Sits under",IF($AC151=2,"△ Outside the portfolio",IF($AB151=1,"△ No sponsor","△ No variance note"))))&amp;IF($AE151&gt;1," (+"&amp;($AE151-1)&amp;" more)","")))</f>
        <v/>
      </c>
      <c r="Q151" s="31">
        <f>IF(AND($A151&lt;&gt;"",OR($D151="Active",$D151="Paused")),1,0)</f>
        <v/>
      </c>
      <c r="R151" s="31">
        <f>IFERROR(INDEX($A$6:$A$305,MATCH(144,$S$6:$S$305,0)),"")</f>
        <v/>
      </c>
      <c r="S151" s="31">
        <f>IF(AND($A151&lt;&gt;"",$B151="Program"),COUNTIFS($B$6:$B151,"Program",$A$6:$A151,"&lt;&gt;"),"")</f>
        <v/>
      </c>
      <c r="T151" s="33">
        <f>IF(AND($A151&lt;&gt;"",$B151="Program"),SUMPRODUCT(MAX(($C$6:$C$305=$A151)*($B$6:$B$305="Project")*($D$6:$D$305&lt;&gt;"Proposed")*$I$6:$I$305)),0)</f>
        <v/>
      </c>
      <c r="U151" s="33">
        <f>IF($I151&lt;&gt;"",$I151,IF($T151&gt;0,$T151,""))</f>
        <v/>
      </c>
      <c r="V151" s="31">
        <f>IF(AND($A151&lt;&gt;"",$B151="Program"),SUMIFS($J$6:$J$305,$C$6:$C$305,$A151,$B$6:$B$305,"Project",$D$6:$D$305,"&lt;&gt;Proposed"),0)</f>
        <v/>
      </c>
      <c r="W151" s="31">
        <f>IF(AND($A151&lt;&gt;"",$B151="Program"),COUNTIFS($C$6:$C$305,$A151,$B$6:$B$305,"Project",$D$6:$D$305,"&lt;&gt;Proposed")-COUNTIFS($C$6:$C$305,$A151,$B$6:$B$305,"Project",$D$6:$D$305,"&lt;&gt;Proposed",$J$6:$J$305,"&gt;=0"),0)</f>
        <v/>
      </c>
      <c r="X151" s="31">
        <f>IF(OR($Q151=0,$H151=""),0,IF(AND($B151="Project",$H151&lt;TODAY()),3,IF($U151="",0,IF($U151&lt;=$H151,1,IF(NETWORKDAYS($H151,$U151)-1&gt;IF($B151="Program",Portfolio!$B$16,Portfolio!$B$15),3,2)))))</f>
        <v/>
      </c>
      <c r="Y151" s="31">
        <f>IF(OR($Q151=0,$K151="",$K151=0),0,IF(AND($B151="Project",$J151=""),0,IF(IF($B151="Program",$V151,$J151)&gt;$K151*(1+Portfolio!$B$17),3,IF(IF($B151="Program",$V151,$J151)&gt;$K151,2,IF(AND($B151="Program",OR($W151&gt;0,$V151=0)),0,1)))))</f>
        <v/>
      </c>
      <c r="Z151" s="31">
        <f>IF($A151="",0,IF($C151="Portfolio",1,IF(AND($B151="Project",$C151&lt;&gt;"",$C151&lt;&gt;"Outside the portfolio"),IFERROR(IF(AND(INDEX($B$6:$B$305,MATCH($C151,$A$6:$A$305,0))="Program",INDEX($C$6:$C$305,MATCH($C151,$A$6:$A$305,0))="Portfolio"),1,0),0),0)))</f>
        <v/>
      </c>
      <c r="AA151" s="31">
        <f>IF(AND($A151&lt;&gt;"",$E151="",OR($Q151=1,$D151="Proposed")),1,0)</f>
        <v/>
      </c>
      <c r="AB151" s="31">
        <f>IF(AND($A151&lt;&gt;"",$B151="Program",$F151="",$Q151=1),1,0)</f>
        <v/>
      </c>
      <c r="AC151" s="31">
        <f>IF(OR($A151="",$D151="Completed",$D151="Terminated"),0,IF($C151="",1,IF($C151="Portfolio",0,IF($C151="Outside the portfolio",IF($Q151=1,2,0),IF($B151="Project",IF(IFERROR(INDEX($B$6:$B$305,MATCH($C151,$A$6:$A$305,0)),"")="Program",0,1),1)))))</f>
        <v/>
      </c>
      <c r="AD151" s="31">
        <f>IF(AND($A151&lt;&gt;"",OR($M151="■ Red",$M151="◧ Amber"),$L151=""),1,0)</f>
        <v/>
      </c>
      <c r="AE151" s="31">
        <f>$AA151+$AB151+IF($AC151&gt;0,1,0)+$AD151</f>
        <v/>
      </c>
      <c r="AJ151" s="14" t="n"/>
      <c r="AK151" s="29" t="n"/>
      <c r="AL151" s="31">
        <f>IF(AND($Q151=1,$Z151=1),1,0)</f>
        <v/>
      </c>
      <c r="AM151" s="31">
        <f>IF(AND($AL151=1,$AJ151&lt;&gt;""),MAX(0,TODAY()-$AJ151),"")</f>
        <v/>
      </c>
      <c r="AN151" s="31">
        <f>IF(OR($AL151=0,COUNT($AJ$6:$AJ$305)=0),0,IF($AJ151="",1,IF(TODAY()-$AJ151&gt;Board!$B$40,1,0)))</f>
        <v/>
      </c>
      <c r="AO151" s="31">
        <f>IF($AL151=0,0,IF($M151="■ Red",3,IF($M151="◧ Amber",2,IF($M151="□ On track",1,0))))</f>
        <v/>
      </c>
      <c r="AP151" s="31">
        <f>IF($AL151=0,0,IF($AK151="Will not hold",3,IF($AK151="At risk",2,IF($AK151="Will hold",1,0))))</f>
        <v/>
      </c>
      <c r="AQ151" s="31">
        <f>IF($AL151=0,"",IF($AO151=3,0,IF($AO151=2,1,IF(AND($AP151&gt;=2,$AP151&gt;$AO151),2,""))))</f>
        <v/>
      </c>
      <c r="AR151" s="31">
        <f>IF($AQ151="","",$AQ151*1000+151)</f>
        <v/>
      </c>
      <c r="AS151" s="31">
        <f>IF(AND($AL151=1,$AO151&gt;=2,$AP151&gt;=1,$AP151&lt;$AO151),1,0)</f>
        <v/>
      </c>
      <c r="AT151" s="31">
        <f>IF(AND($AL151=1,$AO151&gt;=2,$AP151=0),1,0)</f>
        <v/>
      </c>
      <c r="AU151" s="31">
        <f>IF(AND($AL151=1,$U151&lt;&gt;"",$U151&lt;TODAY()),1,0)</f>
        <v/>
      </c>
      <c r="AV151" s="31">
        <f>IF(OR($A151="",$AJ151="",Portfolio!$B$10=""),0,IF($AJ151&lt;=Portfolio!$B$10,0,IF(AND($D151="Completed",$Z151=1),1,IF(AND($D151="Terminated",$Z151=1),2,IF(AND($Q151=1,$Z151=0),3,0)))))</f>
        <v/>
      </c>
      <c r="AW151" s="31">
        <f>IF($AV151&gt;0,COUNTIF($AV$6:$AV151,"&gt;0"),"")</f>
        <v/>
      </c>
      <c r="AX151" s="31">
        <f>IF($AL151=0,"",IF(AND($B151="Project",$H151&lt;&gt;"",$H151&lt;TODAY()),"Planned finish "&amp;TEXT($H151,"d mmm")&amp;" has passed",IF($X151&gt;=2,(NETWORKDAYS($H151,$U151)-1)&amp;" working days past plan","")))</f>
        <v/>
      </c>
      <c r="AY151" s="31">
        <f>IF($AL151=0,"",IF($Y151&gt;=2,"Over budget by "&amp;TEXT(IF($B151="Program",$V151,$J151)-$K151,"#,##0"),""))</f>
        <v/>
      </c>
      <c r="AZ151" s="31">
        <f>IF(AND($AL151=1,$U151&lt;&gt;""),IF(AND(N($U151)&gt;=TODAY(),N($U151)&lt;=TODAY()+Board!$B$41),1,0),0)</f>
        <v/>
      </c>
    </row>
    <row r="152">
      <c r="A152" s="29" t="n"/>
      <c r="B152" s="29" t="n"/>
      <c r="C152" s="29" t="n"/>
      <c r="D152" s="29" t="n"/>
      <c r="E152" s="29" t="n"/>
      <c r="F152" s="29" t="n"/>
      <c r="G152" s="29" t="n"/>
      <c r="H152" s="30" t="n"/>
      <c r="I152" s="30" t="n"/>
      <c r="J152" s="19" t="n"/>
      <c r="K152" s="19" t="n"/>
      <c r="L152" s="26" t="n"/>
      <c r="M152" s="31">
        <f>IF($A152="","",IF($D152="","Not read",IF($Q152=0,"Not counted",IF(MAX($X152,$Y152)=3,"■ Red",IF(MAX($X152,$Y152)=2,"◧ Amber",IF(MAX($X152,$Y152)=1,"□ On track","Not read"))))))</f>
        <v/>
      </c>
      <c r="N152" s="31">
        <f>IF(OR($A152="",$B152&lt;&gt;"Program"),"","■ "&amp;COUNTIFS($C$6:$C$305,$A152,$M$6:$M$305,"■ Red")&amp;" Red, ◧ "&amp;COUNTIFS($C$6:$C$305,$A152,$M$6:$M$305,"◧ Amber")&amp;" Amber")</f>
        <v/>
      </c>
      <c r="O152" s="32">
        <f>IF(OR($A152="",$E152=""),"",COUNTIFS($E$6:$E$305,$E152,$D$6:$D$305,"Active")+COUNTIFS($E$6:$E$305,$E152,$D$6:$D$305,"Paused"))</f>
        <v/>
      </c>
      <c r="P152" s="31">
        <f>IF($A152="","",IF($AE152=0,"○ Clear",IF($AA152=1,"△ No owner",IF($AC152=1,"△ Check Sits under",IF($AC152=2,"△ Outside the portfolio",IF($AB152=1,"△ No sponsor","△ No variance note"))))&amp;IF($AE152&gt;1," (+"&amp;($AE152-1)&amp;" more)","")))</f>
        <v/>
      </c>
      <c r="Q152" s="31">
        <f>IF(AND($A152&lt;&gt;"",OR($D152="Active",$D152="Paused")),1,0)</f>
        <v/>
      </c>
      <c r="R152" s="31">
        <f>IFERROR(INDEX($A$6:$A$305,MATCH(145,$S$6:$S$305,0)),"")</f>
        <v/>
      </c>
      <c r="S152" s="31">
        <f>IF(AND($A152&lt;&gt;"",$B152="Program"),COUNTIFS($B$6:$B152,"Program",$A$6:$A152,"&lt;&gt;"),"")</f>
        <v/>
      </c>
      <c r="T152" s="33">
        <f>IF(AND($A152&lt;&gt;"",$B152="Program"),SUMPRODUCT(MAX(($C$6:$C$305=$A152)*($B$6:$B$305="Project")*($D$6:$D$305&lt;&gt;"Proposed")*$I$6:$I$305)),0)</f>
        <v/>
      </c>
      <c r="U152" s="33">
        <f>IF($I152&lt;&gt;"",$I152,IF($T152&gt;0,$T152,""))</f>
        <v/>
      </c>
      <c r="V152" s="31">
        <f>IF(AND($A152&lt;&gt;"",$B152="Program"),SUMIFS($J$6:$J$305,$C$6:$C$305,$A152,$B$6:$B$305,"Project",$D$6:$D$305,"&lt;&gt;Proposed"),0)</f>
        <v/>
      </c>
      <c r="W152" s="31">
        <f>IF(AND($A152&lt;&gt;"",$B152="Program"),COUNTIFS($C$6:$C$305,$A152,$B$6:$B$305,"Project",$D$6:$D$305,"&lt;&gt;Proposed")-COUNTIFS($C$6:$C$305,$A152,$B$6:$B$305,"Project",$D$6:$D$305,"&lt;&gt;Proposed",$J$6:$J$305,"&gt;=0"),0)</f>
        <v/>
      </c>
      <c r="X152" s="31">
        <f>IF(OR($Q152=0,$H152=""),0,IF(AND($B152="Project",$H152&lt;TODAY()),3,IF($U152="",0,IF($U152&lt;=$H152,1,IF(NETWORKDAYS($H152,$U152)-1&gt;IF($B152="Program",Portfolio!$B$16,Portfolio!$B$15),3,2)))))</f>
        <v/>
      </c>
      <c r="Y152" s="31">
        <f>IF(OR($Q152=0,$K152="",$K152=0),0,IF(AND($B152="Project",$J152=""),0,IF(IF($B152="Program",$V152,$J152)&gt;$K152*(1+Portfolio!$B$17),3,IF(IF($B152="Program",$V152,$J152)&gt;$K152,2,IF(AND($B152="Program",OR($W152&gt;0,$V152=0)),0,1)))))</f>
        <v/>
      </c>
      <c r="Z152" s="31">
        <f>IF($A152="",0,IF($C152="Portfolio",1,IF(AND($B152="Project",$C152&lt;&gt;"",$C152&lt;&gt;"Outside the portfolio"),IFERROR(IF(AND(INDEX($B$6:$B$305,MATCH($C152,$A$6:$A$305,0))="Program",INDEX($C$6:$C$305,MATCH($C152,$A$6:$A$305,0))="Portfolio"),1,0),0),0)))</f>
        <v/>
      </c>
      <c r="AA152" s="31">
        <f>IF(AND($A152&lt;&gt;"",$E152="",OR($Q152=1,$D152="Proposed")),1,0)</f>
        <v/>
      </c>
      <c r="AB152" s="31">
        <f>IF(AND($A152&lt;&gt;"",$B152="Program",$F152="",$Q152=1),1,0)</f>
        <v/>
      </c>
      <c r="AC152" s="31">
        <f>IF(OR($A152="",$D152="Completed",$D152="Terminated"),0,IF($C152="",1,IF($C152="Portfolio",0,IF($C152="Outside the portfolio",IF($Q152=1,2,0),IF($B152="Project",IF(IFERROR(INDEX($B$6:$B$305,MATCH($C152,$A$6:$A$305,0)),"")="Program",0,1),1)))))</f>
        <v/>
      </c>
      <c r="AD152" s="31">
        <f>IF(AND($A152&lt;&gt;"",OR($M152="■ Red",$M152="◧ Amber"),$L152=""),1,0)</f>
        <v/>
      </c>
      <c r="AE152" s="31">
        <f>$AA152+$AB152+IF($AC152&gt;0,1,0)+$AD152</f>
        <v/>
      </c>
      <c r="AJ152" s="14" t="n"/>
      <c r="AK152" s="29" t="n"/>
      <c r="AL152" s="31">
        <f>IF(AND($Q152=1,$Z152=1),1,0)</f>
        <v/>
      </c>
      <c r="AM152" s="31">
        <f>IF(AND($AL152=1,$AJ152&lt;&gt;""),MAX(0,TODAY()-$AJ152),"")</f>
        <v/>
      </c>
      <c r="AN152" s="31">
        <f>IF(OR($AL152=0,COUNT($AJ$6:$AJ$305)=0),0,IF($AJ152="",1,IF(TODAY()-$AJ152&gt;Board!$B$40,1,0)))</f>
        <v/>
      </c>
      <c r="AO152" s="31">
        <f>IF($AL152=0,0,IF($M152="■ Red",3,IF($M152="◧ Amber",2,IF($M152="□ On track",1,0))))</f>
        <v/>
      </c>
      <c r="AP152" s="31">
        <f>IF($AL152=0,0,IF($AK152="Will not hold",3,IF($AK152="At risk",2,IF($AK152="Will hold",1,0))))</f>
        <v/>
      </c>
      <c r="AQ152" s="31">
        <f>IF($AL152=0,"",IF($AO152=3,0,IF($AO152=2,1,IF(AND($AP152&gt;=2,$AP152&gt;$AO152),2,""))))</f>
        <v/>
      </c>
      <c r="AR152" s="31">
        <f>IF($AQ152="","",$AQ152*1000+152)</f>
        <v/>
      </c>
      <c r="AS152" s="31">
        <f>IF(AND($AL152=1,$AO152&gt;=2,$AP152&gt;=1,$AP152&lt;$AO152),1,0)</f>
        <v/>
      </c>
      <c r="AT152" s="31">
        <f>IF(AND($AL152=1,$AO152&gt;=2,$AP152=0),1,0)</f>
        <v/>
      </c>
      <c r="AU152" s="31">
        <f>IF(AND($AL152=1,$U152&lt;&gt;"",$U152&lt;TODAY()),1,0)</f>
        <v/>
      </c>
      <c r="AV152" s="31">
        <f>IF(OR($A152="",$AJ152="",Portfolio!$B$10=""),0,IF($AJ152&lt;=Portfolio!$B$10,0,IF(AND($D152="Completed",$Z152=1),1,IF(AND($D152="Terminated",$Z152=1),2,IF(AND($Q152=1,$Z152=0),3,0)))))</f>
        <v/>
      </c>
      <c r="AW152" s="31">
        <f>IF($AV152&gt;0,COUNTIF($AV$6:$AV152,"&gt;0"),"")</f>
        <v/>
      </c>
      <c r="AX152" s="31">
        <f>IF($AL152=0,"",IF(AND($B152="Project",$H152&lt;&gt;"",$H152&lt;TODAY()),"Planned finish "&amp;TEXT($H152,"d mmm")&amp;" has passed",IF($X152&gt;=2,(NETWORKDAYS($H152,$U152)-1)&amp;" working days past plan","")))</f>
        <v/>
      </c>
      <c r="AY152" s="31">
        <f>IF($AL152=0,"",IF($Y152&gt;=2,"Over budget by "&amp;TEXT(IF($B152="Program",$V152,$J152)-$K152,"#,##0"),""))</f>
        <v/>
      </c>
      <c r="AZ152" s="31">
        <f>IF(AND($AL152=1,$U152&lt;&gt;""),IF(AND(N($U152)&gt;=TODAY(),N($U152)&lt;=TODAY()+Board!$B$41),1,0),0)</f>
        <v/>
      </c>
    </row>
    <row r="153">
      <c r="A153" s="29" t="n"/>
      <c r="B153" s="29" t="n"/>
      <c r="C153" s="29" t="n"/>
      <c r="D153" s="29" t="n"/>
      <c r="E153" s="29" t="n"/>
      <c r="F153" s="29" t="n"/>
      <c r="G153" s="29" t="n"/>
      <c r="H153" s="30" t="n"/>
      <c r="I153" s="30" t="n"/>
      <c r="J153" s="19" t="n"/>
      <c r="K153" s="19" t="n"/>
      <c r="L153" s="26" t="n"/>
      <c r="M153" s="31">
        <f>IF($A153="","",IF($D153="","Not read",IF($Q153=0,"Not counted",IF(MAX($X153,$Y153)=3,"■ Red",IF(MAX($X153,$Y153)=2,"◧ Amber",IF(MAX($X153,$Y153)=1,"□ On track","Not read"))))))</f>
        <v/>
      </c>
      <c r="N153" s="31">
        <f>IF(OR($A153="",$B153&lt;&gt;"Program"),"","■ "&amp;COUNTIFS($C$6:$C$305,$A153,$M$6:$M$305,"■ Red")&amp;" Red, ◧ "&amp;COUNTIFS($C$6:$C$305,$A153,$M$6:$M$305,"◧ Amber")&amp;" Amber")</f>
        <v/>
      </c>
      <c r="O153" s="32">
        <f>IF(OR($A153="",$E153=""),"",COUNTIFS($E$6:$E$305,$E153,$D$6:$D$305,"Active")+COUNTIFS($E$6:$E$305,$E153,$D$6:$D$305,"Paused"))</f>
        <v/>
      </c>
      <c r="P153" s="31">
        <f>IF($A153="","",IF($AE153=0,"○ Clear",IF($AA153=1,"△ No owner",IF($AC153=1,"△ Check Sits under",IF($AC153=2,"△ Outside the portfolio",IF($AB153=1,"△ No sponsor","△ No variance note"))))&amp;IF($AE153&gt;1," (+"&amp;($AE153-1)&amp;" more)","")))</f>
        <v/>
      </c>
      <c r="Q153" s="31">
        <f>IF(AND($A153&lt;&gt;"",OR($D153="Active",$D153="Paused")),1,0)</f>
        <v/>
      </c>
      <c r="R153" s="31">
        <f>IFERROR(INDEX($A$6:$A$305,MATCH(146,$S$6:$S$305,0)),"")</f>
        <v/>
      </c>
      <c r="S153" s="31">
        <f>IF(AND($A153&lt;&gt;"",$B153="Program"),COUNTIFS($B$6:$B153,"Program",$A$6:$A153,"&lt;&gt;"),"")</f>
        <v/>
      </c>
      <c r="T153" s="33">
        <f>IF(AND($A153&lt;&gt;"",$B153="Program"),SUMPRODUCT(MAX(($C$6:$C$305=$A153)*($B$6:$B$305="Project")*($D$6:$D$305&lt;&gt;"Proposed")*$I$6:$I$305)),0)</f>
        <v/>
      </c>
      <c r="U153" s="33">
        <f>IF($I153&lt;&gt;"",$I153,IF($T153&gt;0,$T153,""))</f>
        <v/>
      </c>
      <c r="V153" s="31">
        <f>IF(AND($A153&lt;&gt;"",$B153="Program"),SUMIFS($J$6:$J$305,$C$6:$C$305,$A153,$B$6:$B$305,"Project",$D$6:$D$305,"&lt;&gt;Proposed"),0)</f>
        <v/>
      </c>
      <c r="W153" s="31">
        <f>IF(AND($A153&lt;&gt;"",$B153="Program"),COUNTIFS($C$6:$C$305,$A153,$B$6:$B$305,"Project",$D$6:$D$305,"&lt;&gt;Proposed")-COUNTIFS($C$6:$C$305,$A153,$B$6:$B$305,"Project",$D$6:$D$305,"&lt;&gt;Proposed",$J$6:$J$305,"&gt;=0"),0)</f>
        <v/>
      </c>
      <c r="X153" s="31">
        <f>IF(OR($Q153=0,$H153=""),0,IF(AND($B153="Project",$H153&lt;TODAY()),3,IF($U153="",0,IF($U153&lt;=$H153,1,IF(NETWORKDAYS($H153,$U153)-1&gt;IF($B153="Program",Portfolio!$B$16,Portfolio!$B$15),3,2)))))</f>
        <v/>
      </c>
      <c r="Y153" s="31">
        <f>IF(OR($Q153=0,$K153="",$K153=0),0,IF(AND($B153="Project",$J153=""),0,IF(IF($B153="Program",$V153,$J153)&gt;$K153*(1+Portfolio!$B$17),3,IF(IF($B153="Program",$V153,$J153)&gt;$K153,2,IF(AND($B153="Program",OR($W153&gt;0,$V153=0)),0,1)))))</f>
        <v/>
      </c>
      <c r="Z153" s="31">
        <f>IF($A153="",0,IF($C153="Portfolio",1,IF(AND($B153="Project",$C153&lt;&gt;"",$C153&lt;&gt;"Outside the portfolio"),IFERROR(IF(AND(INDEX($B$6:$B$305,MATCH($C153,$A$6:$A$305,0))="Program",INDEX($C$6:$C$305,MATCH($C153,$A$6:$A$305,0))="Portfolio"),1,0),0),0)))</f>
        <v/>
      </c>
      <c r="AA153" s="31">
        <f>IF(AND($A153&lt;&gt;"",$E153="",OR($Q153=1,$D153="Proposed")),1,0)</f>
        <v/>
      </c>
      <c r="AB153" s="31">
        <f>IF(AND($A153&lt;&gt;"",$B153="Program",$F153="",$Q153=1),1,0)</f>
        <v/>
      </c>
      <c r="AC153" s="31">
        <f>IF(OR($A153="",$D153="Completed",$D153="Terminated"),0,IF($C153="",1,IF($C153="Portfolio",0,IF($C153="Outside the portfolio",IF($Q153=1,2,0),IF($B153="Project",IF(IFERROR(INDEX($B$6:$B$305,MATCH($C153,$A$6:$A$305,0)),"")="Program",0,1),1)))))</f>
        <v/>
      </c>
      <c r="AD153" s="31">
        <f>IF(AND($A153&lt;&gt;"",OR($M153="■ Red",$M153="◧ Amber"),$L153=""),1,0)</f>
        <v/>
      </c>
      <c r="AE153" s="31">
        <f>$AA153+$AB153+IF($AC153&gt;0,1,0)+$AD153</f>
        <v/>
      </c>
      <c r="AJ153" s="14" t="n"/>
      <c r="AK153" s="29" t="n"/>
      <c r="AL153" s="31">
        <f>IF(AND($Q153=1,$Z153=1),1,0)</f>
        <v/>
      </c>
      <c r="AM153" s="31">
        <f>IF(AND($AL153=1,$AJ153&lt;&gt;""),MAX(0,TODAY()-$AJ153),"")</f>
        <v/>
      </c>
      <c r="AN153" s="31">
        <f>IF(OR($AL153=0,COUNT($AJ$6:$AJ$305)=0),0,IF($AJ153="",1,IF(TODAY()-$AJ153&gt;Board!$B$40,1,0)))</f>
        <v/>
      </c>
      <c r="AO153" s="31">
        <f>IF($AL153=0,0,IF($M153="■ Red",3,IF($M153="◧ Amber",2,IF($M153="□ On track",1,0))))</f>
        <v/>
      </c>
      <c r="AP153" s="31">
        <f>IF($AL153=0,0,IF($AK153="Will not hold",3,IF($AK153="At risk",2,IF($AK153="Will hold",1,0))))</f>
        <v/>
      </c>
      <c r="AQ153" s="31">
        <f>IF($AL153=0,"",IF($AO153=3,0,IF($AO153=2,1,IF(AND($AP153&gt;=2,$AP153&gt;$AO153),2,""))))</f>
        <v/>
      </c>
      <c r="AR153" s="31">
        <f>IF($AQ153="","",$AQ153*1000+153)</f>
        <v/>
      </c>
      <c r="AS153" s="31">
        <f>IF(AND($AL153=1,$AO153&gt;=2,$AP153&gt;=1,$AP153&lt;$AO153),1,0)</f>
        <v/>
      </c>
      <c r="AT153" s="31">
        <f>IF(AND($AL153=1,$AO153&gt;=2,$AP153=0),1,0)</f>
        <v/>
      </c>
      <c r="AU153" s="31">
        <f>IF(AND($AL153=1,$U153&lt;&gt;"",$U153&lt;TODAY()),1,0)</f>
        <v/>
      </c>
      <c r="AV153" s="31">
        <f>IF(OR($A153="",$AJ153="",Portfolio!$B$10=""),0,IF($AJ153&lt;=Portfolio!$B$10,0,IF(AND($D153="Completed",$Z153=1),1,IF(AND($D153="Terminated",$Z153=1),2,IF(AND($Q153=1,$Z153=0),3,0)))))</f>
        <v/>
      </c>
      <c r="AW153" s="31">
        <f>IF($AV153&gt;0,COUNTIF($AV$6:$AV153,"&gt;0"),"")</f>
        <v/>
      </c>
      <c r="AX153" s="31">
        <f>IF($AL153=0,"",IF(AND($B153="Project",$H153&lt;&gt;"",$H153&lt;TODAY()),"Planned finish "&amp;TEXT($H153,"d mmm")&amp;" has passed",IF($X153&gt;=2,(NETWORKDAYS($H153,$U153)-1)&amp;" working days past plan","")))</f>
        <v/>
      </c>
      <c r="AY153" s="31">
        <f>IF($AL153=0,"",IF($Y153&gt;=2,"Over budget by "&amp;TEXT(IF($B153="Program",$V153,$J153)-$K153,"#,##0"),""))</f>
        <v/>
      </c>
      <c r="AZ153" s="31">
        <f>IF(AND($AL153=1,$U153&lt;&gt;""),IF(AND(N($U153)&gt;=TODAY(),N($U153)&lt;=TODAY()+Board!$B$41),1,0),0)</f>
        <v/>
      </c>
    </row>
    <row r="154">
      <c r="A154" s="29" t="n"/>
      <c r="B154" s="29" t="n"/>
      <c r="C154" s="29" t="n"/>
      <c r="D154" s="29" t="n"/>
      <c r="E154" s="29" t="n"/>
      <c r="F154" s="29" t="n"/>
      <c r="G154" s="29" t="n"/>
      <c r="H154" s="30" t="n"/>
      <c r="I154" s="30" t="n"/>
      <c r="J154" s="19" t="n"/>
      <c r="K154" s="19" t="n"/>
      <c r="L154" s="26" t="n"/>
      <c r="M154" s="31">
        <f>IF($A154="","",IF($D154="","Not read",IF($Q154=0,"Not counted",IF(MAX($X154,$Y154)=3,"■ Red",IF(MAX($X154,$Y154)=2,"◧ Amber",IF(MAX($X154,$Y154)=1,"□ On track","Not read"))))))</f>
        <v/>
      </c>
      <c r="N154" s="31">
        <f>IF(OR($A154="",$B154&lt;&gt;"Program"),"","■ "&amp;COUNTIFS($C$6:$C$305,$A154,$M$6:$M$305,"■ Red")&amp;" Red, ◧ "&amp;COUNTIFS($C$6:$C$305,$A154,$M$6:$M$305,"◧ Amber")&amp;" Amber")</f>
        <v/>
      </c>
      <c r="O154" s="32">
        <f>IF(OR($A154="",$E154=""),"",COUNTIFS($E$6:$E$305,$E154,$D$6:$D$305,"Active")+COUNTIFS($E$6:$E$305,$E154,$D$6:$D$305,"Paused"))</f>
        <v/>
      </c>
      <c r="P154" s="31">
        <f>IF($A154="","",IF($AE154=0,"○ Clear",IF($AA154=1,"△ No owner",IF($AC154=1,"△ Check Sits under",IF($AC154=2,"△ Outside the portfolio",IF($AB154=1,"△ No sponsor","△ No variance note"))))&amp;IF($AE154&gt;1," (+"&amp;($AE154-1)&amp;" more)","")))</f>
        <v/>
      </c>
      <c r="Q154" s="31">
        <f>IF(AND($A154&lt;&gt;"",OR($D154="Active",$D154="Paused")),1,0)</f>
        <v/>
      </c>
      <c r="R154" s="31">
        <f>IFERROR(INDEX($A$6:$A$305,MATCH(147,$S$6:$S$305,0)),"")</f>
        <v/>
      </c>
      <c r="S154" s="31">
        <f>IF(AND($A154&lt;&gt;"",$B154="Program"),COUNTIFS($B$6:$B154,"Program",$A$6:$A154,"&lt;&gt;"),"")</f>
        <v/>
      </c>
      <c r="T154" s="33">
        <f>IF(AND($A154&lt;&gt;"",$B154="Program"),SUMPRODUCT(MAX(($C$6:$C$305=$A154)*($B$6:$B$305="Project")*($D$6:$D$305&lt;&gt;"Proposed")*$I$6:$I$305)),0)</f>
        <v/>
      </c>
      <c r="U154" s="33">
        <f>IF($I154&lt;&gt;"",$I154,IF($T154&gt;0,$T154,""))</f>
        <v/>
      </c>
      <c r="V154" s="31">
        <f>IF(AND($A154&lt;&gt;"",$B154="Program"),SUMIFS($J$6:$J$305,$C$6:$C$305,$A154,$B$6:$B$305,"Project",$D$6:$D$305,"&lt;&gt;Proposed"),0)</f>
        <v/>
      </c>
      <c r="W154" s="31">
        <f>IF(AND($A154&lt;&gt;"",$B154="Program"),COUNTIFS($C$6:$C$305,$A154,$B$6:$B$305,"Project",$D$6:$D$305,"&lt;&gt;Proposed")-COUNTIFS($C$6:$C$305,$A154,$B$6:$B$305,"Project",$D$6:$D$305,"&lt;&gt;Proposed",$J$6:$J$305,"&gt;=0"),0)</f>
        <v/>
      </c>
      <c r="X154" s="31">
        <f>IF(OR($Q154=0,$H154=""),0,IF(AND($B154="Project",$H154&lt;TODAY()),3,IF($U154="",0,IF($U154&lt;=$H154,1,IF(NETWORKDAYS($H154,$U154)-1&gt;IF($B154="Program",Portfolio!$B$16,Portfolio!$B$15),3,2)))))</f>
        <v/>
      </c>
      <c r="Y154" s="31">
        <f>IF(OR($Q154=0,$K154="",$K154=0),0,IF(AND($B154="Project",$J154=""),0,IF(IF($B154="Program",$V154,$J154)&gt;$K154*(1+Portfolio!$B$17),3,IF(IF($B154="Program",$V154,$J154)&gt;$K154,2,IF(AND($B154="Program",OR($W154&gt;0,$V154=0)),0,1)))))</f>
        <v/>
      </c>
      <c r="Z154" s="31">
        <f>IF($A154="",0,IF($C154="Portfolio",1,IF(AND($B154="Project",$C154&lt;&gt;"",$C154&lt;&gt;"Outside the portfolio"),IFERROR(IF(AND(INDEX($B$6:$B$305,MATCH($C154,$A$6:$A$305,0))="Program",INDEX($C$6:$C$305,MATCH($C154,$A$6:$A$305,0))="Portfolio"),1,0),0),0)))</f>
        <v/>
      </c>
      <c r="AA154" s="31">
        <f>IF(AND($A154&lt;&gt;"",$E154="",OR($Q154=1,$D154="Proposed")),1,0)</f>
        <v/>
      </c>
      <c r="AB154" s="31">
        <f>IF(AND($A154&lt;&gt;"",$B154="Program",$F154="",$Q154=1),1,0)</f>
        <v/>
      </c>
      <c r="AC154" s="31">
        <f>IF(OR($A154="",$D154="Completed",$D154="Terminated"),0,IF($C154="",1,IF($C154="Portfolio",0,IF($C154="Outside the portfolio",IF($Q154=1,2,0),IF($B154="Project",IF(IFERROR(INDEX($B$6:$B$305,MATCH($C154,$A$6:$A$305,0)),"")="Program",0,1),1)))))</f>
        <v/>
      </c>
      <c r="AD154" s="31">
        <f>IF(AND($A154&lt;&gt;"",OR($M154="■ Red",$M154="◧ Amber"),$L154=""),1,0)</f>
        <v/>
      </c>
      <c r="AE154" s="31">
        <f>$AA154+$AB154+IF($AC154&gt;0,1,0)+$AD154</f>
        <v/>
      </c>
      <c r="AJ154" s="14" t="n"/>
      <c r="AK154" s="29" t="n"/>
      <c r="AL154" s="31">
        <f>IF(AND($Q154=1,$Z154=1),1,0)</f>
        <v/>
      </c>
      <c r="AM154" s="31">
        <f>IF(AND($AL154=1,$AJ154&lt;&gt;""),MAX(0,TODAY()-$AJ154),"")</f>
        <v/>
      </c>
      <c r="AN154" s="31">
        <f>IF(OR($AL154=0,COUNT($AJ$6:$AJ$305)=0),0,IF($AJ154="",1,IF(TODAY()-$AJ154&gt;Board!$B$40,1,0)))</f>
        <v/>
      </c>
      <c r="AO154" s="31">
        <f>IF($AL154=0,0,IF($M154="■ Red",3,IF($M154="◧ Amber",2,IF($M154="□ On track",1,0))))</f>
        <v/>
      </c>
      <c r="AP154" s="31">
        <f>IF($AL154=0,0,IF($AK154="Will not hold",3,IF($AK154="At risk",2,IF($AK154="Will hold",1,0))))</f>
        <v/>
      </c>
      <c r="AQ154" s="31">
        <f>IF($AL154=0,"",IF($AO154=3,0,IF($AO154=2,1,IF(AND($AP154&gt;=2,$AP154&gt;$AO154),2,""))))</f>
        <v/>
      </c>
      <c r="AR154" s="31">
        <f>IF($AQ154="","",$AQ154*1000+154)</f>
        <v/>
      </c>
      <c r="AS154" s="31">
        <f>IF(AND($AL154=1,$AO154&gt;=2,$AP154&gt;=1,$AP154&lt;$AO154),1,0)</f>
        <v/>
      </c>
      <c r="AT154" s="31">
        <f>IF(AND($AL154=1,$AO154&gt;=2,$AP154=0),1,0)</f>
        <v/>
      </c>
      <c r="AU154" s="31">
        <f>IF(AND($AL154=1,$U154&lt;&gt;"",$U154&lt;TODAY()),1,0)</f>
        <v/>
      </c>
      <c r="AV154" s="31">
        <f>IF(OR($A154="",$AJ154="",Portfolio!$B$10=""),0,IF($AJ154&lt;=Portfolio!$B$10,0,IF(AND($D154="Completed",$Z154=1),1,IF(AND($D154="Terminated",$Z154=1),2,IF(AND($Q154=1,$Z154=0),3,0)))))</f>
        <v/>
      </c>
      <c r="AW154" s="31">
        <f>IF($AV154&gt;0,COUNTIF($AV$6:$AV154,"&gt;0"),"")</f>
        <v/>
      </c>
      <c r="AX154" s="31">
        <f>IF($AL154=0,"",IF(AND($B154="Project",$H154&lt;&gt;"",$H154&lt;TODAY()),"Planned finish "&amp;TEXT($H154,"d mmm")&amp;" has passed",IF($X154&gt;=2,(NETWORKDAYS($H154,$U154)-1)&amp;" working days past plan","")))</f>
        <v/>
      </c>
      <c r="AY154" s="31">
        <f>IF($AL154=0,"",IF($Y154&gt;=2,"Over budget by "&amp;TEXT(IF($B154="Program",$V154,$J154)-$K154,"#,##0"),""))</f>
        <v/>
      </c>
      <c r="AZ154" s="31">
        <f>IF(AND($AL154=1,$U154&lt;&gt;""),IF(AND(N($U154)&gt;=TODAY(),N($U154)&lt;=TODAY()+Board!$B$41),1,0),0)</f>
        <v/>
      </c>
    </row>
    <row r="155">
      <c r="A155" s="29" t="n"/>
      <c r="B155" s="29" t="n"/>
      <c r="C155" s="29" t="n"/>
      <c r="D155" s="29" t="n"/>
      <c r="E155" s="29" t="n"/>
      <c r="F155" s="29" t="n"/>
      <c r="G155" s="29" t="n"/>
      <c r="H155" s="30" t="n"/>
      <c r="I155" s="30" t="n"/>
      <c r="J155" s="19" t="n"/>
      <c r="K155" s="19" t="n"/>
      <c r="L155" s="26" t="n"/>
      <c r="M155" s="31">
        <f>IF($A155="","",IF($D155="","Not read",IF($Q155=0,"Not counted",IF(MAX($X155,$Y155)=3,"■ Red",IF(MAX($X155,$Y155)=2,"◧ Amber",IF(MAX($X155,$Y155)=1,"□ On track","Not read"))))))</f>
        <v/>
      </c>
      <c r="N155" s="31">
        <f>IF(OR($A155="",$B155&lt;&gt;"Program"),"","■ "&amp;COUNTIFS($C$6:$C$305,$A155,$M$6:$M$305,"■ Red")&amp;" Red, ◧ "&amp;COUNTIFS($C$6:$C$305,$A155,$M$6:$M$305,"◧ Amber")&amp;" Amber")</f>
        <v/>
      </c>
      <c r="O155" s="32">
        <f>IF(OR($A155="",$E155=""),"",COUNTIFS($E$6:$E$305,$E155,$D$6:$D$305,"Active")+COUNTIFS($E$6:$E$305,$E155,$D$6:$D$305,"Paused"))</f>
        <v/>
      </c>
      <c r="P155" s="31">
        <f>IF($A155="","",IF($AE155=0,"○ Clear",IF($AA155=1,"△ No owner",IF($AC155=1,"△ Check Sits under",IF($AC155=2,"△ Outside the portfolio",IF($AB155=1,"△ No sponsor","△ No variance note"))))&amp;IF($AE155&gt;1," (+"&amp;($AE155-1)&amp;" more)","")))</f>
        <v/>
      </c>
      <c r="Q155" s="31">
        <f>IF(AND($A155&lt;&gt;"",OR($D155="Active",$D155="Paused")),1,0)</f>
        <v/>
      </c>
      <c r="R155" s="31">
        <f>IFERROR(INDEX($A$6:$A$305,MATCH(148,$S$6:$S$305,0)),"")</f>
        <v/>
      </c>
      <c r="S155" s="31">
        <f>IF(AND($A155&lt;&gt;"",$B155="Program"),COUNTIFS($B$6:$B155,"Program",$A$6:$A155,"&lt;&gt;"),"")</f>
        <v/>
      </c>
      <c r="T155" s="33">
        <f>IF(AND($A155&lt;&gt;"",$B155="Program"),SUMPRODUCT(MAX(($C$6:$C$305=$A155)*($B$6:$B$305="Project")*($D$6:$D$305&lt;&gt;"Proposed")*$I$6:$I$305)),0)</f>
        <v/>
      </c>
      <c r="U155" s="33">
        <f>IF($I155&lt;&gt;"",$I155,IF($T155&gt;0,$T155,""))</f>
        <v/>
      </c>
      <c r="V155" s="31">
        <f>IF(AND($A155&lt;&gt;"",$B155="Program"),SUMIFS($J$6:$J$305,$C$6:$C$305,$A155,$B$6:$B$305,"Project",$D$6:$D$305,"&lt;&gt;Proposed"),0)</f>
        <v/>
      </c>
      <c r="W155" s="31">
        <f>IF(AND($A155&lt;&gt;"",$B155="Program"),COUNTIFS($C$6:$C$305,$A155,$B$6:$B$305,"Project",$D$6:$D$305,"&lt;&gt;Proposed")-COUNTIFS($C$6:$C$305,$A155,$B$6:$B$305,"Project",$D$6:$D$305,"&lt;&gt;Proposed",$J$6:$J$305,"&gt;=0"),0)</f>
        <v/>
      </c>
      <c r="X155" s="31">
        <f>IF(OR($Q155=0,$H155=""),0,IF(AND($B155="Project",$H155&lt;TODAY()),3,IF($U155="",0,IF($U155&lt;=$H155,1,IF(NETWORKDAYS($H155,$U155)-1&gt;IF($B155="Program",Portfolio!$B$16,Portfolio!$B$15),3,2)))))</f>
        <v/>
      </c>
      <c r="Y155" s="31">
        <f>IF(OR($Q155=0,$K155="",$K155=0),0,IF(AND($B155="Project",$J155=""),0,IF(IF($B155="Program",$V155,$J155)&gt;$K155*(1+Portfolio!$B$17),3,IF(IF($B155="Program",$V155,$J155)&gt;$K155,2,IF(AND($B155="Program",OR($W155&gt;0,$V155=0)),0,1)))))</f>
        <v/>
      </c>
      <c r="Z155" s="31">
        <f>IF($A155="",0,IF($C155="Portfolio",1,IF(AND($B155="Project",$C155&lt;&gt;"",$C155&lt;&gt;"Outside the portfolio"),IFERROR(IF(AND(INDEX($B$6:$B$305,MATCH($C155,$A$6:$A$305,0))="Program",INDEX($C$6:$C$305,MATCH($C155,$A$6:$A$305,0))="Portfolio"),1,0),0),0)))</f>
        <v/>
      </c>
      <c r="AA155" s="31">
        <f>IF(AND($A155&lt;&gt;"",$E155="",OR($Q155=1,$D155="Proposed")),1,0)</f>
        <v/>
      </c>
      <c r="AB155" s="31">
        <f>IF(AND($A155&lt;&gt;"",$B155="Program",$F155="",$Q155=1),1,0)</f>
        <v/>
      </c>
      <c r="AC155" s="31">
        <f>IF(OR($A155="",$D155="Completed",$D155="Terminated"),0,IF($C155="",1,IF($C155="Portfolio",0,IF($C155="Outside the portfolio",IF($Q155=1,2,0),IF($B155="Project",IF(IFERROR(INDEX($B$6:$B$305,MATCH($C155,$A$6:$A$305,0)),"")="Program",0,1),1)))))</f>
        <v/>
      </c>
      <c r="AD155" s="31">
        <f>IF(AND($A155&lt;&gt;"",OR($M155="■ Red",$M155="◧ Amber"),$L155=""),1,0)</f>
        <v/>
      </c>
      <c r="AE155" s="31">
        <f>$AA155+$AB155+IF($AC155&gt;0,1,0)+$AD155</f>
        <v/>
      </c>
      <c r="AJ155" s="14" t="n"/>
      <c r="AK155" s="29" t="n"/>
      <c r="AL155" s="31">
        <f>IF(AND($Q155=1,$Z155=1),1,0)</f>
        <v/>
      </c>
      <c r="AM155" s="31">
        <f>IF(AND($AL155=1,$AJ155&lt;&gt;""),MAX(0,TODAY()-$AJ155),"")</f>
        <v/>
      </c>
      <c r="AN155" s="31">
        <f>IF(OR($AL155=0,COUNT($AJ$6:$AJ$305)=0),0,IF($AJ155="",1,IF(TODAY()-$AJ155&gt;Board!$B$40,1,0)))</f>
        <v/>
      </c>
      <c r="AO155" s="31">
        <f>IF($AL155=0,0,IF($M155="■ Red",3,IF($M155="◧ Amber",2,IF($M155="□ On track",1,0))))</f>
        <v/>
      </c>
      <c r="AP155" s="31">
        <f>IF($AL155=0,0,IF($AK155="Will not hold",3,IF($AK155="At risk",2,IF($AK155="Will hold",1,0))))</f>
        <v/>
      </c>
      <c r="AQ155" s="31">
        <f>IF($AL155=0,"",IF($AO155=3,0,IF($AO155=2,1,IF(AND($AP155&gt;=2,$AP155&gt;$AO155),2,""))))</f>
        <v/>
      </c>
      <c r="AR155" s="31">
        <f>IF($AQ155="","",$AQ155*1000+155)</f>
        <v/>
      </c>
      <c r="AS155" s="31">
        <f>IF(AND($AL155=1,$AO155&gt;=2,$AP155&gt;=1,$AP155&lt;$AO155),1,0)</f>
        <v/>
      </c>
      <c r="AT155" s="31">
        <f>IF(AND($AL155=1,$AO155&gt;=2,$AP155=0),1,0)</f>
        <v/>
      </c>
      <c r="AU155" s="31">
        <f>IF(AND($AL155=1,$U155&lt;&gt;"",$U155&lt;TODAY()),1,0)</f>
        <v/>
      </c>
      <c r="AV155" s="31">
        <f>IF(OR($A155="",$AJ155="",Portfolio!$B$10=""),0,IF($AJ155&lt;=Portfolio!$B$10,0,IF(AND($D155="Completed",$Z155=1),1,IF(AND($D155="Terminated",$Z155=1),2,IF(AND($Q155=1,$Z155=0),3,0)))))</f>
        <v/>
      </c>
      <c r="AW155" s="31">
        <f>IF($AV155&gt;0,COUNTIF($AV$6:$AV155,"&gt;0"),"")</f>
        <v/>
      </c>
      <c r="AX155" s="31">
        <f>IF($AL155=0,"",IF(AND($B155="Project",$H155&lt;&gt;"",$H155&lt;TODAY()),"Planned finish "&amp;TEXT($H155,"d mmm")&amp;" has passed",IF($X155&gt;=2,(NETWORKDAYS($H155,$U155)-1)&amp;" working days past plan","")))</f>
        <v/>
      </c>
      <c r="AY155" s="31">
        <f>IF($AL155=0,"",IF($Y155&gt;=2,"Over budget by "&amp;TEXT(IF($B155="Program",$V155,$J155)-$K155,"#,##0"),""))</f>
        <v/>
      </c>
      <c r="AZ155" s="31">
        <f>IF(AND($AL155=1,$U155&lt;&gt;""),IF(AND(N($U155)&gt;=TODAY(),N($U155)&lt;=TODAY()+Board!$B$41),1,0),0)</f>
        <v/>
      </c>
    </row>
    <row r="156">
      <c r="A156" s="29" t="n"/>
      <c r="B156" s="29" t="n"/>
      <c r="C156" s="29" t="n"/>
      <c r="D156" s="29" t="n"/>
      <c r="E156" s="29" t="n"/>
      <c r="F156" s="29" t="n"/>
      <c r="G156" s="29" t="n"/>
      <c r="H156" s="30" t="n"/>
      <c r="I156" s="30" t="n"/>
      <c r="J156" s="19" t="n"/>
      <c r="K156" s="19" t="n"/>
      <c r="L156" s="26" t="n"/>
      <c r="M156" s="31">
        <f>IF($A156="","",IF($D156="","Not read",IF($Q156=0,"Not counted",IF(MAX($X156,$Y156)=3,"■ Red",IF(MAX($X156,$Y156)=2,"◧ Amber",IF(MAX($X156,$Y156)=1,"□ On track","Not read"))))))</f>
        <v/>
      </c>
      <c r="N156" s="31">
        <f>IF(OR($A156="",$B156&lt;&gt;"Program"),"","■ "&amp;COUNTIFS($C$6:$C$305,$A156,$M$6:$M$305,"■ Red")&amp;" Red, ◧ "&amp;COUNTIFS($C$6:$C$305,$A156,$M$6:$M$305,"◧ Amber")&amp;" Amber")</f>
        <v/>
      </c>
      <c r="O156" s="32">
        <f>IF(OR($A156="",$E156=""),"",COUNTIFS($E$6:$E$305,$E156,$D$6:$D$305,"Active")+COUNTIFS($E$6:$E$305,$E156,$D$6:$D$305,"Paused"))</f>
        <v/>
      </c>
      <c r="P156" s="31">
        <f>IF($A156="","",IF($AE156=0,"○ Clear",IF($AA156=1,"△ No owner",IF($AC156=1,"△ Check Sits under",IF($AC156=2,"△ Outside the portfolio",IF($AB156=1,"△ No sponsor","△ No variance note"))))&amp;IF($AE156&gt;1," (+"&amp;($AE156-1)&amp;" more)","")))</f>
        <v/>
      </c>
      <c r="Q156" s="31">
        <f>IF(AND($A156&lt;&gt;"",OR($D156="Active",$D156="Paused")),1,0)</f>
        <v/>
      </c>
      <c r="R156" s="31">
        <f>IFERROR(INDEX($A$6:$A$305,MATCH(149,$S$6:$S$305,0)),"")</f>
        <v/>
      </c>
      <c r="S156" s="31">
        <f>IF(AND($A156&lt;&gt;"",$B156="Program"),COUNTIFS($B$6:$B156,"Program",$A$6:$A156,"&lt;&gt;"),"")</f>
        <v/>
      </c>
      <c r="T156" s="33">
        <f>IF(AND($A156&lt;&gt;"",$B156="Program"),SUMPRODUCT(MAX(($C$6:$C$305=$A156)*($B$6:$B$305="Project")*($D$6:$D$305&lt;&gt;"Proposed")*$I$6:$I$305)),0)</f>
        <v/>
      </c>
      <c r="U156" s="33">
        <f>IF($I156&lt;&gt;"",$I156,IF($T156&gt;0,$T156,""))</f>
        <v/>
      </c>
      <c r="V156" s="31">
        <f>IF(AND($A156&lt;&gt;"",$B156="Program"),SUMIFS($J$6:$J$305,$C$6:$C$305,$A156,$B$6:$B$305,"Project",$D$6:$D$305,"&lt;&gt;Proposed"),0)</f>
        <v/>
      </c>
      <c r="W156" s="31">
        <f>IF(AND($A156&lt;&gt;"",$B156="Program"),COUNTIFS($C$6:$C$305,$A156,$B$6:$B$305,"Project",$D$6:$D$305,"&lt;&gt;Proposed")-COUNTIFS($C$6:$C$305,$A156,$B$6:$B$305,"Project",$D$6:$D$305,"&lt;&gt;Proposed",$J$6:$J$305,"&gt;=0"),0)</f>
        <v/>
      </c>
      <c r="X156" s="31">
        <f>IF(OR($Q156=0,$H156=""),0,IF(AND($B156="Project",$H156&lt;TODAY()),3,IF($U156="",0,IF($U156&lt;=$H156,1,IF(NETWORKDAYS($H156,$U156)-1&gt;IF($B156="Program",Portfolio!$B$16,Portfolio!$B$15),3,2)))))</f>
        <v/>
      </c>
      <c r="Y156" s="31">
        <f>IF(OR($Q156=0,$K156="",$K156=0),0,IF(AND($B156="Project",$J156=""),0,IF(IF($B156="Program",$V156,$J156)&gt;$K156*(1+Portfolio!$B$17),3,IF(IF($B156="Program",$V156,$J156)&gt;$K156,2,IF(AND($B156="Program",OR($W156&gt;0,$V156=0)),0,1)))))</f>
        <v/>
      </c>
      <c r="Z156" s="31">
        <f>IF($A156="",0,IF($C156="Portfolio",1,IF(AND($B156="Project",$C156&lt;&gt;"",$C156&lt;&gt;"Outside the portfolio"),IFERROR(IF(AND(INDEX($B$6:$B$305,MATCH($C156,$A$6:$A$305,0))="Program",INDEX($C$6:$C$305,MATCH($C156,$A$6:$A$305,0))="Portfolio"),1,0),0),0)))</f>
        <v/>
      </c>
      <c r="AA156" s="31">
        <f>IF(AND($A156&lt;&gt;"",$E156="",OR($Q156=1,$D156="Proposed")),1,0)</f>
        <v/>
      </c>
      <c r="AB156" s="31">
        <f>IF(AND($A156&lt;&gt;"",$B156="Program",$F156="",$Q156=1),1,0)</f>
        <v/>
      </c>
      <c r="AC156" s="31">
        <f>IF(OR($A156="",$D156="Completed",$D156="Terminated"),0,IF($C156="",1,IF($C156="Portfolio",0,IF($C156="Outside the portfolio",IF($Q156=1,2,0),IF($B156="Project",IF(IFERROR(INDEX($B$6:$B$305,MATCH($C156,$A$6:$A$305,0)),"")="Program",0,1),1)))))</f>
        <v/>
      </c>
      <c r="AD156" s="31">
        <f>IF(AND($A156&lt;&gt;"",OR($M156="■ Red",$M156="◧ Amber"),$L156=""),1,0)</f>
        <v/>
      </c>
      <c r="AE156" s="31">
        <f>$AA156+$AB156+IF($AC156&gt;0,1,0)+$AD156</f>
        <v/>
      </c>
      <c r="AJ156" s="14" t="n"/>
      <c r="AK156" s="29" t="n"/>
      <c r="AL156" s="31">
        <f>IF(AND($Q156=1,$Z156=1),1,0)</f>
        <v/>
      </c>
      <c r="AM156" s="31">
        <f>IF(AND($AL156=1,$AJ156&lt;&gt;""),MAX(0,TODAY()-$AJ156),"")</f>
        <v/>
      </c>
      <c r="AN156" s="31">
        <f>IF(OR($AL156=0,COUNT($AJ$6:$AJ$305)=0),0,IF($AJ156="",1,IF(TODAY()-$AJ156&gt;Board!$B$40,1,0)))</f>
        <v/>
      </c>
      <c r="AO156" s="31">
        <f>IF($AL156=0,0,IF($M156="■ Red",3,IF($M156="◧ Amber",2,IF($M156="□ On track",1,0))))</f>
        <v/>
      </c>
      <c r="AP156" s="31">
        <f>IF($AL156=0,0,IF($AK156="Will not hold",3,IF($AK156="At risk",2,IF($AK156="Will hold",1,0))))</f>
        <v/>
      </c>
      <c r="AQ156" s="31">
        <f>IF($AL156=0,"",IF($AO156=3,0,IF($AO156=2,1,IF(AND($AP156&gt;=2,$AP156&gt;$AO156),2,""))))</f>
        <v/>
      </c>
      <c r="AR156" s="31">
        <f>IF($AQ156="","",$AQ156*1000+156)</f>
        <v/>
      </c>
      <c r="AS156" s="31">
        <f>IF(AND($AL156=1,$AO156&gt;=2,$AP156&gt;=1,$AP156&lt;$AO156),1,0)</f>
        <v/>
      </c>
      <c r="AT156" s="31">
        <f>IF(AND($AL156=1,$AO156&gt;=2,$AP156=0),1,0)</f>
        <v/>
      </c>
      <c r="AU156" s="31">
        <f>IF(AND($AL156=1,$U156&lt;&gt;"",$U156&lt;TODAY()),1,0)</f>
        <v/>
      </c>
      <c r="AV156" s="31">
        <f>IF(OR($A156="",$AJ156="",Portfolio!$B$10=""),0,IF($AJ156&lt;=Portfolio!$B$10,0,IF(AND($D156="Completed",$Z156=1),1,IF(AND($D156="Terminated",$Z156=1),2,IF(AND($Q156=1,$Z156=0),3,0)))))</f>
        <v/>
      </c>
      <c r="AW156" s="31">
        <f>IF($AV156&gt;0,COUNTIF($AV$6:$AV156,"&gt;0"),"")</f>
        <v/>
      </c>
      <c r="AX156" s="31">
        <f>IF($AL156=0,"",IF(AND($B156="Project",$H156&lt;&gt;"",$H156&lt;TODAY()),"Planned finish "&amp;TEXT($H156,"d mmm")&amp;" has passed",IF($X156&gt;=2,(NETWORKDAYS($H156,$U156)-1)&amp;" working days past plan","")))</f>
        <v/>
      </c>
      <c r="AY156" s="31">
        <f>IF($AL156=0,"",IF($Y156&gt;=2,"Over budget by "&amp;TEXT(IF($B156="Program",$V156,$J156)-$K156,"#,##0"),""))</f>
        <v/>
      </c>
      <c r="AZ156" s="31">
        <f>IF(AND($AL156=1,$U156&lt;&gt;""),IF(AND(N($U156)&gt;=TODAY(),N($U156)&lt;=TODAY()+Board!$B$41),1,0),0)</f>
        <v/>
      </c>
    </row>
    <row r="157">
      <c r="A157" s="29" t="n"/>
      <c r="B157" s="29" t="n"/>
      <c r="C157" s="29" t="n"/>
      <c r="D157" s="29" t="n"/>
      <c r="E157" s="29" t="n"/>
      <c r="F157" s="29" t="n"/>
      <c r="G157" s="29" t="n"/>
      <c r="H157" s="30" t="n"/>
      <c r="I157" s="30" t="n"/>
      <c r="J157" s="19" t="n"/>
      <c r="K157" s="19" t="n"/>
      <c r="L157" s="26" t="n"/>
      <c r="M157" s="31">
        <f>IF($A157="","",IF($D157="","Not read",IF($Q157=0,"Not counted",IF(MAX($X157,$Y157)=3,"■ Red",IF(MAX($X157,$Y157)=2,"◧ Amber",IF(MAX($X157,$Y157)=1,"□ On track","Not read"))))))</f>
        <v/>
      </c>
      <c r="N157" s="31">
        <f>IF(OR($A157="",$B157&lt;&gt;"Program"),"","■ "&amp;COUNTIFS($C$6:$C$305,$A157,$M$6:$M$305,"■ Red")&amp;" Red, ◧ "&amp;COUNTIFS($C$6:$C$305,$A157,$M$6:$M$305,"◧ Amber")&amp;" Amber")</f>
        <v/>
      </c>
      <c r="O157" s="32">
        <f>IF(OR($A157="",$E157=""),"",COUNTIFS($E$6:$E$305,$E157,$D$6:$D$305,"Active")+COUNTIFS($E$6:$E$305,$E157,$D$6:$D$305,"Paused"))</f>
        <v/>
      </c>
      <c r="P157" s="31">
        <f>IF($A157="","",IF($AE157=0,"○ Clear",IF($AA157=1,"△ No owner",IF($AC157=1,"△ Check Sits under",IF($AC157=2,"△ Outside the portfolio",IF($AB157=1,"△ No sponsor","△ No variance note"))))&amp;IF($AE157&gt;1," (+"&amp;($AE157-1)&amp;" more)","")))</f>
        <v/>
      </c>
      <c r="Q157" s="31">
        <f>IF(AND($A157&lt;&gt;"",OR($D157="Active",$D157="Paused")),1,0)</f>
        <v/>
      </c>
      <c r="R157" s="31">
        <f>IFERROR(INDEX($A$6:$A$305,MATCH(150,$S$6:$S$305,0)),"")</f>
        <v/>
      </c>
      <c r="S157" s="31">
        <f>IF(AND($A157&lt;&gt;"",$B157="Program"),COUNTIFS($B$6:$B157,"Program",$A$6:$A157,"&lt;&gt;"),"")</f>
        <v/>
      </c>
      <c r="T157" s="33">
        <f>IF(AND($A157&lt;&gt;"",$B157="Program"),SUMPRODUCT(MAX(($C$6:$C$305=$A157)*($B$6:$B$305="Project")*($D$6:$D$305&lt;&gt;"Proposed")*$I$6:$I$305)),0)</f>
        <v/>
      </c>
      <c r="U157" s="33">
        <f>IF($I157&lt;&gt;"",$I157,IF($T157&gt;0,$T157,""))</f>
        <v/>
      </c>
      <c r="V157" s="31">
        <f>IF(AND($A157&lt;&gt;"",$B157="Program"),SUMIFS($J$6:$J$305,$C$6:$C$305,$A157,$B$6:$B$305,"Project",$D$6:$D$305,"&lt;&gt;Proposed"),0)</f>
        <v/>
      </c>
      <c r="W157" s="31">
        <f>IF(AND($A157&lt;&gt;"",$B157="Program"),COUNTIFS($C$6:$C$305,$A157,$B$6:$B$305,"Project",$D$6:$D$305,"&lt;&gt;Proposed")-COUNTIFS($C$6:$C$305,$A157,$B$6:$B$305,"Project",$D$6:$D$305,"&lt;&gt;Proposed",$J$6:$J$305,"&gt;=0"),0)</f>
        <v/>
      </c>
      <c r="X157" s="31">
        <f>IF(OR($Q157=0,$H157=""),0,IF(AND($B157="Project",$H157&lt;TODAY()),3,IF($U157="",0,IF($U157&lt;=$H157,1,IF(NETWORKDAYS($H157,$U157)-1&gt;IF($B157="Program",Portfolio!$B$16,Portfolio!$B$15),3,2)))))</f>
        <v/>
      </c>
      <c r="Y157" s="31">
        <f>IF(OR($Q157=0,$K157="",$K157=0),0,IF(AND($B157="Project",$J157=""),0,IF(IF($B157="Program",$V157,$J157)&gt;$K157*(1+Portfolio!$B$17),3,IF(IF($B157="Program",$V157,$J157)&gt;$K157,2,IF(AND($B157="Program",OR($W157&gt;0,$V157=0)),0,1)))))</f>
        <v/>
      </c>
      <c r="Z157" s="31">
        <f>IF($A157="",0,IF($C157="Portfolio",1,IF(AND($B157="Project",$C157&lt;&gt;"",$C157&lt;&gt;"Outside the portfolio"),IFERROR(IF(AND(INDEX($B$6:$B$305,MATCH($C157,$A$6:$A$305,0))="Program",INDEX($C$6:$C$305,MATCH($C157,$A$6:$A$305,0))="Portfolio"),1,0),0),0)))</f>
        <v/>
      </c>
      <c r="AA157" s="31">
        <f>IF(AND($A157&lt;&gt;"",$E157="",OR($Q157=1,$D157="Proposed")),1,0)</f>
        <v/>
      </c>
      <c r="AB157" s="31">
        <f>IF(AND($A157&lt;&gt;"",$B157="Program",$F157="",$Q157=1),1,0)</f>
        <v/>
      </c>
      <c r="AC157" s="31">
        <f>IF(OR($A157="",$D157="Completed",$D157="Terminated"),0,IF($C157="",1,IF($C157="Portfolio",0,IF($C157="Outside the portfolio",IF($Q157=1,2,0),IF($B157="Project",IF(IFERROR(INDEX($B$6:$B$305,MATCH($C157,$A$6:$A$305,0)),"")="Program",0,1),1)))))</f>
        <v/>
      </c>
      <c r="AD157" s="31">
        <f>IF(AND($A157&lt;&gt;"",OR($M157="■ Red",$M157="◧ Amber"),$L157=""),1,0)</f>
        <v/>
      </c>
      <c r="AE157" s="31">
        <f>$AA157+$AB157+IF($AC157&gt;0,1,0)+$AD157</f>
        <v/>
      </c>
      <c r="AJ157" s="14" t="n"/>
      <c r="AK157" s="29" t="n"/>
      <c r="AL157" s="31">
        <f>IF(AND($Q157=1,$Z157=1),1,0)</f>
        <v/>
      </c>
      <c r="AM157" s="31">
        <f>IF(AND($AL157=1,$AJ157&lt;&gt;""),MAX(0,TODAY()-$AJ157),"")</f>
        <v/>
      </c>
      <c r="AN157" s="31">
        <f>IF(OR($AL157=0,COUNT($AJ$6:$AJ$305)=0),0,IF($AJ157="",1,IF(TODAY()-$AJ157&gt;Board!$B$40,1,0)))</f>
        <v/>
      </c>
      <c r="AO157" s="31">
        <f>IF($AL157=0,0,IF($M157="■ Red",3,IF($M157="◧ Amber",2,IF($M157="□ On track",1,0))))</f>
        <v/>
      </c>
      <c r="AP157" s="31">
        <f>IF($AL157=0,0,IF($AK157="Will not hold",3,IF($AK157="At risk",2,IF($AK157="Will hold",1,0))))</f>
        <v/>
      </c>
      <c r="AQ157" s="31">
        <f>IF($AL157=0,"",IF($AO157=3,0,IF($AO157=2,1,IF(AND($AP157&gt;=2,$AP157&gt;$AO157),2,""))))</f>
        <v/>
      </c>
      <c r="AR157" s="31">
        <f>IF($AQ157="","",$AQ157*1000+157)</f>
        <v/>
      </c>
      <c r="AS157" s="31">
        <f>IF(AND($AL157=1,$AO157&gt;=2,$AP157&gt;=1,$AP157&lt;$AO157),1,0)</f>
        <v/>
      </c>
      <c r="AT157" s="31">
        <f>IF(AND($AL157=1,$AO157&gt;=2,$AP157=0),1,0)</f>
        <v/>
      </c>
      <c r="AU157" s="31">
        <f>IF(AND($AL157=1,$U157&lt;&gt;"",$U157&lt;TODAY()),1,0)</f>
        <v/>
      </c>
      <c r="AV157" s="31">
        <f>IF(OR($A157="",$AJ157="",Portfolio!$B$10=""),0,IF($AJ157&lt;=Portfolio!$B$10,0,IF(AND($D157="Completed",$Z157=1),1,IF(AND($D157="Terminated",$Z157=1),2,IF(AND($Q157=1,$Z157=0),3,0)))))</f>
        <v/>
      </c>
      <c r="AW157" s="31">
        <f>IF($AV157&gt;0,COUNTIF($AV$6:$AV157,"&gt;0"),"")</f>
        <v/>
      </c>
      <c r="AX157" s="31">
        <f>IF($AL157=0,"",IF(AND($B157="Project",$H157&lt;&gt;"",$H157&lt;TODAY()),"Planned finish "&amp;TEXT($H157,"d mmm")&amp;" has passed",IF($X157&gt;=2,(NETWORKDAYS($H157,$U157)-1)&amp;" working days past plan","")))</f>
        <v/>
      </c>
      <c r="AY157" s="31">
        <f>IF($AL157=0,"",IF($Y157&gt;=2,"Over budget by "&amp;TEXT(IF($B157="Program",$V157,$J157)-$K157,"#,##0"),""))</f>
        <v/>
      </c>
      <c r="AZ157" s="31">
        <f>IF(AND($AL157=1,$U157&lt;&gt;""),IF(AND(N($U157)&gt;=TODAY(),N($U157)&lt;=TODAY()+Board!$B$41),1,0),0)</f>
        <v/>
      </c>
    </row>
    <row r="158">
      <c r="A158" s="29" t="n"/>
      <c r="B158" s="29" t="n"/>
      <c r="C158" s="29" t="n"/>
      <c r="D158" s="29" t="n"/>
      <c r="E158" s="29" t="n"/>
      <c r="F158" s="29" t="n"/>
      <c r="G158" s="29" t="n"/>
      <c r="H158" s="30" t="n"/>
      <c r="I158" s="30" t="n"/>
      <c r="J158" s="19" t="n"/>
      <c r="K158" s="19" t="n"/>
      <c r="L158" s="26" t="n"/>
      <c r="M158" s="31">
        <f>IF($A158="","",IF($D158="","Not read",IF($Q158=0,"Not counted",IF(MAX($X158,$Y158)=3,"■ Red",IF(MAX($X158,$Y158)=2,"◧ Amber",IF(MAX($X158,$Y158)=1,"□ On track","Not read"))))))</f>
        <v/>
      </c>
      <c r="N158" s="31">
        <f>IF(OR($A158="",$B158&lt;&gt;"Program"),"","■ "&amp;COUNTIFS($C$6:$C$305,$A158,$M$6:$M$305,"■ Red")&amp;" Red, ◧ "&amp;COUNTIFS($C$6:$C$305,$A158,$M$6:$M$305,"◧ Amber")&amp;" Amber")</f>
        <v/>
      </c>
      <c r="O158" s="32">
        <f>IF(OR($A158="",$E158=""),"",COUNTIFS($E$6:$E$305,$E158,$D$6:$D$305,"Active")+COUNTIFS($E$6:$E$305,$E158,$D$6:$D$305,"Paused"))</f>
        <v/>
      </c>
      <c r="P158" s="31">
        <f>IF($A158="","",IF($AE158=0,"○ Clear",IF($AA158=1,"△ No owner",IF($AC158=1,"△ Check Sits under",IF($AC158=2,"△ Outside the portfolio",IF($AB158=1,"△ No sponsor","△ No variance note"))))&amp;IF($AE158&gt;1," (+"&amp;($AE158-1)&amp;" more)","")))</f>
        <v/>
      </c>
      <c r="Q158" s="31">
        <f>IF(AND($A158&lt;&gt;"",OR($D158="Active",$D158="Paused")),1,0)</f>
        <v/>
      </c>
      <c r="R158" s="31">
        <f>IFERROR(INDEX($A$6:$A$305,MATCH(151,$S$6:$S$305,0)),"")</f>
        <v/>
      </c>
      <c r="S158" s="31">
        <f>IF(AND($A158&lt;&gt;"",$B158="Program"),COUNTIFS($B$6:$B158,"Program",$A$6:$A158,"&lt;&gt;"),"")</f>
        <v/>
      </c>
      <c r="T158" s="33">
        <f>IF(AND($A158&lt;&gt;"",$B158="Program"),SUMPRODUCT(MAX(($C$6:$C$305=$A158)*($B$6:$B$305="Project")*($D$6:$D$305&lt;&gt;"Proposed")*$I$6:$I$305)),0)</f>
        <v/>
      </c>
      <c r="U158" s="33">
        <f>IF($I158&lt;&gt;"",$I158,IF($T158&gt;0,$T158,""))</f>
        <v/>
      </c>
      <c r="V158" s="31">
        <f>IF(AND($A158&lt;&gt;"",$B158="Program"),SUMIFS($J$6:$J$305,$C$6:$C$305,$A158,$B$6:$B$305,"Project",$D$6:$D$305,"&lt;&gt;Proposed"),0)</f>
        <v/>
      </c>
      <c r="W158" s="31">
        <f>IF(AND($A158&lt;&gt;"",$B158="Program"),COUNTIFS($C$6:$C$305,$A158,$B$6:$B$305,"Project",$D$6:$D$305,"&lt;&gt;Proposed")-COUNTIFS($C$6:$C$305,$A158,$B$6:$B$305,"Project",$D$6:$D$305,"&lt;&gt;Proposed",$J$6:$J$305,"&gt;=0"),0)</f>
        <v/>
      </c>
      <c r="X158" s="31">
        <f>IF(OR($Q158=0,$H158=""),0,IF(AND($B158="Project",$H158&lt;TODAY()),3,IF($U158="",0,IF($U158&lt;=$H158,1,IF(NETWORKDAYS($H158,$U158)-1&gt;IF($B158="Program",Portfolio!$B$16,Portfolio!$B$15),3,2)))))</f>
        <v/>
      </c>
      <c r="Y158" s="31">
        <f>IF(OR($Q158=0,$K158="",$K158=0),0,IF(AND($B158="Project",$J158=""),0,IF(IF($B158="Program",$V158,$J158)&gt;$K158*(1+Portfolio!$B$17),3,IF(IF($B158="Program",$V158,$J158)&gt;$K158,2,IF(AND($B158="Program",OR($W158&gt;0,$V158=0)),0,1)))))</f>
        <v/>
      </c>
      <c r="Z158" s="31">
        <f>IF($A158="",0,IF($C158="Portfolio",1,IF(AND($B158="Project",$C158&lt;&gt;"",$C158&lt;&gt;"Outside the portfolio"),IFERROR(IF(AND(INDEX($B$6:$B$305,MATCH($C158,$A$6:$A$305,0))="Program",INDEX($C$6:$C$305,MATCH($C158,$A$6:$A$305,0))="Portfolio"),1,0),0),0)))</f>
        <v/>
      </c>
      <c r="AA158" s="31">
        <f>IF(AND($A158&lt;&gt;"",$E158="",OR($Q158=1,$D158="Proposed")),1,0)</f>
        <v/>
      </c>
      <c r="AB158" s="31">
        <f>IF(AND($A158&lt;&gt;"",$B158="Program",$F158="",$Q158=1),1,0)</f>
        <v/>
      </c>
      <c r="AC158" s="31">
        <f>IF(OR($A158="",$D158="Completed",$D158="Terminated"),0,IF($C158="",1,IF($C158="Portfolio",0,IF($C158="Outside the portfolio",IF($Q158=1,2,0),IF($B158="Project",IF(IFERROR(INDEX($B$6:$B$305,MATCH($C158,$A$6:$A$305,0)),"")="Program",0,1),1)))))</f>
        <v/>
      </c>
      <c r="AD158" s="31">
        <f>IF(AND($A158&lt;&gt;"",OR($M158="■ Red",$M158="◧ Amber"),$L158=""),1,0)</f>
        <v/>
      </c>
      <c r="AE158" s="31">
        <f>$AA158+$AB158+IF($AC158&gt;0,1,0)+$AD158</f>
        <v/>
      </c>
      <c r="AJ158" s="14" t="n"/>
      <c r="AK158" s="29" t="n"/>
      <c r="AL158" s="31">
        <f>IF(AND($Q158=1,$Z158=1),1,0)</f>
        <v/>
      </c>
      <c r="AM158" s="31">
        <f>IF(AND($AL158=1,$AJ158&lt;&gt;""),MAX(0,TODAY()-$AJ158),"")</f>
        <v/>
      </c>
      <c r="AN158" s="31">
        <f>IF(OR($AL158=0,COUNT($AJ$6:$AJ$305)=0),0,IF($AJ158="",1,IF(TODAY()-$AJ158&gt;Board!$B$40,1,0)))</f>
        <v/>
      </c>
      <c r="AO158" s="31">
        <f>IF($AL158=0,0,IF($M158="■ Red",3,IF($M158="◧ Amber",2,IF($M158="□ On track",1,0))))</f>
        <v/>
      </c>
      <c r="AP158" s="31">
        <f>IF($AL158=0,0,IF($AK158="Will not hold",3,IF($AK158="At risk",2,IF($AK158="Will hold",1,0))))</f>
        <v/>
      </c>
      <c r="AQ158" s="31">
        <f>IF($AL158=0,"",IF($AO158=3,0,IF($AO158=2,1,IF(AND($AP158&gt;=2,$AP158&gt;$AO158),2,""))))</f>
        <v/>
      </c>
      <c r="AR158" s="31">
        <f>IF($AQ158="","",$AQ158*1000+158)</f>
        <v/>
      </c>
      <c r="AS158" s="31">
        <f>IF(AND($AL158=1,$AO158&gt;=2,$AP158&gt;=1,$AP158&lt;$AO158),1,0)</f>
        <v/>
      </c>
      <c r="AT158" s="31">
        <f>IF(AND($AL158=1,$AO158&gt;=2,$AP158=0),1,0)</f>
        <v/>
      </c>
      <c r="AU158" s="31">
        <f>IF(AND($AL158=1,$U158&lt;&gt;"",$U158&lt;TODAY()),1,0)</f>
        <v/>
      </c>
      <c r="AV158" s="31">
        <f>IF(OR($A158="",$AJ158="",Portfolio!$B$10=""),0,IF($AJ158&lt;=Portfolio!$B$10,0,IF(AND($D158="Completed",$Z158=1),1,IF(AND($D158="Terminated",$Z158=1),2,IF(AND($Q158=1,$Z158=0),3,0)))))</f>
        <v/>
      </c>
      <c r="AW158" s="31">
        <f>IF($AV158&gt;0,COUNTIF($AV$6:$AV158,"&gt;0"),"")</f>
        <v/>
      </c>
      <c r="AX158" s="31">
        <f>IF($AL158=0,"",IF(AND($B158="Project",$H158&lt;&gt;"",$H158&lt;TODAY()),"Planned finish "&amp;TEXT($H158,"d mmm")&amp;" has passed",IF($X158&gt;=2,(NETWORKDAYS($H158,$U158)-1)&amp;" working days past plan","")))</f>
        <v/>
      </c>
      <c r="AY158" s="31">
        <f>IF($AL158=0,"",IF($Y158&gt;=2,"Over budget by "&amp;TEXT(IF($B158="Program",$V158,$J158)-$K158,"#,##0"),""))</f>
        <v/>
      </c>
      <c r="AZ158" s="31">
        <f>IF(AND($AL158=1,$U158&lt;&gt;""),IF(AND(N($U158)&gt;=TODAY(),N($U158)&lt;=TODAY()+Board!$B$41),1,0),0)</f>
        <v/>
      </c>
    </row>
    <row r="159">
      <c r="A159" s="29" t="n"/>
      <c r="B159" s="29" t="n"/>
      <c r="C159" s="29" t="n"/>
      <c r="D159" s="29" t="n"/>
      <c r="E159" s="29" t="n"/>
      <c r="F159" s="29" t="n"/>
      <c r="G159" s="29" t="n"/>
      <c r="H159" s="30" t="n"/>
      <c r="I159" s="30" t="n"/>
      <c r="J159" s="19" t="n"/>
      <c r="K159" s="19" t="n"/>
      <c r="L159" s="26" t="n"/>
      <c r="M159" s="31">
        <f>IF($A159="","",IF($D159="","Not read",IF($Q159=0,"Not counted",IF(MAX($X159,$Y159)=3,"■ Red",IF(MAX($X159,$Y159)=2,"◧ Amber",IF(MAX($X159,$Y159)=1,"□ On track","Not read"))))))</f>
        <v/>
      </c>
      <c r="N159" s="31">
        <f>IF(OR($A159="",$B159&lt;&gt;"Program"),"","■ "&amp;COUNTIFS($C$6:$C$305,$A159,$M$6:$M$305,"■ Red")&amp;" Red, ◧ "&amp;COUNTIFS($C$6:$C$305,$A159,$M$6:$M$305,"◧ Amber")&amp;" Amber")</f>
        <v/>
      </c>
      <c r="O159" s="32">
        <f>IF(OR($A159="",$E159=""),"",COUNTIFS($E$6:$E$305,$E159,$D$6:$D$305,"Active")+COUNTIFS($E$6:$E$305,$E159,$D$6:$D$305,"Paused"))</f>
        <v/>
      </c>
      <c r="P159" s="31">
        <f>IF($A159="","",IF($AE159=0,"○ Clear",IF($AA159=1,"△ No owner",IF($AC159=1,"△ Check Sits under",IF($AC159=2,"△ Outside the portfolio",IF($AB159=1,"△ No sponsor","△ No variance note"))))&amp;IF($AE159&gt;1," (+"&amp;($AE159-1)&amp;" more)","")))</f>
        <v/>
      </c>
      <c r="Q159" s="31">
        <f>IF(AND($A159&lt;&gt;"",OR($D159="Active",$D159="Paused")),1,0)</f>
        <v/>
      </c>
      <c r="R159" s="31">
        <f>IFERROR(INDEX($A$6:$A$305,MATCH(152,$S$6:$S$305,0)),"")</f>
        <v/>
      </c>
      <c r="S159" s="31">
        <f>IF(AND($A159&lt;&gt;"",$B159="Program"),COUNTIFS($B$6:$B159,"Program",$A$6:$A159,"&lt;&gt;"),"")</f>
        <v/>
      </c>
      <c r="T159" s="33">
        <f>IF(AND($A159&lt;&gt;"",$B159="Program"),SUMPRODUCT(MAX(($C$6:$C$305=$A159)*($B$6:$B$305="Project")*($D$6:$D$305&lt;&gt;"Proposed")*$I$6:$I$305)),0)</f>
        <v/>
      </c>
      <c r="U159" s="33">
        <f>IF($I159&lt;&gt;"",$I159,IF($T159&gt;0,$T159,""))</f>
        <v/>
      </c>
      <c r="V159" s="31">
        <f>IF(AND($A159&lt;&gt;"",$B159="Program"),SUMIFS($J$6:$J$305,$C$6:$C$305,$A159,$B$6:$B$305,"Project",$D$6:$D$305,"&lt;&gt;Proposed"),0)</f>
        <v/>
      </c>
      <c r="W159" s="31">
        <f>IF(AND($A159&lt;&gt;"",$B159="Program"),COUNTIFS($C$6:$C$305,$A159,$B$6:$B$305,"Project",$D$6:$D$305,"&lt;&gt;Proposed")-COUNTIFS($C$6:$C$305,$A159,$B$6:$B$305,"Project",$D$6:$D$305,"&lt;&gt;Proposed",$J$6:$J$305,"&gt;=0"),0)</f>
        <v/>
      </c>
      <c r="X159" s="31">
        <f>IF(OR($Q159=0,$H159=""),0,IF(AND($B159="Project",$H159&lt;TODAY()),3,IF($U159="",0,IF($U159&lt;=$H159,1,IF(NETWORKDAYS($H159,$U159)-1&gt;IF($B159="Program",Portfolio!$B$16,Portfolio!$B$15),3,2)))))</f>
        <v/>
      </c>
      <c r="Y159" s="31">
        <f>IF(OR($Q159=0,$K159="",$K159=0),0,IF(AND($B159="Project",$J159=""),0,IF(IF($B159="Program",$V159,$J159)&gt;$K159*(1+Portfolio!$B$17),3,IF(IF($B159="Program",$V159,$J159)&gt;$K159,2,IF(AND($B159="Program",OR($W159&gt;0,$V159=0)),0,1)))))</f>
        <v/>
      </c>
      <c r="Z159" s="31">
        <f>IF($A159="",0,IF($C159="Portfolio",1,IF(AND($B159="Project",$C159&lt;&gt;"",$C159&lt;&gt;"Outside the portfolio"),IFERROR(IF(AND(INDEX($B$6:$B$305,MATCH($C159,$A$6:$A$305,0))="Program",INDEX($C$6:$C$305,MATCH($C159,$A$6:$A$305,0))="Portfolio"),1,0),0),0)))</f>
        <v/>
      </c>
      <c r="AA159" s="31">
        <f>IF(AND($A159&lt;&gt;"",$E159="",OR($Q159=1,$D159="Proposed")),1,0)</f>
        <v/>
      </c>
      <c r="AB159" s="31">
        <f>IF(AND($A159&lt;&gt;"",$B159="Program",$F159="",$Q159=1),1,0)</f>
        <v/>
      </c>
      <c r="AC159" s="31">
        <f>IF(OR($A159="",$D159="Completed",$D159="Terminated"),0,IF($C159="",1,IF($C159="Portfolio",0,IF($C159="Outside the portfolio",IF($Q159=1,2,0),IF($B159="Project",IF(IFERROR(INDEX($B$6:$B$305,MATCH($C159,$A$6:$A$305,0)),"")="Program",0,1),1)))))</f>
        <v/>
      </c>
      <c r="AD159" s="31">
        <f>IF(AND($A159&lt;&gt;"",OR($M159="■ Red",$M159="◧ Amber"),$L159=""),1,0)</f>
        <v/>
      </c>
      <c r="AE159" s="31">
        <f>$AA159+$AB159+IF($AC159&gt;0,1,0)+$AD159</f>
        <v/>
      </c>
      <c r="AJ159" s="14" t="n"/>
      <c r="AK159" s="29" t="n"/>
      <c r="AL159" s="31">
        <f>IF(AND($Q159=1,$Z159=1),1,0)</f>
        <v/>
      </c>
      <c r="AM159" s="31">
        <f>IF(AND($AL159=1,$AJ159&lt;&gt;""),MAX(0,TODAY()-$AJ159),"")</f>
        <v/>
      </c>
      <c r="AN159" s="31">
        <f>IF(OR($AL159=0,COUNT($AJ$6:$AJ$305)=0),0,IF($AJ159="",1,IF(TODAY()-$AJ159&gt;Board!$B$40,1,0)))</f>
        <v/>
      </c>
      <c r="AO159" s="31">
        <f>IF($AL159=0,0,IF($M159="■ Red",3,IF($M159="◧ Amber",2,IF($M159="□ On track",1,0))))</f>
        <v/>
      </c>
      <c r="AP159" s="31">
        <f>IF($AL159=0,0,IF($AK159="Will not hold",3,IF($AK159="At risk",2,IF($AK159="Will hold",1,0))))</f>
        <v/>
      </c>
      <c r="AQ159" s="31">
        <f>IF($AL159=0,"",IF($AO159=3,0,IF($AO159=2,1,IF(AND($AP159&gt;=2,$AP159&gt;$AO159),2,""))))</f>
        <v/>
      </c>
      <c r="AR159" s="31">
        <f>IF($AQ159="","",$AQ159*1000+159)</f>
        <v/>
      </c>
      <c r="AS159" s="31">
        <f>IF(AND($AL159=1,$AO159&gt;=2,$AP159&gt;=1,$AP159&lt;$AO159),1,0)</f>
        <v/>
      </c>
      <c r="AT159" s="31">
        <f>IF(AND($AL159=1,$AO159&gt;=2,$AP159=0),1,0)</f>
        <v/>
      </c>
      <c r="AU159" s="31">
        <f>IF(AND($AL159=1,$U159&lt;&gt;"",$U159&lt;TODAY()),1,0)</f>
        <v/>
      </c>
      <c r="AV159" s="31">
        <f>IF(OR($A159="",$AJ159="",Portfolio!$B$10=""),0,IF($AJ159&lt;=Portfolio!$B$10,0,IF(AND($D159="Completed",$Z159=1),1,IF(AND($D159="Terminated",$Z159=1),2,IF(AND($Q159=1,$Z159=0),3,0)))))</f>
        <v/>
      </c>
      <c r="AW159" s="31">
        <f>IF($AV159&gt;0,COUNTIF($AV$6:$AV159,"&gt;0"),"")</f>
        <v/>
      </c>
      <c r="AX159" s="31">
        <f>IF($AL159=0,"",IF(AND($B159="Project",$H159&lt;&gt;"",$H159&lt;TODAY()),"Planned finish "&amp;TEXT($H159,"d mmm")&amp;" has passed",IF($X159&gt;=2,(NETWORKDAYS($H159,$U159)-1)&amp;" working days past plan","")))</f>
        <v/>
      </c>
      <c r="AY159" s="31">
        <f>IF($AL159=0,"",IF($Y159&gt;=2,"Over budget by "&amp;TEXT(IF($B159="Program",$V159,$J159)-$K159,"#,##0"),""))</f>
        <v/>
      </c>
      <c r="AZ159" s="31">
        <f>IF(AND($AL159=1,$U159&lt;&gt;""),IF(AND(N($U159)&gt;=TODAY(),N($U159)&lt;=TODAY()+Board!$B$41),1,0),0)</f>
        <v/>
      </c>
    </row>
    <row r="160">
      <c r="A160" s="29" t="n"/>
      <c r="B160" s="29" t="n"/>
      <c r="C160" s="29" t="n"/>
      <c r="D160" s="29" t="n"/>
      <c r="E160" s="29" t="n"/>
      <c r="F160" s="29" t="n"/>
      <c r="G160" s="29" t="n"/>
      <c r="H160" s="30" t="n"/>
      <c r="I160" s="30" t="n"/>
      <c r="J160" s="19" t="n"/>
      <c r="K160" s="19" t="n"/>
      <c r="L160" s="26" t="n"/>
      <c r="M160" s="31">
        <f>IF($A160="","",IF($D160="","Not read",IF($Q160=0,"Not counted",IF(MAX($X160,$Y160)=3,"■ Red",IF(MAX($X160,$Y160)=2,"◧ Amber",IF(MAX($X160,$Y160)=1,"□ On track","Not read"))))))</f>
        <v/>
      </c>
      <c r="N160" s="31">
        <f>IF(OR($A160="",$B160&lt;&gt;"Program"),"","■ "&amp;COUNTIFS($C$6:$C$305,$A160,$M$6:$M$305,"■ Red")&amp;" Red, ◧ "&amp;COUNTIFS($C$6:$C$305,$A160,$M$6:$M$305,"◧ Amber")&amp;" Amber")</f>
        <v/>
      </c>
      <c r="O160" s="32">
        <f>IF(OR($A160="",$E160=""),"",COUNTIFS($E$6:$E$305,$E160,$D$6:$D$305,"Active")+COUNTIFS($E$6:$E$305,$E160,$D$6:$D$305,"Paused"))</f>
        <v/>
      </c>
      <c r="P160" s="31">
        <f>IF($A160="","",IF($AE160=0,"○ Clear",IF($AA160=1,"△ No owner",IF($AC160=1,"△ Check Sits under",IF($AC160=2,"△ Outside the portfolio",IF($AB160=1,"△ No sponsor","△ No variance note"))))&amp;IF($AE160&gt;1," (+"&amp;($AE160-1)&amp;" more)","")))</f>
        <v/>
      </c>
      <c r="Q160" s="31">
        <f>IF(AND($A160&lt;&gt;"",OR($D160="Active",$D160="Paused")),1,0)</f>
        <v/>
      </c>
      <c r="R160" s="31">
        <f>IFERROR(INDEX($A$6:$A$305,MATCH(153,$S$6:$S$305,0)),"")</f>
        <v/>
      </c>
      <c r="S160" s="31">
        <f>IF(AND($A160&lt;&gt;"",$B160="Program"),COUNTIFS($B$6:$B160,"Program",$A$6:$A160,"&lt;&gt;"),"")</f>
        <v/>
      </c>
      <c r="T160" s="33">
        <f>IF(AND($A160&lt;&gt;"",$B160="Program"),SUMPRODUCT(MAX(($C$6:$C$305=$A160)*($B$6:$B$305="Project")*($D$6:$D$305&lt;&gt;"Proposed")*$I$6:$I$305)),0)</f>
        <v/>
      </c>
      <c r="U160" s="33">
        <f>IF($I160&lt;&gt;"",$I160,IF($T160&gt;0,$T160,""))</f>
        <v/>
      </c>
      <c r="V160" s="31">
        <f>IF(AND($A160&lt;&gt;"",$B160="Program"),SUMIFS($J$6:$J$305,$C$6:$C$305,$A160,$B$6:$B$305,"Project",$D$6:$D$305,"&lt;&gt;Proposed"),0)</f>
        <v/>
      </c>
      <c r="W160" s="31">
        <f>IF(AND($A160&lt;&gt;"",$B160="Program"),COUNTIFS($C$6:$C$305,$A160,$B$6:$B$305,"Project",$D$6:$D$305,"&lt;&gt;Proposed")-COUNTIFS($C$6:$C$305,$A160,$B$6:$B$305,"Project",$D$6:$D$305,"&lt;&gt;Proposed",$J$6:$J$305,"&gt;=0"),0)</f>
        <v/>
      </c>
      <c r="X160" s="31">
        <f>IF(OR($Q160=0,$H160=""),0,IF(AND($B160="Project",$H160&lt;TODAY()),3,IF($U160="",0,IF($U160&lt;=$H160,1,IF(NETWORKDAYS($H160,$U160)-1&gt;IF($B160="Program",Portfolio!$B$16,Portfolio!$B$15),3,2)))))</f>
        <v/>
      </c>
      <c r="Y160" s="31">
        <f>IF(OR($Q160=0,$K160="",$K160=0),0,IF(AND($B160="Project",$J160=""),0,IF(IF($B160="Program",$V160,$J160)&gt;$K160*(1+Portfolio!$B$17),3,IF(IF($B160="Program",$V160,$J160)&gt;$K160,2,IF(AND($B160="Program",OR($W160&gt;0,$V160=0)),0,1)))))</f>
        <v/>
      </c>
      <c r="Z160" s="31">
        <f>IF($A160="",0,IF($C160="Portfolio",1,IF(AND($B160="Project",$C160&lt;&gt;"",$C160&lt;&gt;"Outside the portfolio"),IFERROR(IF(AND(INDEX($B$6:$B$305,MATCH($C160,$A$6:$A$305,0))="Program",INDEX($C$6:$C$305,MATCH($C160,$A$6:$A$305,0))="Portfolio"),1,0),0),0)))</f>
        <v/>
      </c>
      <c r="AA160" s="31">
        <f>IF(AND($A160&lt;&gt;"",$E160="",OR($Q160=1,$D160="Proposed")),1,0)</f>
        <v/>
      </c>
      <c r="AB160" s="31">
        <f>IF(AND($A160&lt;&gt;"",$B160="Program",$F160="",$Q160=1),1,0)</f>
        <v/>
      </c>
      <c r="AC160" s="31">
        <f>IF(OR($A160="",$D160="Completed",$D160="Terminated"),0,IF($C160="",1,IF($C160="Portfolio",0,IF($C160="Outside the portfolio",IF($Q160=1,2,0),IF($B160="Project",IF(IFERROR(INDEX($B$6:$B$305,MATCH($C160,$A$6:$A$305,0)),"")="Program",0,1),1)))))</f>
        <v/>
      </c>
      <c r="AD160" s="31">
        <f>IF(AND($A160&lt;&gt;"",OR($M160="■ Red",$M160="◧ Amber"),$L160=""),1,0)</f>
        <v/>
      </c>
      <c r="AE160" s="31">
        <f>$AA160+$AB160+IF($AC160&gt;0,1,0)+$AD160</f>
        <v/>
      </c>
      <c r="AJ160" s="14" t="n"/>
      <c r="AK160" s="29" t="n"/>
      <c r="AL160" s="31">
        <f>IF(AND($Q160=1,$Z160=1),1,0)</f>
        <v/>
      </c>
      <c r="AM160" s="31">
        <f>IF(AND($AL160=1,$AJ160&lt;&gt;""),MAX(0,TODAY()-$AJ160),"")</f>
        <v/>
      </c>
      <c r="AN160" s="31">
        <f>IF(OR($AL160=0,COUNT($AJ$6:$AJ$305)=0),0,IF($AJ160="",1,IF(TODAY()-$AJ160&gt;Board!$B$40,1,0)))</f>
        <v/>
      </c>
      <c r="AO160" s="31">
        <f>IF($AL160=0,0,IF($M160="■ Red",3,IF($M160="◧ Amber",2,IF($M160="□ On track",1,0))))</f>
        <v/>
      </c>
      <c r="AP160" s="31">
        <f>IF($AL160=0,0,IF($AK160="Will not hold",3,IF($AK160="At risk",2,IF($AK160="Will hold",1,0))))</f>
        <v/>
      </c>
      <c r="AQ160" s="31">
        <f>IF($AL160=0,"",IF($AO160=3,0,IF($AO160=2,1,IF(AND($AP160&gt;=2,$AP160&gt;$AO160),2,""))))</f>
        <v/>
      </c>
      <c r="AR160" s="31">
        <f>IF($AQ160="","",$AQ160*1000+160)</f>
        <v/>
      </c>
      <c r="AS160" s="31">
        <f>IF(AND($AL160=1,$AO160&gt;=2,$AP160&gt;=1,$AP160&lt;$AO160),1,0)</f>
        <v/>
      </c>
      <c r="AT160" s="31">
        <f>IF(AND($AL160=1,$AO160&gt;=2,$AP160=0),1,0)</f>
        <v/>
      </c>
      <c r="AU160" s="31">
        <f>IF(AND($AL160=1,$U160&lt;&gt;"",$U160&lt;TODAY()),1,0)</f>
        <v/>
      </c>
      <c r="AV160" s="31">
        <f>IF(OR($A160="",$AJ160="",Portfolio!$B$10=""),0,IF($AJ160&lt;=Portfolio!$B$10,0,IF(AND($D160="Completed",$Z160=1),1,IF(AND($D160="Terminated",$Z160=1),2,IF(AND($Q160=1,$Z160=0),3,0)))))</f>
        <v/>
      </c>
      <c r="AW160" s="31">
        <f>IF($AV160&gt;0,COUNTIF($AV$6:$AV160,"&gt;0"),"")</f>
        <v/>
      </c>
      <c r="AX160" s="31">
        <f>IF($AL160=0,"",IF(AND($B160="Project",$H160&lt;&gt;"",$H160&lt;TODAY()),"Planned finish "&amp;TEXT($H160,"d mmm")&amp;" has passed",IF($X160&gt;=2,(NETWORKDAYS($H160,$U160)-1)&amp;" working days past plan","")))</f>
        <v/>
      </c>
      <c r="AY160" s="31">
        <f>IF($AL160=0,"",IF($Y160&gt;=2,"Over budget by "&amp;TEXT(IF($B160="Program",$V160,$J160)-$K160,"#,##0"),""))</f>
        <v/>
      </c>
      <c r="AZ160" s="31">
        <f>IF(AND($AL160=1,$U160&lt;&gt;""),IF(AND(N($U160)&gt;=TODAY(),N($U160)&lt;=TODAY()+Board!$B$41),1,0),0)</f>
        <v/>
      </c>
    </row>
    <row r="161">
      <c r="A161" s="29" t="n"/>
      <c r="B161" s="29" t="n"/>
      <c r="C161" s="29" t="n"/>
      <c r="D161" s="29" t="n"/>
      <c r="E161" s="29" t="n"/>
      <c r="F161" s="29" t="n"/>
      <c r="G161" s="29" t="n"/>
      <c r="H161" s="30" t="n"/>
      <c r="I161" s="30" t="n"/>
      <c r="J161" s="19" t="n"/>
      <c r="K161" s="19" t="n"/>
      <c r="L161" s="26" t="n"/>
      <c r="M161" s="31">
        <f>IF($A161="","",IF($D161="","Not read",IF($Q161=0,"Not counted",IF(MAX($X161,$Y161)=3,"■ Red",IF(MAX($X161,$Y161)=2,"◧ Amber",IF(MAX($X161,$Y161)=1,"□ On track","Not read"))))))</f>
        <v/>
      </c>
      <c r="N161" s="31">
        <f>IF(OR($A161="",$B161&lt;&gt;"Program"),"","■ "&amp;COUNTIFS($C$6:$C$305,$A161,$M$6:$M$305,"■ Red")&amp;" Red, ◧ "&amp;COUNTIFS($C$6:$C$305,$A161,$M$6:$M$305,"◧ Amber")&amp;" Amber")</f>
        <v/>
      </c>
      <c r="O161" s="32">
        <f>IF(OR($A161="",$E161=""),"",COUNTIFS($E$6:$E$305,$E161,$D$6:$D$305,"Active")+COUNTIFS($E$6:$E$305,$E161,$D$6:$D$305,"Paused"))</f>
        <v/>
      </c>
      <c r="P161" s="31">
        <f>IF($A161="","",IF($AE161=0,"○ Clear",IF($AA161=1,"△ No owner",IF($AC161=1,"△ Check Sits under",IF($AC161=2,"△ Outside the portfolio",IF($AB161=1,"△ No sponsor","△ No variance note"))))&amp;IF($AE161&gt;1," (+"&amp;($AE161-1)&amp;" more)","")))</f>
        <v/>
      </c>
      <c r="Q161" s="31">
        <f>IF(AND($A161&lt;&gt;"",OR($D161="Active",$D161="Paused")),1,0)</f>
        <v/>
      </c>
      <c r="R161" s="31">
        <f>IFERROR(INDEX($A$6:$A$305,MATCH(154,$S$6:$S$305,0)),"")</f>
        <v/>
      </c>
      <c r="S161" s="31">
        <f>IF(AND($A161&lt;&gt;"",$B161="Program"),COUNTIFS($B$6:$B161,"Program",$A$6:$A161,"&lt;&gt;"),"")</f>
        <v/>
      </c>
      <c r="T161" s="33">
        <f>IF(AND($A161&lt;&gt;"",$B161="Program"),SUMPRODUCT(MAX(($C$6:$C$305=$A161)*($B$6:$B$305="Project")*($D$6:$D$305&lt;&gt;"Proposed")*$I$6:$I$305)),0)</f>
        <v/>
      </c>
      <c r="U161" s="33">
        <f>IF($I161&lt;&gt;"",$I161,IF($T161&gt;0,$T161,""))</f>
        <v/>
      </c>
      <c r="V161" s="31">
        <f>IF(AND($A161&lt;&gt;"",$B161="Program"),SUMIFS($J$6:$J$305,$C$6:$C$305,$A161,$B$6:$B$305,"Project",$D$6:$D$305,"&lt;&gt;Proposed"),0)</f>
        <v/>
      </c>
      <c r="W161" s="31">
        <f>IF(AND($A161&lt;&gt;"",$B161="Program"),COUNTIFS($C$6:$C$305,$A161,$B$6:$B$305,"Project",$D$6:$D$305,"&lt;&gt;Proposed")-COUNTIFS($C$6:$C$305,$A161,$B$6:$B$305,"Project",$D$6:$D$305,"&lt;&gt;Proposed",$J$6:$J$305,"&gt;=0"),0)</f>
        <v/>
      </c>
      <c r="X161" s="31">
        <f>IF(OR($Q161=0,$H161=""),0,IF(AND($B161="Project",$H161&lt;TODAY()),3,IF($U161="",0,IF($U161&lt;=$H161,1,IF(NETWORKDAYS($H161,$U161)-1&gt;IF($B161="Program",Portfolio!$B$16,Portfolio!$B$15),3,2)))))</f>
        <v/>
      </c>
      <c r="Y161" s="31">
        <f>IF(OR($Q161=0,$K161="",$K161=0),0,IF(AND($B161="Project",$J161=""),0,IF(IF($B161="Program",$V161,$J161)&gt;$K161*(1+Portfolio!$B$17),3,IF(IF($B161="Program",$V161,$J161)&gt;$K161,2,IF(AND($B161="Program",OR($W161&gt;0,$V161=0)),0,1)))))</f>
        <v/>
      </c>
      <c r="Z161" s="31">
        <f>IF($A161="",0,IF($C161="Portfolio",1,IF(AND($B161="Project",$C161&lt;&gt;"",$C161&lt;&gt;"Outside the portfolio"),IFERROR(IF(AND(INDEX($B$6:$B$305,MATCH($C161,$A$6:$A$305,0))="Program",INDEX($C$6:$C$305,MATCH($C161,$A$6:$A$305,0))="Portfolio"),1,0),0),0)))</f>
        <v/>
      </c>
      <c r="AA161" s="31">
        <f>IF(AND($A161&lt;&gt;"",$E161="",OR($Q161=1,$D161="Proposed")),1,0)</f>
        <v/>
      </c>
      <c r="AB161" s="31">
        <f>IF(AND($A161&lt;&gt;"",$B161="Program",$F161="",$Q161=1),1,0)</f>
        <v/>
      </c>
      <c r="AC161" s="31">
        <f>IF(OR($A161="",$D161="Completed",$D161="Terminated"),0,IF($C161="",1,IF($C161="Portfolio",0,IF($C161="Outside the portfolio",IF($Q161=1,2,0),IF($B161="Project",IF(IFERROR(INDEX($B$6:$B$305,MATCH($C161,$A$6:$A$305,0)),"")="Program",0,1),1)))))</f>
        <v/>
      </c>
      <c r="AD161" s="31">
        <f>IF(AND($A161&lt;&gt;"",OR($M161="■ Red",$M161="◧ Amber"),$L161=""),1,0)</f>
        <v/>
      </c>
      <c r="AE161" s="31">
        <f>$AA161+$AB161+IF($AC161&gt;0,1,0)+$AD161</f>
        <v/>
      </c>
      <c r="AJ161" s="14" t="n"/>
      <c r="AK161" s="29" t="n"/>
      <c r="AL161" s="31">
        <f>IF(AND($Q161=1,$Z161=1),1,0)</f>
        <v/>
      </c>
      <c r="AM161" s="31">
        <f>IF(AND($AL161=1,$AJ161&lt;&gt;""),MAX(0,TODAY()-$AJ161),"")</f>
        <v/>
      </c>
      <c r="AN161" s="31">
        <f>IF(OR($AL161=0,COUNT($AJ$6:$AJ$305)=0),0,IF($AJ161="",1,IF(TODAY()-$AJ161&gt;Board!$B$40,1,0)))</f>
        <v/>
      </c>
      <c r="AO161" s="31">
        <f>IF($AL161=0,0,IF($M161="■ Red",3,IF($M161="◧ Amber",2,IF($M161="□ On track",1,0))))</f>
        <v/>
      </c>
      <c r="AP161" s="31">
        <f>IF($AL161=0,0,IF($AK161="Will not hold",3,IF($AK161="At risk",2,IF($AK161="Will hold",1,0))))</f>
        <v/>
      </c>
      <c r="AQ161" s="31">
        <f>IF($AL161=0,"",IF($AO161=3,0,IF($AO161=2,1,IF(AND($AP161&gt;=2,$AP161&gt;$AO161),2,""))))</f>
        <v/>
      </c>
      <c r="AR161" s="31">
        <f>IF($AQ161="","",$AQ161*1000+161)</f>
        <v/>
      </c>
      <c r="AS161" s="31">
        <f>IF(AND($AL161=1,$AO161&gt;=2,$AP161&gt;=1,$AP161&lt;$AO161),1,0)</f>
        <v/>
      </c>
      <c r="AT161" s="31">
        <f>IF(AND($AL161=1,$AO161&gt;=2,$AP161=0),1,0)</f>
        <v/>
      </c>
      <c r="AU161" s="31">
        <f>IF(AND($AL161=1,$U161&lt;&gt;"",$U161&lt;TODAY()),1,0)</f>
        <v/>
      </c>
      <c r="AV161" s="31">
        <f>IF(OR($A161="",$AJ161="",Portfolio!$B$10=""),0,IF($AJ161&lt;=Portfolio!$B$10,0,IF(AND($D161="Completed",$Z161=1),1,IF(AND($D161="Terminated",$Z161=1),2,IF(AND($Q161=1,$Z161=0),3,0)))))</f>
        <v/>
      </c>
      <c r="AW161" s="31">
        <f>IF($AV161&gt;0,COUNTIF($AV$6:$AV161,"&gt;0"),"")</f>
        <v/>
      </c>
      <c r="AX161" s="31">
        <f>IF($AL161=0,"",IF(AND($B161="Project",$H161&lt;&gt;"",$H161&lt;TODAY()),"Planned finish "&amp;TEXT($H161,"d mmm")&amp;" has passed",IF($X161&gt;=2,(NETWORKDAYS($H161,$U161)-1)&amp;" working days past plan","")))</f>
        <v/>
      </c>
      <c r="AY161" s="31">
        <f>IF($AL161=0,"",IF($Y161&gt;=2,"Over budget by "&amp;TEXT(IF($B161="Program",$V161,$J161)-$K161,"#,##0"),""))</f>
        <v/>
      </c>
      <c r="AZ161" s="31">
        <f>IF(AND($AL161=1,$U161&lt;&gt;""),IF(AND(N($U161)&gt;=TODAY(),N($U161)&lt;=TODAY()+Board!$B$41),1,0),0)</f>
        <v/>
      </c>
    </row>
    <row r="162">
      <c r="A162" s="29" t="n"/>
      <c r="B162" s="29" t="n"/>
      <c r="C162" s="29" t="n"/>
      <c r="D162" s="29" t="n"/>
      <c r="E162" s="29" t="n"/>
      <c r="F162" s="29" t="n"/>
      <c r="G162" s="29" t="n"/>
      <c r="H162" s="30" t="n"/>
      <c r="I162" s="30" t="n"/>
      <c r="J162" s="19" t="n"/>
      <c r="K162" s="19" t="n"/>
      <c r="L162" s="26" t="n"/>
      <c r="M162" s="31">
        <f>IF($A162="","",IF($D162="","Not read",IF($Q162=0,"Not counted",IF(MAX($X162,$Y162)=3,"■ Red",IF(MAX($X162,$Y162)=2,"◧ Amber",IF(MAX($X162,$Y162)=1,"□ On track","Not read"))))))</f>
        <v/>
      </c>
      <c r="N162" s="31">
        <f>IF(OR($A162="",$B162&lt;&gt;"Program"),"","■ "&amp;COUNTIFS($C$6:$C$305,$A162,$M$6:$M$305,"■ Red")&amp;" Red, ◧ "&amp;COUNTIFS($C$6:$C$305,$A162,$M$6:$M$305,"◧ Amber")&amp;" Amber")</f>
        <v/>
      </c>
      <c r="O162" s="32">
        <f>IF(OR($A162="",$E162=""),"",COUNTIFS($E$6:$E$305,$E162,$D$6:$D$305,"Active")+COUNTIFS($E$6:$E$305,$E162,$D$6:$D$305,"Paused"))</f>
        <v/>
      </c>
      <c r="P162" s="31">
        <f>IF($A162="","",IF($AE162=0,"○ Clear",IF($AA162=1,"△ No owner",IF($AC162=1,"△ Check Sits under",IF($AC162=2,"△ Outside the portfolio",IF($AB162=1,"△ No sponsor","△ No variance note"))))&amp;IF($AE162&gt;1," (+"&amp;($AE162-1)&amp;" more)","")))</f>
        <v/>
      </c>
      <c r="Q162" s="31">
        <f>IF(AND($A162&lt;&gt;"",OR($D162="Active",$D162="Paused")),1,0)</f>
        <v/>
      </c>
      <c r="R162" s="31">
        <f>IFERROR(INDEX($A$6:$A$305,MATCH(155,$S$6:$S$305,0)),"")</f>
        <v/>
      </c>
      <c r="S162" s="31">
        <f>IF(AND($A162&lt;&gt;"",$B162="Program"),COUNTIFS($B$6:$B162,"Program",$A$6:$A162,"&lt;&gt;"),"")</f>
        <v/>
      </c>
      <c r="T162" s="33">
        <f>IF(AND($A162&lt;&gt;"",$B162="Program"),SUMPRODUCT(MAX(($C$6:$C$305=$A162)*($B$6:$B$305="Project")*($D$6:$D$305&lt;&gt;"Proposed")*$I$6:$I$305)),0)</f>
        <v/>
      </c>
      <c r="U162" s="33">
        <f>IF($I162&lt;&gt;"",$I162,IF($T162&gt;0,$T162,""))</f>
        <v/>
      </c>
      <c r="V162" s="31">
        <f>IF(AND($A162&lt;&gt;"",$B162="Program"),SUMIFS($J$6:$J$305,$C$6:$C$305,$A162,$B$6:$B$305,"Project",$D$6:$D$305,"&lt;&gt;Proposed"),0)</f>
        <v/>
      </c>
      <c r="W162" s="31">
        <f>IF(AND($A162&lt;&gt;"",$B162="Program"),COUNTIFS($C$6:$C$305,$A162,$B$6:$B$305,"Project",$D$6:$D$305,"&lt;&gt;Proposed")-COUNTIFS($C$6:$C$305,$A162,$B$6:$B$305,"Project",$D$6:$D$305,"&lt;&gt;Proposed",$J$6:$J$305,"&gt;=0"),0)</f>
        <v/>
      </c>
      <c r="X162" s="31">
        <f>IF(OR($Q162=0,$H162=""),0,IF(AND($B162="Project",$H162&lt;TODAY()),3,IF($U162="",0,IF($U162&lt;=$H162,1,IF(NETWORKDAYS($H162,$U162)-1&gt;IF($B162="Program",Portfolio!$B$16,Portfolio!$B$15),3,2)))))</f>
        <v/>
      </c>
      <c r="Y162" s="31">
        <f>IF(OR($Q162=0,$K162="",$K162=0),0,IF(AND($B162="Project",$J162=""),0,IF(IF($B162="Program",$V162,$J162)&gt;$K162*(1+Portfolio!$B$17),3,IF(IF($B162="Program",$V162,$J162)&gt;$K162,2,IF(AND($B162="Program",OR($W162&gt;0,$V162=0)),0,1)))))</f>
        <v/>
      </c>
      <c r="Z162" s="31">
        <f>IF($A162="",0,IF($C162="Portfolio",1,IF(AND($B162="Project",$C162&lt;&gt;"",$C162&lt;&gt;"Outside the portfolio"),IFERROR(IF(AND(INDEX($B$6:$B$305,MATCH($C162,$A$6:$A$305,0))="Program",INDEX($C$6:$C$305,MATCH($C162,$A$6:$A$305,0))="Portfolio"),1,0),0),0)))</f>
        <v/>
      </c>
      <c r="AA162" s="31">
        <f>IF(AND($A162&lt;&gt;"",$E162="",OR($Q162=1,$D162="Proposed")),1,0)</f>
        <v/>
      </c>
      <c r="AB162" s="31">
        <f>IF(AND($A162&lt;&gt;"",$B162="Program",$F162="",$Q162=1),1,0)</f>
        <v/>
      </c>
      <c r="AC162" s="31">
        <f>IF(OR($A162="",$D162="Completed",$D162="Terminated"),0,IF($C162="",1,IF($C162="Portfolio",0,IF($C162="Outside the portfolio",IF($Q162=1,2,0),IF($B162="Project",IF(IFERROR(INDEX($B$6:$B$305,MATCH($C162,$A$6:$A$305,0)),"")="Program",0,1),1)))))</f>
        <v/>
      </c>
      <c r="AD162" s="31">
        <f>IF(AND($A162&lt;&gt;"",OR($M162="■ Red",$M162="◧ Amber"),$L162=""),1,0)</f>
        <v/>
      </c>
      <c r="AE162" s="31">
        <f>$AA162+$AB162+IF($AC162&gt;0,1,0)+$AD162</f>
        <v/>
      </c>
      <c r="AJ162" s="14" t="n"/>
      <c r="AK162" s="29" t="n"/>
      <c r="AL162" s="31">
        <f>IF(AND($Q162=1,$Z162=1),1,0)</f>
        <v/>
      </c>
      <c r="AM162" s="31">
        <f>IF(AND($AL162=1,$AJ162&lt;&gt;""),MAX(0,TODAY()-$AJ162),"")</f>
        <v/>
      </c>
      <c r="AN162" s="31">
        <f>IF(OR($AL162=0,COUNT($AJ$6:$AJ$305)=0),0,IF($AJ162="",1,IF(TODAY()-$AJ162&gt;Board!$B$40,1,0)))</f>
        <v/>
      </c>
      <c r="AO162" s="31">
        <f>IF($AL162=0,0,IF($M162="■ Red",3,IF($M162="◧ Amber",2,IF($M162="□ On track",1,0))))</f>
        <v/>
      </c>
      <c r="AP162" s="31">
        <f>IF($AL162=0,0,IF($AK162="Will not hold",3,IF($AK162="At risk",2,IF($AK162="Will hold",1,0))))</f>
        <v/>
      </c>
      <c r="AQ162" s="31">
        <f>IF($AL162=0,"",IF($AO162=3,0,IF($AO162=2,1,IF(AND($AP162&gt;=2,$AP162&gt;$AO162),2,""))))</f>
        <v/>
      </c>
      <c r="AR162" s="31">
        <f>IF($AQ162="","",$AQ162*1000+162)</f>
        <v/>
      </c>
      <c r="AS162" s="31">
        <f>IF(AND($AL162=1,$AO162&gt;=2,$AP162&gt;=1,$AP162&lt;$AO162),1,0)</f>
        <v/>
      </c>
      <c r="AT162" s="31">
        <f>IF(AND($AL162=1,$AO162&gt;=2,$AP162=0),1,0)</f>
        <v/>
      </c>
      <c r="AU162" s="31">
        <f>IF(AND($AL162=1,$U162&lt;&gt;"",$U162&lt;TODAY()),1,0)</f>
        <v/>
      </c>
      <c r="AV162" s="31">
        <f>IF(OR($A162="",$AJ162="",Portfolio!$B$10=""),0,IF($AJ162&lt;=Portfolio!$B$10,0,IF(AND($D162="Completed",$Z162=1),1,IF(AND($D162="Terminated",$Z162=1),2,IF(AND($Q162=1,$Z162=0),3,0)))))</f>
        <v/>
      </c>
      <c r="AW162" s="31">
        <f>IF($AV162&gt;0,COUNTIF($AV$6:$AV162,"&gt;0"),"")</f>
        <v/>
      </c>
      <c r="AX162" s="31">
        <f>IF($AL162=0,"",IF(AND($B162="Project",$H162&lt;&gt;"",$H162&lt;TODAY()),"Planned finish "&amp;TEXT($H162,"d mmm")&amp;" has passed",IF($X162&gt;=2,(NETWORKDAYS($H162,$U162)-1)&amp;" working days past plan","")))</f>
        <v/>
      </c>
      <c r="AY162" s="31">
        <f>IF($AL162=0,"",IF($Y162&gt;=2,"Over budget by "&amp;TEXT(IF($B162="Program",$V162,$J162)-$K162,"#,##0"),""))</f>
        <v/>
      </c>
      <c r="AZ162" s="31">
        <f>IF(AND($AL162=1,$U162&lt;&gt;""),IF(AND(N($U162)&gt;=TODAY(),N($U162)&lt;=TODAY()+Board!$B$41),1,0),0)</f>
        <v/>
      </c>
    </row>
    <row r="163">
      <c r="A163" s="29" t="n"/>
      <c r="B163" s="29" t="n"/>
      <c r="C163" s="29" t="n"/>
      <c r="D163" s="29" t="n"/>
      <c r="E163" s="29" t="n"/>
      <c r="F163" s="29" t="n"/>
      <c r="G163" s="29" t="n"/>
      <c r="H163" s="30" t="n"/>
      <c r="I163" s="30" t="n"/>
      <c r="J163" s="19" t="n"/>
      <c r="K163" s="19" t="n"/>
      <c r="L163" s="26" t="n"/>
      <c r="M163" s="31">
        <f>IF($A163="","",IF($D163="","Not read",IF($Q163=0,"Not counted",IF(MAX($X163,$Y163)=3,"■ Red",IF(MAX($X163,$Y163)=2,"◧ Amber",IF(MAX($X163,$Y163)=1,"□ On track","Not read"))))))</f>
        <v/>
      </c>
      <c r="N163" s="31">
        <f>IF(OR($A163="",$B163&lt;&gt;"Program"),"","■ "&amp;COUNTIFS($C$6:$C$305,$A163,$M$6:$M$305,"■ Red")&amp;" Red, ◧ "&amp;COUNTIFS($C$6:$C$305,$A163,$M$6:$M$305,"◧ Amber")&amp;" Amber")</f>
        <v/>
      </c>
      <c r="O163" s="32">
        <f>IF(OR($A163="",$E163=""),"",COUNTIFS($E$6:$E$305,$E163,$D$6:$D$305,"Active")+COUNTIFS($E$6:$E$305,$E163,$D$6:$D$305,"Paused"))</f>
        <v/>
      </c>
      <c r="P163" s="31">
        <f>IF($A163="","",IF($AE163=0,"○ Clear",IF($AA163=1,"△ No owner",IF($AC163=1,"△ Check Sits under",IF($AC163=2,"△ Outside the portfolio",IF($AB163=1,"△ No sponsor","△ No variance note"))))&amp;IF($AE163&gt;1," (+"&amp;($AE163-1)&amp;" more)","")))</f>
        <v/>
      </c>
      <c r="Q163" s="31">
        <f>IF(AND($A163&lt;&gt;"",OR($D163="Active",$D163="Paused")),1,0)</f>
        <v/>
      </c>
      <c r="R163" s="31">
        <f>IFERROR(INDEX($A$6:$A$305,MATCH(156,$S$6:$S$305,0)),"")</f>
        <v/>
      </c>
      <c r="S163" s="31">
        <f>IF(AND($A163&lt;&gt;"",$B163="Program"),COUNTIFS($B$6:$B163,"Program",$A$6:$A163,"&lt;&gt;"),"")</f>
        <v/>
      </c>
      <c r="T163" s="33">
        <f>IF(AND($A163&lt;&gt;"",$B163="Program"),SUMPRODUCT(MAX(($C$6:$C$305=$A163)*($B$6:$B$305="Project")*($D$6:$D$305&lt;&gt;"Proposed")*$I$6:$I$305)),0)</f>
        <v/>
      </c>
      <c r="U163" s="33">
        <f>IF($I163&lt;&gt;"",$I163,IF($T163&gt;0,$T163,""))</f>
        <v/>
      </c>
      <c r="V163" s="31">
        <f>IF(AND($A163&lt;&gt;"",$B163="Program"),SUMIFS($J$6:$J$305,$C$6:$C$305,$A163,$B$6:$B$305,"Project",$D$6:$D$305,"&lt;&gt;Proposed"),0)</f>
        <v/>
      </c>
      <c r="W163" s="31">
        <f>IF(AND($A163&lt;&gt;"",$B163="Program"),COUNTIFS($C$6:$C$305,$A163,$B$6:$B$305,"Project",$D$6:$D$305,"&lt;&gt;Proposed")-COUNTIFS($C$6:$C$305,$A163,$B$6:$B$305,"Project",$D$6:$D$305,"&lt;&gt;Proposed",$J$6:$J$305,"&gt;=0"),0)</f>
        <v/>
      </c>
      <c r="X163" s="31">
        <f>IF(OR($Q163=0,$H163=""),0,IF(AND($B163="Project",$H163&lt;TODAY()),3,IF($U163="",0,IF($U163&lt;=$H163,1,IF(NETWORKDAYS($H163,$U163)-1&gt;IF($B163="Program",Portfolio!$B$16,Portfolio!$B$15),3,2)))))</f>
        <v/>
      </c>
      <c r="Y163" s="31">
        <f>IF(OR($Q163=0,$K163="",$K163=0),0,IF(AND($B163="Project",$J163=""),0,IF(IF($B163="Program",$V163,$J163)&gt;$K163*(1+Portfolio!$B$17),3,IF(IF($B163="Program",$V163,$J163)&gt;$K163,2,IF(AND($B163="Program",OR($W163&gt;0,$V163=0)),0,1)))))</f>
        <v/>
      </c>
      <c r="Z163" s="31">
        <f>IF($A163="",0,IF($C163="Portfolio",1,IF(AND($B163="Project",$C163&lt;&gt;"",$C163&lt;&gt;"Outside the portfolio"),IFERROR(IF(AND(INDEX($B$6:$B$305,MATCH($C163,$A$6:$A$305,0))="Program",INDEX($C$6:$C$305,MATCH($C163,$A$6:$A$305,0))="Portfolio"),1,0),0),0)))</f>
        <v/>
      </c>
      <c r="AA163" s="31">
        <f>IF(AND($A163&lt;&gt;"",$E163="",OR($Q163=1,$D163="Proposed")),1,0)</f>
        <v/>
      </c>
      <c r="AB163" s="31">
        <f>IF(AND($A163&lt;&gt;"",$B163="Program",$F163="",$Q163=1),1,0)</f>
        <v/>
      </c>
      <c r="AC163" s="31">
        <f>IF(OR($A163="",$D163="Completed",$D163="Terminated"),0,IF($C163="",1,IF($C163="Portfolio",0,IF($C163="Outside the portfolio",IF($Q163=1,2,0),IF($B163="Project",IF(IFERROR(INDEX($B$6:$B$305,MATCH($C163,$A$6:$A$305,0)),"")="Program",0,1),1)))))</f>
        <v/>
      </c>
      <c r="AD163" s="31">
        <f>IF(AND($A163&lt;&gt;"",OR($M163="■ Red",$M163="◧ Amber"),$L163=""),1,0)</f>
        <v/>
      </c>
      <c r="AE163" s="31">
        <f>$AA163+$AB163+IF($AC163&gt;0,1,0)+$AD163</f>
        <v/>
      </c>
      <c r="AJ163" s="14" t="n"/>
      <c r="AK163" s="29" t="n"/>
      <c r="AL163" s="31">
        <f>IF(AND($Q163=1,$Z163=1),1,0)</f>
        <v/>
      </c>
      <c r="AM163" s="31">
        <f>IF(AND($AL163=1,$AJ163&lt;&gt;""),MAX(0,TODAY()-$AJ163),"")</f>
        <v/>
      </c>
      <c r="AN163" s="31">
        <f>IF(OR($AL163=0,COUNT($AJ$6:$AJ$305)=0),0,IF($AJ163="",1,IF(TODAY()-$AJ163&gt;Board!$B$40,1,0)))</f>
        <v/>
      </c>
      <c r="AO163" s="31">
        <f>IF($AL163=0,0,IF($M163="■ Red",3,IF($M163="◧ Amber",2,IF($M163="□ On track",1,0))))</f>
        <v/>
      </c>
      <c r="AP163" s="31">
        <f>IF($AL163=0,0,IF($AK163="Will not hold",3,IF($AK163="At risk",2,IF($AK163="Will hold",1,0))))</f>
        <v/>
      </c>
      <c r="AQ163" s="31">
        <f>IF($AL163=0,"",IF($AO163=3,0,IF($AO163=2,1,IF(AND($AP163&gt;=2,$AP163&gt;$AO163),2,""))))</f>
        <v/>
      </c>
      <c r="AR163" s="31">
        <f>IF($AQ163="","",$AQ163*1000+163)</f>
        <v/>
      </c>
      <c r="AS163" s="31">
        <f>IF(AND($AL163=1,$AO163&gt;=2,$AP163&gt;=1,$AP163&lt;$AO163),1,0)</f>
        <v/>
      </c>
      <c r="AT163" s="31">
        <f>IF(AND($AL163=1,$AO163&gt;=2,$AP163=0),1,0)</f>
        <v/>
      </c>
      <c r="AU163" s="31">
        <f>IF(AND($AL163=1,$U163&lt;&gt;"",$U163&lt;TODAY()),1,0)</f>
        <v/>
      </c>
      <c r="AV163" s="31">
        <f>IF(OR($A163="",$AJ163="",Portfolio!$B$10=""),0,IF($AJ163&lt;=Portfolio!$B$10,0,IF(AND($D163="Completed",$Z163=1),1,IF(AND($D163="Terminated",$Z163=1),2,IF(AND($Q163=1,$Z163=0),3,0)))))</f>
        <v/>
      </c>
      <c r="AW163" s="31">
        <f>IF($AV163&gt;0,COUNTIF($AV$6:$AV163,"&gt;0"),"")</f>
        <v/>
      </c>
      <c r="AX163" s="31">
        <f>IF($AL163=0,"",IF(AND($B163="Project",$H163&lt;&gt;"",$H163&lt;TODAY()),"Planned finish "&amp;TEXT($H163,"d mmm")&amp;" has passed",IF($X163&gt;=2,(NETWORKDAYS($H163,$U163)-1)&amp;" working days past plan","")))</f>
        <v/>
      </c>
      <c r="AY163" s="31">
        <f>IF($AL163=0,"",IF($Y163&gt;=2,"Over budget by "&amp;TEXT(IF($B163="Program",$V163,$J163)-$K163,"#,##0"),""))</f>
        <v/>
      </c>
      <c r="AZ163" s="31">
        <f>IF(AND($AL163=1,$U163&lt;&gt;""),IF(AND(N($U163)&gt;=TODAY(),N($U163)&lt;=TODAY()+Board!$B$41),1,0),0)</f>
        <v/>
      </c>
    </row>
    <row r="164">
      <c r="A164" s="29" t="n"/>
      <c r="B164" s="29" t="n"/>
      <c r="C164" s="29" t="n"/>
      <c r="D164" s="29" t="n"/>
      <c r="E164" s="29" t="n"/>
      <c r="F164" s="29" t="n"/>
      <c r="G164" s="29" t="n"/>
      <c r="H164" s="30" t="n"/>
      <c r="I164" s="30" t="n"/>
      <c r="J164" s="19" t="n"/>
      <c r="K164" s="19" t="n"/>
      <c r="L164" s="26" t="n"/>
      <c r="M164" s="31">
        <f>IF($A164="","",IF($D164="","Not read",IF($Q164=0,"Not counted",IF(MAX($X164,$Y164)=3,"■ Red",IF(MAX($X164,$Y164)=2,"◧ Amber",IF(MAX($X164,$Y164)=1,"□ On track","Not read"))))))</f>
        <v/>
      </c>
      <c r="N164" s="31">
        <f>IF(OR($A164="",$B164&lt;&gt;"Program"),"","■ "&amp;COUNTIFS($C$6:$C$305,$A164,$M$6:$M$305,"■ Red")&amp;" Red, ◧ "&amp;COUNTIFS($C$6:$C$305,$A164,$M$6:$M$305,"◧ Amber")&amp;" Amber")</f>
        <v/>
      </c>
      <c r="O164" s="32">
        <f>IF(OR($A164="",$E164=""),"",COUNTIFS($E$6:$E$305,$E164,$D$6:$D$305,"Active")+COUNTIFS($E$6:$E$305,$E164,$D$6:$D$305,"Paused"))</f>
        <v/>
      </c>
      <c r="P164" s="31">
        <f>IF($A164="","",IF($AE164=0,"○ Clear",IF($AA164=1,"△ No owner",IF($AC164=1,"△ Check Sits under",IF($AC164=2,"△ Outside the portfolio",IF($AB164=1,"△ No sponsor","△ No variance note"))))&amp;IF($AE164&gt;1," (+"&amp;($AE164-1)&amp;" more)","")))</f>
        <v/>
      </c>
      <c r="Q164" s="31">
        <f>IF(AND($A164&lt;&gt;"",OR($D164="Active",$D164="Paused")),1,0)</f>
        <v/>
      </c>
      <c r="R164" s="31">
        <f>IFERROR(INDEX($A$6:$A$305,MATCH(157,$S$6:$S$305,0)),"")</f>
        <v/>
      </c>
      <c r="S164" s="31">
        <f>IF(AND($A164&lt;&gt;"",$B164="Program"),COUNTIFS($B$6:$B164,"Program",$A$6:$A164,"&lt;&gt;"),"")</f>
        <v/>
      </c>
      <c r="T164" s="33">
        <f>IF(AND($A164&lt;&gt;"",$B164="Program"),SUMPRODUCT(MAX(($C$6:$C$305=$A164)*($B$6:$B$305="Project")*($D$6:$D$305&lt;&gt;"Proposed")*$I$6:$I$305)),0)</f>
        <v/>
      </c>
      <c r="U164" s="33">
        <f>IF($I164&lt;&gt;"",$I164,IF($T164&gt;0,$T164,""))</f>
        <v/>
      </c>
      <c r="V164" s="31">
        <f>IF(AND($A164&lt;&gt;"",$B164="Program"),SUMIFS($J$6:$J$305,$C$6:$C$305,$A164,$B$6:$B$305,"Project",$D$6:$D$305,"&lt;&gt;Proposed"),0)</f>
        <v/>
      </c>
      <c r="W164" s="31">
        <f>IF(AND($A164&lt;&gt;"",$B164="Program"),COUNTIFS($C$6:$C$305,$A164,$B$6:$B$305,"Project",$D$6:$D$305,"&lt;&gt;Proposed")-COUNTIFS($C$6:$C$305,$A164,$B$6:$B$305,"Project",$D$6:$D$305,"&lt;&gt;Proposed",$J$6:$J$305,"&gt;=0"),0)</f>
        <v/>
      </c>
      <c r="X164" s="31">
        <f>IF(OR($Q164=0,$H164=""),0,IF(AND($B164="Project",$H164&lt;TODAY()),3,IF($U164="",0,IF($U164&lt;=$H164,1,IF(NETWORKDAYS($H164,$U164)-1&gt;IF($B164="Program",Portfolio!$B$16,Portfolio!$B$15),3,2)))))</f>
        <v/>
      </c>
      <c r="Y164" s="31">
        <f>IF(OR($Q164=0,$K164="",$K164=0),0,IF(AND($B164="Project",$J164=""),0,IF(IF($B164="Program",$V164,$J164)&gt;$K164*(1+Portfolio!$B$17),3,IF(IF($B164="Program",$V164,$J164)&gt;$K164,2,IF(AND($B164="Program",OR($W164&gt;0,$V164=0)),0,1)))))</f>
        <v/>
      </c>
      <c r="Z164" s="31">
        <f>IF($A164="",0,IF($C164="Portfolio",1,IF(AND($B164="Project",$C164&lt;&gt;"",$C164&lt;&gt;"Outside the portfolio"),IFERROR(IF(AND(INDEX($B$6:$B$305,MATCH($C164,$A$6:$A$305,0))="Program",INDEX($C$6:$C$305,MATCH($C164,$A$6:$A$305,0))="Portfolio"),1,0),0),0)))</f>
        <v/>
      </c>
      <c r="AA164" s="31">
        <f>IF(AND($A164&lt;&gt;"",$E164="",OR($Q164=1,$D164="Proposed")),1,0)</f>
        <v/>
      </c>
      <c r="AB164" s="31">
        <f>IF(AND($A164&lt;&gt;"",$B164="Program",$F164="",$Q164=1),1,0)</f>
        <v/>
      </c>
      <c r="AC164" s="31">
        <f>IF(OR($A164="",$D164="Completed",$D164="Terminated"),0,IF($C164="",1,IF($C164="Portfolio",0,IF($C164="Outside the portfolio",IF($Q164=1,2,0),IF($B164="Project",IF(IFERROR(INDEX($B$6:$B$305,MATCH($C164,$A$6:$A$305,0)),"")="Program",0,1),1)))))</f>
        <v/>
      </c>
      <c r="AD164" s="31">
        <f>IF(AND($A164&lt;&gt;"",OR($M164="■ Red",$M164="◧ Amber"),$L164=""),1,0)</f>
        <v/>
      </c>
      <c r="AE164" s="31">
        <f>$AA164+$AB164+IF($AC164&gt;0,1,0)+$AD164</f>
        <v/>
      </c>
      <c r="AJ164" s="14" t="n"/>
      <c r="AK164" s="29" t="n"/>
      <c r="AL164" s="31">
        <f>IF(AND($Q164=1,$Z164=1),1,0)</f>
        <v/>
      </c>
      <c r="AM164" s="31">
        <f>IF(AND($AL164=1,$AJ164&lt;&gt;""),MAX(0,TODAY()-$AJ164),"")</f>
        <v/>
      </c>
      <c r="AN164" s="31">
        <f>IF(OR($AL164=0,COUNT($AJ$6:$AJ$305)=0),0,IF($AJ164="",1,IF(TODAY()-$AJ164&gt;Board!$B$40,1,0)))</f>
        <v/>
      </c>
      <c r="AO164" s="31">
        <f>IF($AL164=0,0,IF($M164="■ Red",3,IF($M164="◧ Amber",2,IF($M164="□ On track",1,0))))</f>
        <v/>
      </c>
      <c r="AP164" s="31">
        <f>IF($AL164=0,0,IF($AK164="Will not hold",3,IF($AK164="At risk",2,IF($AK164="Will hold",1,0))))</f>
        <v/>
      </c>
      <c r="AQ164" s="31">
        <f>IF($AL164=0,"",IF($AO164=3,0,IF($AO164=2,1,IF(AND($AP164&gt;=2,$AP164&gt;$AO164),2,""))))</f>
        <v/>
      </c>
      <c r="AR164" s="31">
        <f>IF($AQ164="","",$AQ164*1000+164)</f>
        <v/>
      </c>
      <c r="AS164" s="31">
        <f>IF(AND($AL164=1,$AO164&gt;=2,$AP164&gt;=1,$AP164&lt;$AO164),1,0)</f>
        <v/>
      </c>
      <c r="AT164" s="31">
        <f>IF(AND($AL164=1,$AO164&gt;=2,$AP164=0),1,0)</f>
        <v/>
      </c>
      <c r="AU164" s="31">
        <f>IF(AND($AL164=1,$U164&lt;&gt;"",$U164&lt;TODAY()),1,0)</f>
        <v/>
      </c>
      <c r="AV164" s="31">
        <f>IF(OR($A164="",$AJ164="",Portfolio!$B$10=""),0,IF($AJ164&lt;=Portfolio!$B$10,0,IF(AND($D164="Completed",$Z164=1),1,IF(AND($D164="Terminated",$Z164=1),2,IF(AND($Q164=1,$Z164=0),3,0)))))</f>
        <v/>
      </c>
      <c r="AW164" s="31">
        <f>IF($AV164&gt;0,COUNTIF($AV$6:$AV164,"&gt;0"),"")</f>
        <v/>
      </c>
      <c r="AX164" s="31">
        <f>IF($AL164=0,"",IF(AND($B164="Project",$H164&lt;&gt;"",$H164&lt;TODAY()),"Planned finish "&amp;TEXT($H164,"d mmm")&amp;" has passed",IF($X164&gt;=2,(NETWORKDAYS($H164,$U164)-1)&amp;" working days past plan","")))</f>
        <v/>
      </c>
      <c r="AY164" s="31">
        <f>IF($AL164=0,"",IF($Y164&gt;=2,"Over budget by "&amp;TEXT(IF($B164="Program",$V164,$J164)-$K164,"#,##0"),""))</f>
        <v/>
      </c>
      <c r="AZ164" s="31">
        <f>IF(AND($AL164=1,$U164&lt;&gt;""),IF(AND(N($U164)&gt;=TODAY(),N($U164)&lt;=TODAY()+Board!$B$41),1,0),0)</f>
        <v/>
      </c>
    </row>
    <row r="165">
      <c r="A165" s="29" t="n"/>
      <c r="B165" s="29" t="n"/>
      <c r="C165" s="29" t="n"/>
      <c r="D165" s="29" t="n"/>
      <c r="E165" s="29" t="n"/>
      <c r="F165" s="29" t="n"/>
      <c r="G165" s="29" t="n"/>
      <c r="H165" s="30" t="n"/>
      <c r="I165" s="30" t="n"/>
      <c r="J165" s="19" t="n"/>
      <c r="K165" s="19" t="n"/>
      <c r="L165" s="26" t="n"/>
      <c r="M165" s="31">
        <f>IF($A165="","",IF($D165="","Not read",IF($Q165=0,"Not counted",IF(MAX($X165,$Y165)=3,"■ Red",IF(MAX($X165,$Y165)=2,"◧ Amber",IF(MAX($X165,$Y165)=1,"□ On track","Not read"))))))</f>
        <v/>
      </c>
      <c r="N165" s="31">
        <f>IF(OR($A165="",$B165&lt;&gt;"Program"),"","■ "&amp;COUNTIFS($C$6:$C$305,$A165,$M$6:$M$305,"■ Red")&amp;" Red, ◧ "&amp;COUNTIFS($C$6:$C$305,$A165,$M$6:$M$305,"◧ Amber")&amp;" Amber")</f>
        <v/>
      </c>
      <c r="O165" s="32">
        <f>IF(OR($A165="",$E165=""),"",COUNTIFS($E$6:$E$305,$E165,$D$6:$D$305,"Active")+COUNTIFS($E$6:$E$305,$E165,$D$6:$D$305,"Paused"))</f>
        <v/>
      </c>
      <c r="P165" s="31">
        <f>IF($A165="","",IF($AE165=0,"○ Clear",IF($AA165=1,"△ No owner",IF($AC165=1,"△ Check Sits under",IF($AC165=2,"△ Outside the portfolio",IF($AB165=1,"△ No sponsor","△ No variance note"))))&amp;IF($AE165&gt;1," (+"&amp;($AE165-1)&amp;" more)","")))</f>
        <v/>
      </c>
      <c r="Q165" s="31">
        <f>IF(AND($A165&lt;&gt;"",OR($D165="Active",$D165="Paused")),1,0)</f>
        <v/>
      </c>
      <c r="R165" s="31">
        <f>IFERROR(INDEX($A$6:$A$305,MATCH(158,$S$6:$S$305,0)),"")</f>
        <v/>
      </c>
      <c r="S165" s="31">
        <f>IF(AND($A165&lt;&gt;"",$B165="Program"),COUNTIFS($B$6:$B165,"Program",$A$6:$A165,"&lt;&gt;"),"")</f>
        <v/>
      </c>
      <c r="T165" s="33">
        <f>IF(AND($A165&lt;&gt;"",$B165="Program"),SUMPRODUCT(MAX(($C$6:$C$305=$A165)*($B$6:$B$305="Project")*($D$6:$D$305&lt;&gt;"Proposed")*$I$6:$I$305)),0)</f>
        <v/>
      </c>
      <c r="U165" s="33">
        <f>IF($I165&lt;&gt;"",$I165,IF($T165&gt;0,$T165,""))</f>
        <v/>
      </c>
      <c r="V165" s="31">
        <f>IF(AND($A165&lt;&gt;"",$B165="Program"),SUMIFS($J$6:$J$305,$C$6:$C$305,$A165,$B$6:$B$305,"Project",$D$6:$D$305,"&lt;&gt;Proposed"),0)</f>
        <v/>
      </c>
      <c r="W165" s="31">
        <f>IF(AND($A165&lt;&gt;"",$B165="Program"),COUNTIFS($C$6:$C$305,$A165,$B$6:$B$305,"Project",$D$6:$D$305,"&lt;&gt;Proposed")-COUNTIFS($C$6:$C$305,$A165,$B$6:$B$305,"Project",$D$6:$D$305,"&lt;&gt;Proposed",$J$6:$J$305,"&gt;=0"),0)</f>
        <v/>
      </c>
      <c r="X165" s="31">
        <f>IF(OR($Q165=0,$H165=""),0,IF(AND($B165="Project",$H165&lt;TODAY()),3,IF($U165="",0,IF($U165&lt;=$H165,1,IF(NETWORKDAYS($H165,$U165)-1&gt;IF($B165="Program",Portfolio!$B$16,Portfolio!$B$15),3,2)))))</f>
        <v/>
      </c>
      <c r="Y165" s="31">
        <f>IF(OR($Q165=0,$K165="",$K165=0),0,IF(AND($B165="Project",$J165=""),0,IF(IF($B165="Program",$V165,$J165)&gt;$K165*(1+Portfolio!$B$17),3,IF(IF($B165="Program",$V165,$J165)&gt;$K165,2,IF(AND($B165="Program",OR($W165&gt;0,$V165=0)),0,1)))))</f>
        <v/>
      </c>
      <c r="Z165" s="31">
        <f>IF($A165="",0,IF($C165="Portfolio",1,IF(AND($B165="Project",$C165&lt;&gt;"",$C165&lt;&gt;"Outside the portfolio"),IFERROR(IF(AND(INDEX($B$6:$B$305,MATCH($C165,$A$6:$A$305,0))="Program",INDEX($C$6:$C$305,MATCH($C165,$A$6:$A$305,0))="Portfolio"),1,0),0),0)))</f>
        <v/>
      </c>
      <c r="AA165" s="31">
        <f>IF(AND($A165&lt;&gt;"",$E165="",OR($Q165=1,$D165="Proposed")),1,0)</f>
        <v/>
      </c>
      <c r="AB165" s="31">
        <f>IF(AND($A165&lt;&gt;"",$B165="Program",$F165="",$Q165=1),1,0)</f>
        <v/>
      </c>
      <c r="AC165" s="31">
        <f>IF(OR($A165="",$D165="Completed",$D165="Terminated"),0,IF($C165="",1,IF($C165="Portfolio",0,IF($C165="Outside the portfolio",IF($Q165=1,2,0),IF($B165="Project",IF(IFERROR(INDEX($B$6:$B$305,MATCH($C165,$A$6:$A$305,0)),"")="Program",0,1),1)))))</f>
        <v/>
      </c>
      <c r="AD165" s="31">
        <f>IF(AND($A165&lt;&gt;"",OR($M165="■ Red",$M165="◧ Amber"),$L165=""),1,0)</f>
        <v/>
      </c>
      <c r="AE165" s="31">
        <f>$AA165+$AB165+IF($AC165&gt;0,1,0)+$AD165</f>
        <v/>
      </c>
      <c r="AJ165" s="14" t="n"/>
      <c r="AK165" s="29" t="n"/>
      <c r="AL165" s="31">
        <f>IF(AND($Q165=1,$Z165=1),1,0)</f>
        <v/>
      </c>
      <c r="AM165" s="31">
        <f>IF(AND($AL165=1,$AJ165&lt;&gt;""),MAX(0,TODAY()-$AJ165),"")</f>
        <v/>
      </c>
      <c r="AN165" s="31">
        <f>IF(OR($AL165=0,COUNT($AJ$6:$AJ$305)=0),0,IF($AJ165="",1,IF(TODAY()-$AJ165&gt;Board!$B$40,1,0)))</f>
        <v/>
      </c>
      <c r="AO165" s="31">
        <f>IF($AL165=0,0,IF($M165="■ Red",3,IF($M165="◧ Amber",2,IF($M165="□ On track",1,0))))</f>
        <v/>
      </c>
      <c r="AP165" s="31">
        <f>IF($AL165=0,0,IF($AK165="Will not hold",3,IF($AK165="At risk",2,IF($AK165="Will hold",1,0))))</f>
        <v/>
      </c>
      <c r="AQ165" s="31">
        <f>IF($AL165=0,"",IF($AO165=3,0,IF($AO165=2,1,IF(AND($AP165&gt;=2,$AP165&gt;$AO165),2,""))))</f>
        <v/>
      </c>
      <c r="AR165" s="31">
        <f>IF($AQ165="","",$AQ165*1000+165)</f>
        <v/>
      </c>
      <c r="AS165" s="31">
        <f>IF(AND($AL165=1,$AO165&gt;=2,$AP165&gt;=1,$AP165&lt;$AO165),1,0)</f>
        <v/>
      </c>
      <c r="AT165" s="31">
        <f>IF(AND($AL165=1,$AO165&gt;=2,$AP165=0),1,0)</f>
        <v/>
      </c>
      <c r="AU165" s="31">
        <f>IF(AND($AL165=1,$U165&lt;&gt;"",$U165&lt;TODAY()),1,0)</f>
        <v/>
      </c>
      <c r="AV165" s="31">
        <f>IF(OR($A165="",$AJ165="",Portfolio!$B$10=""),0,IF($AJ165&lt;=Portfolio!$B$10,0,IF(AND($D165="Completed",$Z165=1),1,IF(AND($D165="Terminated",$Z165=1),2,IF(AND($Q165=1,$Z165=0),3,0)))))</f>
        <v/>
      </c>
      <c r="AW165" s="31">
        <f>IF($AV165&gt;0,COUNTIF($AV$6:$AV165,"&gt;0"),"")</f>
        <v/>
      </c>
      <c r="AX165" s="31">
        <f>IF($AL165=0,"",IF(AND($B165="Project",$H165&lt;&gt;"",$H165&lt;TODAY()),"Planned finish "&amp;TEXT($H165,"d mmm")&amp;" has passed",IF($X165&gt;=2,(NETWORKDAYS($H165,$U165)-1)&amp;" working days past plan","")))</f>
        <v/>
      </c>
      <c r="AY165" s="31">
        <f>IF($AL165=0,"",IF($Y165&gt;=2,"Over budget by "&amp;TEXT(IF($B165="Program",$V165,$J165)-$K165,"#,##0"),""))</f>
        <v/>
      </c>
      <c r="AZ165" s="31">
        <f>IF(AND($AL165=1,$U165&lt;&gt;""),IF(AND(N($U165)&gt;=TODAY(),N($U165)&lt;=TODAY()+Board!$B$41),1,0),0)</f>
        <v/>
      </c>
    </row>
    <row r="166">
      <c r="A166" s="29" t="n"/>
      <c r="B166" s="29" t="n"/>
      <c r="C166" s="29" t="n"/>
      <c r="D166" s="29" t="n"/>
      <c r="E166" s="29" t="n"/>
      <c r="F166" s="29" t="n"/>
      <c r="G166" s="29" t="n"/>
      <c r="H166" s="30" t="n"/>
      <c r="I166" s="30" t="n"/>
      <c r="J166" s="19" t="n"/>
      <c r="K166" s="19" t="n"/>
      <c r="L166" s="26" t="n"/>
      <c r="M166" s="31">
        <f>IF($A166="","",IF($D166="","Not read",IF($Q166=0,"Not counted",IF(MAX($X166,$Y166)=3,"■ Red",IF(MAX($X166,$Y166)=2,"◧ Amber",IF(MAX($X166,$Y166)=1,"□ On track","Not read"))))))</f>
        <v/>
      </c>
      <c r="N166" s="31">
        <f>IF(OR($A166="",$B166&lt;&gt;"Program"),"","■ "&amp;COUNTIFS($C$6:$C$305,$A166,$M$6:$M$305,"■ Red")&amp;" Red, ◧ "&amp;COUNTIFS($C$6:$C$305,$A166,$M$6:$M$305,"◧ Amber")&amp;" Amber")</f>
        <v/>
      </c>
      <c r="O166" s="32">
        <f>IF(OR($A166="",$E166=""),"",COUNTIFS($E$6:$E$305,$E166,$D$6:$D$305,"Active")+COUNTIFS($E$6:$E$305,$E166,$D$6:$D$305,"Paused"))</f>
        <v/>
      </c>
      <c r="P166" s="31">
        <f>IF($A166="","",IF($AE166=0,"○ Clear",IF($AA166=1,"△ No owner",IF($AC166=1,"△ Check Sits under",IF($AC166=2,"△ Outside the portfolio",IF($AB166=1,"△ No sponsor","△ No variance note"))))&amp;IF($AE166&gt;1," (+"&amp;($AE166-1)&amp;" more)","")))</f>
        <v/>
      </c>
      <c r="Q166" s="31">
        <f>IF(AND($A166&lt;&gt;"",OR($D166="Active",$D166="Paused")),1,0)</f>
        <v/>
      </c>
      <c r="R166" s="31">
        <f>IFERROR(INDEX($A$6:$A$305,MATCH(159,$S$6:$S$305,0)),"")</f>
        <v/>
      </c>
      <c r="S166" s="31">
        <f>IF(AND($A166&lt;&gt;"",$B166="Program"),COUNTIFS($B$6:$B166,"Program",$A$6:$A166,"&lt;&gt;"),"")</f>
        <v/>
      </c>
      <c r="T166" s="33">
        <f>IF(AND($A166&lt;&gt;"",$B166="Program"),SUMPRODUCT(MAX(($C$6:$C$305=$A166)*($B$6:$B$305="Project")*($D$6:$D$305&lt;&gt;"Proposed")*$I$6:$I$305)),0)</f>
        <v/>
      </c>
      <c r="U166" s="33">
        <f>IF($I166&lt;&gt;"",$I166,IF($T166&gt;0,$T166,""))</f>
        <v/>
      </c>
      <c r="V166" s="31">
        <f>IF(AND($A166&lt;&gt;"",$B166="Program"),SUMIFS($J$6:$J$305,$C$6:$C$305,$A166,$B$6:$B$305,"Project",$D$6:$D$305,"&lt;&gt;Proposed"),0)</f>
        <v/>
      </c>
      <c r="W166" s="31">
        <f>IF(AND($A166&lt;&gt;"",$B166="Program"),COUNTIFS($C$6:$C$305,$A166,$B$6:$B$305,"Project",$D$6:$D$305,"&lt;&gt;Proposed")-COUNTIFS($C$6:$C$305,$A166,$B$6:$B$305,"Project",$D$6:$D$305,"&lt;&gt;Proposed",$J$6:$J$305,"&gt;=0"),0)</f>
        <v/>
      </c>
      <c r="X166" s="31">
        <f>IF(OR($Q166=0,$H166=""),0,IF(AND($B166="Project",$H166&lt;TODAY()),3,IF($U166="",0,IF($U166&lt;=$H166,1,IF(NETWORKDAYS($H166,$U166)-1&gt;IF($B166="Program",Portfolio!$B$16,Portfolio!$B$15),3,2)))))</f>
        <v/>
      </c>
      <c r="Y166" s="31">
        <f>IF(OR($Q166=0,$K166="",$K166=0),0,IF(AND($B166="Project",$J166=""),0,IF(IF($B166="Program",$V166,$J166)&gt;$K166*(1+Portfolio!$B$17),3,IF(IF($B166="Program",$V166,$J166)&gt;$K166,2,IF(AND($B166="Program",OR($W166&gt;0,$V166=0)),0,1)))))</f>
        <v/>
      </c>
      <c r="Z166" s="31">
        <f>IF($A166="",0,IF($C166="Portfolio",1,IF(AND($B166="Project",$C166&lt;&gt;"",$C166&lt;&gt;"Outside the portfolio"),IFERROR(IF(AND(INDEX($B$6:$B$305,MATCH($C166,$A$6:$A$305,0))="Program",INDEX($C$6:$C$305,MATCH($C166,$A$6:$A$305,0))="Portfolio"),1,0),0),0)))</f>
        <v/>
      </c>
      <c r="AA166" s="31">
        <f>IF(AND($A166&lt;&gt;"",$E166="",OR($Q166=1,$D166="Proposed")),1,0)</f>
        <v/>
      </c>
      <c r="AB166" s="31">
        <f>IF(AND($A166&lt;&gt;"",$B166="Program",$F166="",$Q166=1),1,0)</f>
        <v/>
      </c>
      <c r="AC166" s="31">
        <f>IF(OR($A166="",$D166="Completed",$D166="Terminated"),0,IF($C166="",1,IF($C166="Portfolio",0,IF($C166="Outside the portfolio",IF($Q166=1,2,0),IF($B166="Project",IF(IFERROR(INDEX($B$6:$B$305,MATCH($C166,$A$6:$A$305,0)),"")="Program",0,1),1)))))</f>
        <v/>
      </c>
      <c r="AD166" s="31">
        <f>IF(AND($A166&lt;&gt;"",OR($M166="■ Red",$M166="◧ Amber"),$L166=""),1,0)</f>
        <v/>
      </c>
      <c r="AE166" s="31">
        <f>$AA166+$AB166+IF($AC166&gt;0,1,0)+$AD166</f>
        <v/>
      </c>
      <c r="AJ166" s="14" t="n"/>
      <c r="AK166" s="29" t="n"/>
      <c r="AL166" s="31">
        <f>IF(AND($Q166=1,$Z166=1),1,0)</f>
        <v/>
      </c>
      <c r="AM166" s="31">
        <f>IF(AND($AL166=1,$AJ166&lt;&gt;""),MAX(0,TODAY()-$AJ166),"")</f>
        <v/>
      </c>
      <c r="AN166" s="31">
        <f>IF(OR($AL166=0,COUNT($AJ$6:$AJ$305)=0),0,IF($AJ166="",1,IF(TODAY()-$AJ166&gt;Board!$B$40,1,0)))</f>
        <v/>
      </c>
      <c r="AO166" s="31">
        <f>IF($AL166=0,0,IF($M166="■ Red",3,IF($M166="◧ Amber",2,IF($M166="□ On track",1,0))))</f>
        <v/>
      </c>
      <c r="AP166" s="31">
        <f>IF($AL166=0,0,IF($AK166="Will not hold",3,IF($AK166="At risk",2,IF($AK166="Will hold",1,0))))</f>
        <v/>
      </c>
      <c r="AQ166" s="31">
        <f>IF($AL166=0,"",IF($AO166=3,0,IF($AO166=2,1,IF(AND($AP166&gt;=2,$AP166&gt;$AO166),2,""))))</f>
        <v/>
      </c>
      <c r="AR166" s="31">
        <f>IF($AQ166="","",$AQ166*1000+166)</f>
        <v/>
      </c>
      <c r="AS166" s="31">
        <f>IF(AND($AL166=1,$AO166&gt;=2,$AP166&gt;=1,$AP166&lt;$AO166),1,0)</f>
        <v/>
      </c>
      <c r="AT166" s="31">
        <f>IF(AND($AL166=1,$AO166&gt;=2,$AP166=0),1,0)</f>
        <v/>
      </c>
      <c r="AU166" s="31">
        <f>IF(AND($AL166=1,$U166&lt;&gt;"",$U166&lt;TODAY()),1,0)</f>
        <v/>
      </c>
      <c r="AV166" s="31">
        <f>IF(OR($A166="",$AJ166="",Portfolio!$B$10=""),0,IF($AJ166&lt;=Portfolio!$B$10,0,IF(AND($D166="Completed",$Z166=1),1,IF(AND($D166="Terminated",$Z166=1),2,IF(AND($Q166=1,$Z166=0),3,0)))))</f>
        <v/>
      </c>
      <c r="AW166" s="31">
        <f>IF($AV166&gt;0,COUNTIF($AV$6:$AV166,"&gt;0"),"")</f>
        <v/>
      </c>
      <c r="AX166" s="31">
        <f>IF($AL166=0,"",IF(AND($B166="Project",$H166&lt;&gt;"",$H166&lt;TODAY()),"Planned finish "&amp;TEXT($H166,"d mmm")&amp;" has passed",IF($X166&gt;=2,(NETWORKDAYS($H166,$U166)-1)&amp;" working days past plan","")))</f>
        <v/>
      </c>
      <c r="AY166" s="31">
        <f>IF($AL166=0,"",IF($Y166&gt;=2,"Over budget by "&amp;TEXT(IF($B166="Program",$V166,$J166)-$K166,"#,##0"),""))</f>
        <v/>
      </c>
      <c r="AZ166" s="31">
        <f>IF(AND($AL166=1,$U166&lt;&gt;""),IF(AND(N($U166)&gt;=TODAY(),N($U166)&lt;=TODAY()+Board!$B$41),1,0),0)</f>
        <v/>
      </c>
    </row>
    <row r="167">
      <c r="A167" s="29" t="n"/>
      <c r="B167" s="29" t="n"/>
      <c r="C167" s="29" t="n"/>
      <c r="D167" s="29" t="n"/>
      <c r="E167" s="29" t="n"/>
      <c r="F167" s="29" t="n"/>
      <c r="G167" s="29" t="n"/>
      <c r="H167" s="30" t="n"/>
      <c r="I167" s="30" t="n"/>
      <c r="J167" s="19" t="n"/>
      <c r="K167" s="19" t="n"/>
      <c r="L167" s="26" t="n"/>
      <c r="M167" s="31">
        <f>IF($A167="","",IF($D167="","Not read",IF($Q167=0,"Not counted",IF(MAX($X167,$Y167)=3,"■ Red",IF(MAX($X167,$Y167)=2,"◧ Amber",IF(MAX($X167,$Y167)=1,"□ On track","Not read"))))))</f>
        <v/>
      </c>
      <c r="N167" s="31">
        <f>IF(OR($A167="",$B167&lt;&gt;"Program"),"","■ "&amp;COUNTIFS($C$6:$C$305,$A167,$M$6:$M$305,"■ Red")&amp;" Red, ◧ "&amp;COUNTIFS($C$6:$C$305,$A167,$M$6:$M$305,"◧ Amber")&amp;" Amber")</f>
        <v/>
      </c>
      <c r="O167" s="32">
        <f>IF(OR($A167="",$E167=""),"",COUNTIFS($E$6:$E$305,$E167,$D$6:$D$305,"Active")+COUNTIFS($E$6:$E$305,$E167,$D$6:$D$305,"Paused"))</f>
        <v/>
      </c>
      <c r="P167" s="31">
        <f>IF($A167="","",IF($AE167=0,"○ Clear",IF($AA167=1,"△ No owner",IF($AC167=1,"△ Check Sits under",IF($AC167=2,"△ Outside the portfolio",IF($AB167=1,"△ No sponsor","△ No variance note"))))&amp;IF($AE167&gt;1," (+"&amp;($AE167-1)&amp;" more)","")))</f>
        <v/>
      </c>
      <c r="Q167" s="31">
        <f>IF(AND($A167&lt;&gt;"",OR($D167="Active",$D167="Paused")),1,0)</f>
        <v/>
      </c>
      <c r="R167" s="31">
        <f>IFERROR(INDEX($A$6:$A$305,MATCH(160,$S$6:$S$305,0)),"")</f>
        <v/>
      </c>
      <c r="S167" s="31">
        <f>IF(AND($A167&lt;&gt;"",$B167="Program"),COUNTIFS($B$6:$B167,"Program",$A$6:$A167,"&lt;&gt;"),"")</f>
        <v/>
      </c>
      <c r="T167" s="33">
        <f>IF(AND($A167&lt;&gt;"",$B167="Program"),SUMPRODUCT(MAX(($C$6:$C$305=$A167)*($B$6:$B$305="Project")*($D$6:$D$305&lt;&gt;"Proposed")*$I$6:$I$305)),0)</f>
        <v/>
      </c>
      <c r="U167" s="33">
        <f>IF($I167&lt;&gt;"",$I167,IF($T167&gt;0,$T167,""))</f>
        <v/>
      </c>
      <c r="V167" s="31">
        <f>IF(AND($A167&lt;&gt;"",$B167="Program"),SUMIFS($J$6:$J$305,$C$6:$C$305,$A167,$B$6:$B$305,"Project",$D$6:$D$305,"&lt;&gt;Proposed"),0)</f>
        <v/>
      </c>
      <c r="W167" s="31">
        <f>IF(AND($A167&lt;&gt;"",$B167="Program"),COUNTIFS($C$6:$C$305,$A167,$B$6:$B$305,"Project",$D$6:$D$305,"&lt;&gt;Proposed")-COUNTIFS($C$6:$C$305,$A167,$B$6:$B$305,"Project",$D$6:$D$305,"&lt;&gt;Proposed",$J$6:$J$305,"&gt;=0"),0)</f>
        <v/>
      </c>
      <c r="X167" s="31">
        <f>IF(OR($Q167=0,$H167=""),0,IF(AND($B167="Project",$H167&lt;TODAY()),3,IF($U167="",0,IF($U167&lt;=$H167,1,IF(NETWORKDAYS($H167,$U167)-1&gt;IF($B167="Program",Portfolio!$B$16,Portfolio!$B$15),3,2)))))</f>
        <v/>
      </c>
      <c r="Y167" s="31">
        <f>IF(OR($Q167=0,$K167="",$K167=0),0,IF(AND($B167="Project",$J167=""),0,IF(IF($B167="Program",$V167,$J167)&gt;$K167*(1+Portfolio!$B$17),3,IF(IF($B167="Program",$V167,$J167)&gt;$K167,2,IF(AND($B167="Program",OR($W167&gt;0,$V167=0)),0,1)))))</f>
        <v/>
      </c>
      <c r="Z167" s="31">
        <f>IF($A167="",0,IF($C167="Portfolio",1,IF(AND($B167="Project",$C167&lt;&gt;"",$C167&lt;&gt;"Outside the portfolio"),IFERROR(IF(AND(INDEX($B$6:$B$305,MATCH($C167,$A$6:$A$305,0))="Program",INDEX($C$6:$C$305,MATCH($C167,$A$6:$A$305,0))="Portfolio"),1,0),0),0)))</f>
        <v/>
      </c>
      <c r="AA167" s="31">
        <f>IF(AND($A167&lt;&gt;"",$E167="",OR($Q167=1,$D167="Proposed")),1,0)</f>
        <v/>
      </c>
      <c r="AB167" s="31">
        <f>IF(AND($A167&lt;&gt;"",$B167="Program",$F167="",$Q167=1),1,0)</f>
        <v/>
      </c>
      <c r="AC167" s="31">
        <f>IF(OR($A167="",$D167="Completed",$D167="Terminated"),0,IF($C167="",1,IF($C167="Portfolio",0,IF($C167="Outside the portfolio",IF($Q167=1,2,0),IF($B167="Project",IF(IFERROR(INDEX($B$6:$B$305,MATCH($C167,$A$6:$A$305,0)),"")="Program",0,1),1)))))</f>
        <v/>
      </c>
      <c r="AD167" s="31">
        <f>IF(AND($A167&lt;&gt;"",OR($M167="■ Red",$M167="◧ Amber"),$L167=""),1,0)</f>
        <v/>
      </c>
      <c r="AE167" s="31">
        <f>$AA167+$AB167+IF($AC167&gt;0,1,0)+$AD167</f>
        <v/>
      </c>
      <c r="AJ167" s="14" t="n"/>
      <c r="AK167" s="29" t="n"/>
      <c r="AL167" s="31">
        <f>IF(AND($Q167=1,$Z167=1),1,0)</f>
        <v/>
      </c>
      <c r="AM167" s="31">
        <f>IF(AND($AL167=1,$AJ167&lt;&gt;""),MAX(0,TODAY()-$AJ167),"")</f>
        <v/>
      </c>
      <c r="AN167" s="31">
        <f>IF(OR($AL167=0,COUNT($AJ$6:$AJ$305)=0),0,IF($AJ167="",1,IF(TODAY()-$AJ167&gt;Board!$B$40,1,0)))</f>
        <v/>
      </c>
      <c r="AO167" s="31">
        <f>IF($AL167=0,0,IF($M167="■ Red",3,IF($M167="◧ Amber",2,IF($M167="□ On track",1,0))))</f>
        <v/>
      </c>
      <c r="AP167" s="31">
        <f>IF($AL167=0,0,IF($AK167="Will not hold",3,IF($AK167="At risk",2,IF($AK167="Will hold",1,0))))</f>
        <v/>
      </c>
      <c r="AQ167" s="31">
        <f>IF($AL167=0,"",IF($AO167=3,0,IF($AO167=2,1,IF(AND($AP167&gt;=2,$AP167&gt;$AO167),2,""))))</f>
        <v/>
      </c>
      <c r="AR167" s="31">
        <f>IF($AQ167="","",$AQ167*1000+167)</f>
        <v/>
      </c>
      <c r="AS167" s="31">
        <f>IF(AND($AL167=1,$AO167&gt;=2,$AP167&gt;=1,$AP167&lt;$AO167),1,0)</f>
        <v/>
      </c>
      <c r="AT167" s="31">
        <f>IF(AND($AL167=1,$AO167&gt;=2,$AP167=0),1,0)</f>
        <v/>
      </c>
      <c r="AU167" s="31">
        <f>IF(AND($AL167=1,$U167&lt;&gt;"",$U167&lt;TODAY()),1,0)</f>
        <v/>
      </c>
      <c r="AV167" s="31">
        <f>IF(OR($A167="",$AJ167="",Portfolio!$B$10=""),0,IF($AJ167&lt;=Portfolio!$B$10,0,IF(AND($D167="Completed",$Z167=1),1,IF(AND($D167="Terminated",$Z167=1),2,IF(AND($Q167=1,$Z167=0),3,0)))))</f>
        <v/>
      </c>
      <c r="AW167" s="31">
        <f>IF($AV167&gt;0,COUNTIF($AV$6:$AV167,"&gt;0"),"")</f>
        <v/>
      </c>
      <c r="AX167" s="31">
        <f>IF($AL167=0,"",IF(AND($B167="Project",$H167&lt;&gt;"",$H167&lt;TODAY()),"Planned finish "&amp;TEXT($H167,"d mmm")&amp;" has passed",IF($X167&gt;=2,(NETWORKDAYS($H167,$U167)-1)&amp;" working days past plan","")))</f>
        <v/>
      </c>
      <c r="AY167" s="31">
        <f>IF($AL167=0,"",IF($Y167&gt;=2,"Over budget by "&amp;TEXT(IF($B167="Program",$V167,$J167)-$K167,"#,##0"),""))</f>
        <v/>
      </c>
      <c r="AZ167" s="31">
        <f>IF(AND($AL167=1,$U167&lt;&gt;""),IF(AND(N($U167)&gt;=TODAY(),N($U167)&lt;=TODAY()+Board!$B$41),1,0),0)</f>
        <v/>
      </c>
    </row>
    <row r="168">
      <c r="A168" s="29" t="n"/>
      <c r="B168" s="29" t="n"/>
      <c r="C168" s="29" t="n"/>
      <c r="D168" s="29" t="n"/>
      <c r="E168" s="29" t="n"/>
      <c r="F168" s="29" t="n"/>
      <c r="G168" s="29" t="n"/>
      <c r="H168" s="30" t="n"/>
      <c r="I168" s="30" t="n"/>
      <c r="J168" s="19" t="n"/>
      <c r="K168" s="19" t="n"/>
      <c r="L168" s="26" t="n"/>
      <c r="M168" s="31">
        <f>IF($A168="","",IF($D168="","Not read",IF($Q168=0,"Not counted",IF(MAX($X168,$Y168)=3,"■ Red",IF(MAX($X168,$Y168)=2,"◧ Amber",IF(MAX($X168,$Y168)=1,"□ On track","Not read"))))))</f>
        <v/>
      </c>
      <c r="N168" s="31">
        <f>IF(OR($A168="",$B168&lt;&gt;"Program"),"","■ "&amp;COUNTIFS($C$6:$C$305,$A168,$M$6:$M$305,"■ Red")&amp;" Red, ◧ "&amp;COUNTIFS($C$6:$C$305,$A168,$M$6:$M$305,"◧ Amber")&amp;" Amber")</f>
        <v/>
      </c>
      <c r="O168" s="32">
        <f>IF(OR($A168="",$E168=""),"",COUNTIFS($E$6:$E$305,$E168,$D$6:$D$305,"Active")+COUNTIFS($E$6:$E$305,$E168,$D$6:$D$305,"Paused"))</f>
        <v/>
      </c>
      <c r="P168" s="31">
        <f>IF($A168="","",IF($AE168=0,"○ Clear",IF($AA168=1,"△ No owner",IF($AC168=1,"△ Check Sits under",IF($AC168=2,"△ Outside the portfolio",IF($AB168=1,"△ No sponsor","△ No variance note"))))&amp;IF($AE168&gt;1," (+"&amp;($AE168-1)&amp;" more)","")))</f>
        <v/>
      </c>
      <c r="Q168" s="31">
        <f>IF(AND($A168&lt;&gt;"",OR($D168="Active",$D168="Paused")),1,0)</f>
        <v/>
      </c>
      <c r="R168" s="31">
        <f>IFERROR(INDEX($A$6:$A$305,MATCH(161,$S$6:$S$305,0)),"")</f>
        <v/>
      </c>
      <c r="S168" s="31">
        <f>IF(AND($A168&lt;&gt;"",$B168="Program"),COUNTIFS($B$6:$B168,"Program",$A$6:$A168,"&lt;&gt;"),"")</f>
        <v/>
      </c>
      <c r="T168" s="33">
        <f>IF(AND($A168&lt;&gt;"",$B168="Program"),SUMPRODUCT(MAX(($C$6:$C$305=$A168)*($B$6:$B$305="Project")*($D$6:$D$305&lt;&gt;"Proposed")*$I$6:$I$305)),0)</f>
        <v/>
      </c>
      <c r="U168" s="33">
        <f>IF($I168&lt;&gt;"",$I168,IF($T168&gt;0,$T168,""))</f>
        <v/>
      </c>
      <c r="V168" s="31">
        <f>IF(AND($A168&lt;&gt;"",$B168="Program"),SUMIFS($J$6:$J$305,$C$6:$C$305,$A168,$B$6:$B$305,"Project",$D$6:$D$305,"&lt;&gt;Proposed"),0)</f>
        <v/>
      </c>
      <c r="W168" s="31">
        <f>IF(AND($A168&lt;&gt;"",$B168="Program"),COUNTIFS($C$6:$C$305,$A168,$B$6:$B$305,"Project",$D$6:$D$305,"&lt;&gt;Proposed")-COUNTIFS($C$6:$C$305,$A168,$B$6:$B$305,"Project",$D$6:$D$305,"&lt;&gt;Proposed",$J$6:$J$305,"&gt;=0"),0)</f>
        <v/>
      </c>
      <c r="X168" s="31">
        <f>IF(OR($Q168=0,$H168=""),0,IF(AND($B168="Project",$H168&lt;TODAY()),3,IF($U168="",0,IF($U168&lt;=$H168,1,IF(NETWORKDAYS($H168,$U168)-1&gt;IF($B168="Program",Portfolio!$B$16,Portfolio!$B$15),3,2)))))</f>
        <v/>
      </c>
      <c r="Y168" s="31">
        <f>IF(OR($Q168=0,$K168="",$K168=0),0,IF(AND($B168="Project",$J168=""),0,IF(IF($B168="Program",$V168,$J168)&gt;$K168*(1+Portfolio!$B$17),3,IF(IF($B168="Program",$V168,$J168)&gt;$K168,2,IF(AND($B168="Program",OR($W168&gt;0,$V168=0)),0,1)))))</f>
        <v/>
      </c>
      <c r="Z168" s="31">
        <f>IF($A168="",0,IF($C168="Portfolio",1,IF(AND($B168="Project",$C168&lt;&gt;"",$C168&lt;&gt;"Outside the portfolio"),IFERROR(IF(AND(INDEX($B$6:$B$305,MATCH($C168,$A$6:$A$305,0))="Program",INDEX($C$6:$C$305,MATCH($C168,$A$6:$A$305,0))="Portfolio"),1,0),0),0)))</f>
        <v/>
      </c>
      <c r="AA168" s="31">
        <f>IF(AND($A168&lt;&gt;"",$E168="",OR($Q168=1,$D168="Proposed")),1,0)</f>
        <v/>
      </c>
      <c r="AB168" s="31">
        <f>IF(AND($A168&lt;&gt;"",$B168="Program",$F168="",$Q168=1),1,0)</f>
        <v/>
      </c>
      <c r="AC168" s="31">
        <f>IF(OR($A168="",$D168="Completed",$D168="Terminated"),0,IF($C168="",1,IF($C168="Portfolio",0,IF($C168="Outside the portfolio",IF($Q168=1,2,0),IF($B168="Project",IF(IFERROR(INDEX($B$6:$B$305,MATCH($C168,$A$6:$A$305,0)),"")="Program",0,1),1)))))</f>
        <v/>
      </c>
      <c r="AD168" s="31">
        <f>IF(AND($A168&lt;&gt;"",OR($M168="■ Red",$M168="◧ Amber"),$L168=""),1,0)</f>
        <v/>
      </c>
      <c r="AE168" s="31">
        <f>$AA168+$AB168+IF($AC168&gt;0,1,0)+$AD168</f>
        <v/>
      </c>
      <c r="AJ168" s="14" t="n"/>
      <c r="AK168" s="29" t="n"/>
      <c r="AL168" s="31">
        <f>IF(AND($Q168=1,$Z168=1),1,0)</f>
        <v/>
      </c>
      <c r="AM168" s="31">
        <f>IF(AND($AL168=1,$AJ168&lt;&gt;""),MAX(0,TODAY()-$AJ168),"")</f>
        <v/>
      </c>
      <c r="AN168" s="31">
        <f>IF(OR($AL168=0,COUNT($AJ$6:$AJ$305)=0),0,IF($AJ168="",1,IF(TODAY()-$AJ168&gt;Board!$B$40,1,0)))</f>
        <v/>
      </c>
      <c r="AO168" s="31">
        <f>IF($AL168=0,0,IF($M168="■ Red",3,IF($M168="◧ Amber",2,IF($M168="□ On track",1,0))))</f>
        <v/>
      </c>
      <c r="AP168" s="31">
        <f>IF($AL168=0,0,IF($AK168="Will not hold",3,IF($AK168="At risk",2,IF($AK168="Will hold",1,0))))</f>
        <v/>
      </c>
      <c r="AQ168" s="31">
        <f>IF($AL168=0,"",IF($AO168=3,0,IF($AO168=2,1,IF(AND($AP168&gt;=2,$AP168&gt;$AO168),2,""))))</f>
        <v/>
      </c>
      <c r="AR168" s="31">
        <f>IF($AQ168="","",$AQ168*1000+168)</f>
        <v/>
      </c>
      <c r="AS168" s="31">
        <f>IF(AND($AL168=1,$AO168&gt;=2,$AP168&gt;=1,$AP168&lt;$AO168),1,0)</f>
        <v/>
      </c>
      <c r="AT168" s="31">
        <f>IF(AND($AL168=1,$AO168&gt;=2,$AP168=0),1,0)</f>
        <v/>
      </c>
      <c r="AU168" s="31">
        <f>IF(AND($AL168=1,$U168&lt;&gt;"",$U168&lt;TODAY()),1,0)</f>
        <v/>
      </c>
      <c r="AV168" s="31">
        <f>IF(OR($A168="",$AJ168="",Portfolio!$B$10=""),0,IF($AJ168&lt;=Portfolio!$B$10,0,IF(AND($D168="Completed",$Z168=1),1,IF(AND($D168="Terminated",$Z168=1),2,IF(AND($Q168=1,$Z168=0),3,0)))))</f>
        <v/>
      </c>
      <c r="AW168" s="31">
        <f>IF($AV168&gt;0,COUNTIF($AV$6:$AV168,"&gt;0"),"")</f>
        <v/>
      </c>
      <c r="AX168" s="31">
        <f>IF($AL168=0,"",IF(AND($B168="Project",$H168&lt;&gt;"",$H168&lt;TODAY()),"Planned finish "&amp;TEXT($H168,"d mmm")&amp;" has passed",IF($X168&gt;=2,(NETWORKDAYS($H168,$U168)-1)&amp;" working days past plan","")))</f>
        <v/>
      </c>
      <c r="AY168" s="31">
        <f>IF($AL168=0,"",IF($Y168&gt;=2,"Over budget by "&amp;TEXT(IF($B168="Program",$V168,$J168)-$K168,"#,##0"),""))</f>
        <v/>
      </c>
      <c r="AZ168" s="31">
        <f>IF(AND($AL168=1,$U168&lt;&gt;""),IF(AND(N($U168)&gt;=TODAY(),N($U168)&lt;=TODAY()+Board!$B$41),1,0),0)</f>
        <v/>
      </c>
    </row>
    <row r="169">
      <c r="A169" s="29" t="n"/>
      <c r="B169" s="29" t="n"/>
      <c r="C169" s="29" t="n"/>
      <c r="D169" s="29" t="n"/>
      <c r="E169" s="29" t="n"/>
      <c r="F169" s="29" t="n"/>
      <c r="G169" s="29" t="n"/>
      <c r="H169" s="30" t="n"/>
      <c r="I169" s="30" t="n"/>
      <c r="J169" s="19" t="n"/>
      <c r="K169" s="19" t="n"/>
      <c r="L169" s="26" t="n"/>
      <c r="M169" s="31">
        <f>IF($A169="","",IF($D169="","Not read",IF($Q169=0,"Not counted",IF(MAX($X169,$Y169)=3,"■ Red",IF(MAX($X169,$Y169)=2,"◧ Amber",IF(MAX($X169,$Y169)=1,"□ On track","Not read"))))))</f>
        <v/>
      </c>
      <c r="N169" s="31">
        <f>IF(OR($A169="",$B169&lt;&gt;"Program"),"","■ "&amp;COUNTIFS($C$6:$C$305,$A169,$M$6:$M$305,"■ Red")&amp;" Red, ◧ "&amp;COUNTIFS($C$6:$C$305,$A169,$M$6:$M$305,"◧ Amber")&amp;" Amber")</f>
        <v/>
      </c>
      <c r="O169" s="32">
        <f>IF(OR($A169="",$E169=""),"",COUNTIFS($E$6:$E$305,$E169,$D$6:$D$305,"Active")+COUNTIFS($E$6:$E$305,$E169,$D$6:$D$305,"Paused"))</f>
        <v/>
      </c>
      <c r="P169" s="31">
        <f>IF($A169="","",IF($AE169=0,"○ Clear",IF($AA169=1,"△ No owner",IF($AC169=1,"△ Check Sits under",IF($AC169=2,"△ Outside the portfolio",IF($AB169=1,"△ No sponsor","△ No variance note"))))&amp;IF($AE169&gt;1," (+"&amp;($AE169-1)&amp;" more)","")))</f>
        <v/>
      </c>
      <c r="Q169" s="31">
        <f>IF(AND($A169&lt;&gt;"",OR($D169="Active",$D169="Paused")),1,0)</f>
        <v/>
      </c>
      <c r="R169" s="31">
        <f>IFERROR(INDEX($A$6:$A$305,MATCH(162,$S$6:$S$305,0)),"")</f>
        <v/>
      </c>
      <c r="S169" s="31">
        <f>IF(AND($A169&lt;&gt;"",$B169="Program"),COUNTIFS($B$6:$B169,"Program",$A$6:$A169,"&lt;&gt;"),"")</f>
        <v/>
      </c>
      <c r="T169" s="33">
        <f>IF(AND($A169&lt;&gt;"",$B169="Program"),SUMPRODUCT(MAX(($C$6:$C$305=$A169)*($B$6:$B$305="Project")*($D$6:$D$305&lt;&gt;"Proposed")*$I$6:$I$305)),0)</f>
        <v/>
      </c>
      <c r="U169" s="33">
        <f>IF($I169&lt;&gt;"",$I169,IF($T169&gt;0,$T169,""))</f>
        <v/>
      </c>
      <c r="V169" s="31">
        <f>IF(AND($A169&lt;&gt;"",$B169="Program"),SUMIFS($J$6:$J$305,$C$6:$C$305,$A169,$B$6:$B$305,"Project",$D$6:$D$305,"&lt;&gt;Proposed"),0)</f>
        <v/>
      </c>
      <c r="W169" s="31">
        <f>IF(AND($A169&lt;&gt;"",$B169="Program"),COUNTIFS($C$6:$C$305,$A169,$B$6:$B$305,"Project",$D$6:$D$305,"&lt;&gt;Proposed")-COUNTIFS($C$6:$C$305,$A169,$B$6:$B$305,"Project",$D$6:$D$305,"&lt;&gt;Proposed",$J$6:$J$305,"&gt;=0"),0)</f>
        <v/>
      </c>
      <c r="X169" s="31">
        <f>IF(OR($Q169=0,$H169=""),0,IF(AND($B169="Project",$H169&lt;TODAY()),3,IF($U169="",0,IF($U169&lt;=$H169,1,IF(NETWORKDAYS($H169,$U169)-1&gt;IF($B169="Program",Portfolio!$B$16,Portfolio!$B$15),3,2)))))</f>
        <v/>
      </c>
      <c r="Y169" s="31">
        <f>IF(OR($Q169=0,$K169="",$K169=0),0,IF(AND($B169="Project",$J169=""),0,IF(IF($B169="Program",$V169,$J169)&gt;$K169*(1+Portfolio!$B$17),3,IF(IF($B169="Program",$V169,$J169)&gt;$K169,2,IF(AND($B169="Program",OR($W169&gt;0,$V169=0)),0,1)))))</f>
        <v/>
      </c>
      <c r="Z169" s="31">
        <f>IF($A169="",0,IF($C169="Portfolio",1,IF(AND($B169="Project",$C169&lt;&gt;"",$C169&lt;&gt;"Outside the portfolio"),IFERROR(IF(AND(INDEX($B$6:$B$305,MATCH($C169,$A$6:$A$305,0))="Program",INDEX($C$6:$C$305,MATCH($C169,$A$6:$A$305,0))="Portfolio"),1,0),0),0)))</f>
        <v/>
      </c>
      <c r="AA169" s="31">
        <f>IF(AND($A169&lt;&gt;"",$E169="",OR($Q169=1,$D169="Proposed")),1,0)</f>
        <v/>
      </c>
      <c r="AB169" s="31">
        <f>IF(AND($A169&lt;&gt;"",$B169="Program",$F169="",$Q169=1),1,0)</f>
        <v/>
      </c>
      <c r="AC169" s="31">
        <f>IF(OR($A169="",$D169="Completed",$D169="Terminated"),0,IF($C169="",1,IF($C169="Portfolio",0,IF($C169="Outside the portfolio",IF($Q169=1,2,0),IF($B169="Project",IF(IFERROR(INDEX($B$6:$B$305,MATCH($C169,$A$6:$A$305,0)),"")="Program",0,1),1)))))</f>
        <v/>
      </c>
      <c r="AD169" s="31">
        <f>IF(AND($A169&lt;&gt;"",OR($M169="■ Red",$M169="◧ Amber"),$L169=""),1,0)</f>
        <v/>
      </c>
      <c r="AE169" s="31">
        <f>$AA169+$AB169+IF($AC169&gt;0,1,0)+$AD169</f>
        <v/>
      </c>
      <c r="AJ169" s="14" t="n"/>
      <c r="AK169" s="29" t="n"/>
      <c r="AL169" s="31">
        <f>IF(AND($Q169=1,$Z169=1),1,0)</f>
        <v/>
      </c>
      <c r="AM169" s="31">
        <f>IF(AND($AL169=1,$AJ169&lt;&gt;""),MAX(0,TODAY()-$AJ169),"")</f>
        <v/>
      </c>
      <c r="AN169" s="31">
        <f>IF(OR($AL169=0,COUNT($AJ$6:$AJ$305)=0),0,IF($AJ169="",1,IF(TODAY()-$AJ169&gt;Board!$B$40,1,0)))</f>
        <v/>
      </c>
      <c r="AO169" s="31">
        <f>IF($AL169=0,0,IF($M169="■ Red",3,IF($M169="◧ Amber",2,IF($M169="□ On track",1,0))))</f>
        <v/>
      </c>
      <c r="AP169" s="31">
        <f>IF($AL169=0,0,IF($AK169="Will not hold",3,IF($AK169="At risk",2,IF($AK169="Will hold",1,0))))</f>
        <v/>
      </c>
      <c r="AQ169" s="31">
        <f>IF($AL169=0,"",IF($AO169=3,0,IF($AO169=2,1,IF(AND($AP169&gt;=2,$AP169&gt;$AO169),2,""))))</f>
        <v/>
      </c>
      <c r="AR169" s="31">
        <f>IF($AQ169="","",$AQ169*1000+169)</f>
        <v/>
      </c>
      <c r="AS169" s="31">
        <f>IF(AND($AL169=1,$AO169&gt;=2,$AP169&gt;=1,$AP169&lt;$AO169),1,0)</f>
        <v/>
      </c>
      <c r="AT169" s="31">
        <f>IF(AND($AL169=1,$AO169&gt;=2,$AP169=0),1,0)</f>
        <v/>
      </c>
      <c r="AU169" s="31">
        <f>IF(AND($AL169=1,$U169&lt;&gt;"",$U169&lt;TODAY()),1,0)</f>
        <v/>
      </c>
      <c r="AV169" s="31">
        <f>IF(OR($A169="",$AJ169="",Portfolio!$B$10=""),0,IF($AJ169&lt;=Portfolio!$B$10,0,IF(AND($D169="Completed",$Z169=1),1,IF(AND($D169="Terminated",$Z169=1),2,IF(AND($Q169=1,$Z169=0),3,0)))))</f>
        <v/>
      </c>
      <c r="AW169" s="31">
        <f>IF($AV169&gt;0,COUNTIF($AV$6:$AV169,"&gt;0"),"")</f>
        <v/>
      </c>
      <c r="AX169" s="31">
        <f>IF($AL169=0,"",IF(AND($B169="Project",$H169&lt;&gt;"",$H169&lt;TODAY()),"Planned finish "&amp;TEXT($H169,"d mmm")&amp;" has passed",IF($X169&gt;=2,(NETWORKDAYS($H169,$U169)-1)&amp;" working days past plan","")))</f>
        <v/>
      </c>
      <c r="AY169" s="31">
        <f>IF($AL169=0,"",IF($Y169&gt;=2,"Over budget by "&amp;TEXT(IF($B169="Program",$V169,$J169)-$K169,"#,##0"),""))</f>
        <v/>
      </c>
      <c r="AZ169" s="31">
        <f>IF(AND($AL169=1,$U169&lt;&gt;""),IF(AND(N($U169)&gt;=TODAY(),N($U169)&lt;=TODAY()+Board!$B$41),1,0),0)</f>
        <v/>
      </c>
    </row>
    <row r="170">
      <c r="A170" s="29" t="n"/>
      <c r="B170" s="29" t="n"/>
      <c r="C170" s="29" t="n"/>
      <c r="D170" s="29" t="n"/>
      <c r="E170" s="29" t="n"/>
      <c r="F170" s="29" t="n"/>
      <c r="G170" s="29" t="n"/>
      <c r="H170" s="30" t="n"/>
      <c r="I170" s="30" t="n"/>
      <c r="J170" s="19" t="n"/>
      <c r="K170" s="19" t="n"/>
      <c r="L170" s="26" t="n"/>
      <c r="M170" s="31">
        <f>IF($A170="","",IF($D170="","Not read",IF($Q170=0,"Not counted",IF(MAX($X170,$Y170)=3,"■ Red",IF(MAX($X170,$Y170)=2,"◧ Amber",IF(MAX($X170,$Y170)=1,"□ On track","Not read"))))))</f>
        <v/>
      </c>
      <c r="N170" s="31">
        <f>IF(OR($A170="",$B170&lt;&gt;"Program"),"","■ "&amp;COUNTIFS($C$6:$C$305,$A170,$M$6:$M$305,"■ Red")&amp;" Red, ◧ "&amp;COUNTIFS($C$6:$C$305,$A170,$M$6:$M$305,"◧ Amber")&amp;" Amber")</f>
        <v/>
      </c>
      <c r="O170" s="32">
        <f>IF(OR($A170="",$E170=""),"",COUNTIFS($E$6:$E$305,$E170,$D$6:$D$305,"Active")+COUNTIFS($E$6:$E$305,$E170,$D$6:$D$305,"Paused"))</f>
        <v/>
      </c>
      <c r="P170" s="31">
        <f>IF($A170="","",IF($AE170=0,"○ Clear",IF($AA170=1,"△ No owner",IF($AC170=1,"△ Check Sits under",IF($AC170=2,"△ Outside the portfolio",IF($AB170=1,"△ No sponsor","△ No variance note"))))&amp;IF($AE170&gt;1," (+"&amp;($AE170-1)&amp;" more)","")))</f>
        <v/>
      </c>
      <c r="Q170" s="31">
        <f>IF(AND($A170&lt;&gt;"",OR($D170="Active",$D170="Paused")),1,0)</f>
        <v/>
      </c>
      <c r="R170" s="31">
        <f>IFERROR(INDEX($A$6:$A$305,MATCH(163,$S$6:$S$305,0)),"")</f>
        <v/>
      </c>
      <c r="S170" s="31">
        <f>IF(AND($A170&lt;&gt;"",$B170="Program"),COUNTIFS($B$6:$B170,"Program",$A$6:$A170,"&lt;&gt;"),"")</f>
        <v/>
      </c>
      <c r="T170" s="33">
        <f>IF(AND($A170&lt;&gt;"",$B170="Program"),SUMPRODUCT(MAX(($C$6:$C$305=$A170)*($B$6:$B$305="Project")*($D$6:$D$305&lt;&gt;"Proposed")*$I$6:$I$305)),0)</f>
        <v/>
      </c>
      <c r="U170" s="33">
        <f>IF($I170&lt;&gt;"",$I170,IF($T170&gt;0,$T170,""))</f>
        <v/>
      </c>
      <c r="V170" s="31">
        <f>IF(AND($A170&lt;&gt;"",$B170="Program"),SUMIFS($J$6:$J$305,$C$6:$C$305,$A170,$B$6:$B$305,"Project",$D$6:$D$305,"&lt;&gt;Proposed"),0)</f>
        <v/>
      </c>
      <c r="W170" s="31">
        <f>IF(AND($A170&lt;&gt;"",$B170="Program"),COUNTIFS($C$6:$C$305,$A170,$B$6:$B$305,"Project",$D$6:$D$305,"&lt;&gt;Proposed")-COUNTIFS($C$6:$C$305,$A170,$B$6:$B$305,"Project",$D$6:$D$305,"&lt;&gt;Proposed",$J$6:$J$305,"&gt;=0"),0)</f>
        <v/>
      </c>
      <c r="X170" s="31">
        <f>IF(OR($Q170=0,$H170=""),0,IF(AND($B170="Project",$H170&lt;TODAY()),3,IF($U170="",0,IF($U170&lt;=$H170,1,IF(NETWORKDAYS($H170,$U170)-1&gt;IF($B170="Program",Portfolio!$B$16,Portfolio!$B$15),3,2)))))</f>
        <v/>
      </c>
      <c r="Y170" s="31">
        <f>IF(OR($Q170=0,$K170="",$K170=0),0,IF(AND($B170="Project",$J170=""),0,IF(IF($B170="Program",$V170,$J170)&gt;$K170*(1+Portfolio!$B$17),3,IF(IF($B170="Program",$V170,$J170)&gt;$K170,2,IF(AND($B170="Program",OR($W170&gt;0,$V170=0)),0,1)))))</f>
        <v/>
      </c>
      <c r="Z170" s="31">
        <f>IF($A170="",0,IF($C170="Portfolio",1,IF(AND($B170="Project",$C170&lt;&gt;"",$C170&lt;&gt;"Outside the portfolio"),IFERROR(IF(AND(INDEX($B$6:$B$305,MATCH($C170,$A$6:$A$305,0))="Program",INDEX($C$6:$C$305,MATCH($C170,$A$6:$A$305,0))="Portfolio"),1,0),0),0)))</f>
        <v/>
      </c>
      <c r="AA170" s="31">
        <f>IF(AND($A170&lt;&gt;"",$E170="",OR($Q170=1,$D170="Proposed")),1,0)</f>
        <v/>
      </c>
      <c r="AB170" s="31">
        <f>IF(AND($A170&lt;&gt;"",$B170="Program",$F170="",$Q170=1),1,0)</f>
        <v/>
      </c>
      <c r="AC170" s="31">
        <f>IF(OR($A170="",$D170="Completed",$D170="Terminated"),0,IF($C170="",1,IF($C170="Portfolio",0,IF($C170="Outside the portfolio",IF($Q170=1,2,0),IF($B170="Project",IF(IFERROR(INDEX($B$6:$B$305,MATCH($C170,$A$6:$A$305,0)),"")="Program",0,1),1)))))</f>
        <v/>
      </c>
      <c r="AD170" s="31">
        <f>IF(AND($A170&lt;&gt;"",OR($M170="■ Red",$M170="◧ Amber"),$L170=""),1,0)</f>
        <v/>
      </c>
      <c r="AE170" s="31">
        <f>$AA170+$AB170+IF($AC170&gt;0,1,0)+$AD170</f>
        <v/>
      </c>
      <c r="AJ170" s="14" t="n"/>
      <c r="AK170" s="29" t="n"/>
      <c r="AL170" s="31">
        <f>IF(AND($Q170=1,$Z170=1),1,0)</f>
        <v/>
      </c>
      <c r="AM170" s="31">
        <f>IF(AND($AL170=1,$AJ170&lt;&gt;""),MAX(0,TODAY()-$AJ170),"")</f>
        <v/>
      </c>
      <c r="AN170" s="31">
        <f>IF(OR($AL170=0,COUNT($AJ$6:$AJ$305)=0),0,IF($AJ170="",1,IF(TODAY()-$AJ170&gt;Board!$B$40,1,0)))</f>
        <v/>
      </c>
      <c r="AO170" s="31">
        <f>IF($AL170=0,0,IF($M170="■ Red",3,IF($M170="◧ Amber",2,IF($M170="□ On track",1,0))))</f>
        <v/>
      </c>
      <c r="AP170" s="31">
        <f>IF($AL170=0,0,IF($AK170="Will not hold",3,IF($AK170="At risk",2,IF($AK170="Will hold",1,0))))</f>
        <v/>
      </c>
      <c r="AQ170" s="31">
        <f>IF($AL170=0,"",IF($AO170=3,0,IF($AO170=2,1,IF(AND($AP170&gt;=2,$AP170&gt;$AO170),2,""))))</f>
        <v/>
      </c>
      <c r="AR170" s="31">
        <f>IF($AQ170="","",$AQ170*1000+170)</f>
        <v/>
      </c>
      <c r="AS170" s="31">
        <f>IF(AND($AL170=1,$AO170&gt;=2,$AP170&gt;=1,$AP170&lt;$AO170),1,0)</f>
        <v/>
      </c>
      <c r="AT170" s="31">
        <f>IF(AND($AL170=1,$AO170&gt;=2,$AP170=0),1,0)</f>
        <v/>
      </c>
      <c r="AU170" s="31">
        <f>IF(AND($AL170=1,$U170&lt;&gt;"",$U170&lt;TODAY()),1,0)</f>
        <v/>
      </c>
      <c r="AV170" s="31">
        <f>IF(OR($A170="",$AJ170="",Portfolio!$B$10=""),0,IF($AJ170&lt;=Portfolio!$B$10,0,IF(AND($D170="Completed",$Z170=1),1,IF(AND($D170="Terminated",$Z170=1),2,IF(AND($Q170=1,$Z170=0),3,0)))))</f>
        <v/>
      </c>
      <c r="AW170" s="31">
        <f>IF($AV170&gt;0,COUNTIF($AV$6:$AV170,"&gt;0"),"")</f>
        <v/>
      </c>
      <c r="AX170" s="31">
        <f>IF($AL170=0,"",IF(AND($B170="Project",$H170&lt;&gt;"",$H170&lt;TODAY()),"Planned finish "&amp;TEXT($H170,"d mmm")&amp;" has passed",IF($X170&gt;=2,(NETWORKDAYS($H170,$U170)-1)&amp;" working days past plan","")))</f>
        <v/>
      </c>
      <c r="AY170" s="31">
        <f>IF($AL170=0,"",IF($Y170&gt;=2,"Over budget by "&amp;TEXT(IF($B170="Program",$V170,$J170)-$K170,"#,##0"),""))</f>
        <v/>
      </c>
      <c r="AZ170" s="31">
        <f>IF(AND($AL170=1,$U170&lt;&gt;""),IF(AND(N($U170)&gt;=TODAY(),N($U170)&lt;=TODAY()+Board!$B$41),1,0),0)</f>
        <v/>
      </c>
    </row>
    <row r="171">
      <c r="A171" s="29" t="n"/>
      <c r="B171" s="29" t="n"/>
      <c r="C171" s="29" t="n"/>
      <c r="D171" s="29" t="n"/>
      <c r="E171" s="29" t="n"/>
      <c r="F171" s="29" t="n"/>
      <c r="G171" s="29" t="n"/>
      <c r="H171" s="30" t="n"/>
      <c r="I171" s="30" t="n"/>
      <c r="J171" s="19" t="n"/>
      <c r="K171" s="19" t="n"/>
      <c r="L171" s="26" t="n"/>
      <c r="M171" s="31">
        <f>IF($A171="","",IF($D171="","Not read",IF($Q171=0,"Not counted",IF(MAX($X171,$Y171)=3,"■ Red",IF(MAX($X171,$Y171)=2,"◧ Amber",IF(MAX($X171,$Y171)=1,"□ On track","Not read"))))))</f>
        <v/>
      </c>
      <c r="N171" s="31">
        <f>IF(OR($A171="",$B171&lt;&gt;"Program"),"","■ "&amp;COUNTIFS($C$6:$C$305,$A171,$M$6:$M$305,"■ Red")&amp;" Red, ◧ "&amp;COUNTIFS($C$6:$C$305,$A171,$M$6:$M$305,"◧ Amber")&amp;" Amber")</f>
        <v/>
      </c>
      <c r="O171" s="32">
        <f>IF(OR($A171="",$E171=""),"",COUNTIFS($E$6:$E$305,$E171,$D$6:$D$305,"Active")+COUNTIFS($E$6:$E$305,$E171,$D$6:$D$305,"Paused"))</f>
        <v/>
      </c>
      <c r="P171" s="31">
        <f>IF($A171="","",IF($AE171=0,"○ Clear",IF($AA171=1,"△ No owner",IF($AC171=1,"△ Check Sits under",IF($AC171=2,"△ Outside the portfolio",IF($AB171=1,"△ No sponsor","△ No variance note"))))&amp;IF($AE171&gt;1," (+"&amp;($AE171-1)&amp;" more)","")))</f>
        <v/>
      </c>
      <c r="Q171" s="31">
        <f>IF(AND($A171&lt;&gt;"",OR($D171="Active",$D171="Paused")),1,0)</f>
        <v/>
      </c>
      <c r="R171" s="31">
        <f>IFERROR(INDEX($A$6:$A$305,MATCH(164,$S$6:$S$305,0)),"")</f>
        <v/>
      </c>
      <c r="S171" s="31">
        <f>IF(AND($A171&lt;&gt;"",$B171="Program"),COUNTIFS($B$6:$B171,"Program",$A$6:$A171,"&lt;&gt;"),"")</f>
        <v/>
      </c>
      <c r="T171" s="33">
        <f>IF(AND($A171&lt;&gt;"",$B171="Program"),SUMPRODUCT(MAX(($C$6:$C$305=$A171)*($B$6:$B$305="Project")*($D$6:$D$305&lt;&gt;"Proposed")*$I$6:$I$305)),0)</f>
        <v/>
      </c>
      <c r="U171" s="33">
        <f>IF($I171&lt;&gt;"",$I171,IF($T171&gt;0,$T171,""))</f>
        <v/>
      </c>
      <c r="V171" s="31">
        <f>IF(AND($A171&lt;&gt;"",$B171="Program"),SUMIFS($J$6:$J$305,$C$6:$C$305,$A171,$B$6:$B$305,"Project",$D$6:$D$305,"&lt;&gt;Proposed"),0)</f>
        <v/>
      </c>
      <c r="W171" s="31">
        <f>IF(AND($A171&lt;&gt;"",$B171="Program"),COUNTIFS($C$6:$C$305,$A171,$B$6:$B$305,"Project",$D$6:$D$305,"&lt;&gt;Proposed")-COUNTIFS($C$6:$C$305,$A171,$B$6:$B$305,"Project",$D$6:$D$305,"&lt;&gt;Proposed",$J$6:$J$305,"&gt;=0"),0)</f>
        <v/>
      </c>
      <c r="X171" s="31">
        <f>IF(OR($Q171=0,$H171=""),0,IF(AND($B171="Project",$H171&lt;TODAY()),3,IF($U171="",0,IF($U171&lt;=$H171,1,IF(NETWORKDAYS($H171,$U171)-1&gt;IF($B171="Program",Portfolio!$B$16,Portfolio!$B$15),3,2)))))</f>
        <v/>
      </c>
      <c r="Y171" s="31">
        <f>IF(OR($Q171=0,$K171="",$K171=0),0,IF(AND($B171="Project",$J171=""),0,IF(IF($B171="Program",$V171,$J171)&gt;$K171*(1+Portfolio!$B$17),3,IF(IF($B171="Program",$V171,$J171)&gt;$K171,2,IF(AND($B171="Program",OR($W171&gt;0,$V171=0)),0,1)))))</f>
        <v/>
      </c>
      <c r="Z171" s="31">
        <f>IF($A171="",0,IF($C171="Portfolio",1,IF(AND($B171="Project",$C171&lt;&gt;"",$C171&lt;&gt;"Outside the portfolio"),IFERROR(IF(AND(INDEX($B$6:$B$305,MATCH($C171,$A$6:$A$305,0))="Program",INDEX($C$6:$C$305,MATCH($C171,$A$6:$A$305,0))="Portfolio"),1,0),0),0)))</f>
        <v/>
      </c>
      <c r="AA171" s="31">
        <f>IF(AND($A171&lt;&gt;"",$E171="",OR($Q171=1,$D171="Proposed")),1,0)</f>
        <v/>
      </c>
      <c r="AB171" s="31">
        <f>IF(AND($A171&lt;&gt;"",$B171="Program",$F171="",$Q171=1),1,0)</f>
        <v/>
      </c>
      <c r="AC171" s="31">
        <f>IF(OR($A171="",$D171="Completed",$D171="Terminated"),0,IF($C171="",1,IF($C171="Portfolio",0,IF($C171="Outside the portfolio",IF($Q171=1,2,0),IF($B171="Project",IF(IFERROR(INDEX($B$6:$B$305,MATCH($C171,$A$6:$A$305,0)),"")="Program",0,1),1)))))</f>
        <v/>
      </c>
      <c r="AD171" s="31">
        <f>IF(AND($A171&lt;&gt;"",OR($M171="■ Red",$M171="◧ Amber"),$L171=""),1,0)</f>
        <v/>
      </c>
      <c r="AE171" s="31">
        <f>$AA171+$AB171+IF($AC171&gt;0,1,0)+$AD171</f>
        <v/>
      </c>
      <c r="AJ171" s="14" t="n"/>
      <c r="AK171" s="29" t="n"/>
      <c r="AL171" s="31">
        <f>IF(AND($Q171=1,$Z171=1),1,0)</f>
        <v/>
      </c>
      <c r="AM171" s="31">
        <f>IF(AND($AL171=1,$AJ171&lt;&gt;""),MAX(0,TODAY()-$AJ171),"")</f>
        <v/>
      </c>
      <c r="AN171" s="31">
        <f>IF(OR($AL171=0,COUNT($AJ$6:$AJ$305)=0),0,IF($AJ171="",1,IF(TODAY()-$AJ171&gt;Board!$B$40,1,0)))</f>
        <v/>
      </c>
      <c r="AO171" s="31">
        <f>IF($AL171=0,0,IF($M171="■ Red",3,IF($M171="◧ Amber",2,IF($M171="□ On track",1,0))))</f>
        <v/>
      </c>
      <c r="AP171" s="31">
        <f>IF($AL171=0,0,IF($AK171="Will not hold",3,IF($AK171="At risk",2,IF($AK171="Will hold",1,0))))</f>
        <v/>
      </c>
      <c r="AQ171" s="31">
        <f>IF($AL171=0,"",IF($AO171=3,0,IF($AO171=2,1,IF(AND($AP171&gt;=2,$AP171&gt;$AO171),2,""))))</f>
        <v/>
      </c>
      <c r="AR171" s="31">
        <f>IF($AQ171="","",$AQ171*1000+171)</f>
        <v/>
      </c>
      <c r="AS171" s="31">
        <f>IF(AND($AL171=1,$AO171&gt;=2,$AP171&gt;=1,$AP171&lt;$AO171),1,0)</f>
        <v/>
      </c>
      <c r="AT171" s="31">
        <f>IF(AND($AL171=1,$AO171&gt;=2,$AP171=0),1,0)</f>
        <v/>
      </c>
      <c r="AU171" s="31">
        <f>IF(AND($AL171=1,$U171&lt;&gt;"",$U171&lt;TODAY()),1,0)</f>
        <v/>
      </c>
      <c r="AV171" s="31">
        <f>IF(OR($A171="",$AJ171="",Portfolio!$B$10=""),0,IF($AJ171&lt;=Portfolio!$B$10,0,IF(AND($D171="Completed",$Z171=1),1,IF(AND($D171="Terminated",$Z171=1),2,IF(AND($Q171=1,$Z171=0),3,0)))))</f>
        <v/>
      </c>
      <c r="AW171" s="31">
        <f>IF($AV171&gt;0,COUNTIF($AV$6:$AV171,"&gt;0"),"")</f>
        <v/>
      </c>
      <c r="AX171" s="31">
        <f>IF($AL171=0,"",IF(AND($B171="Project",$H171&lt;&gt;"",$H171&lt;TODAY()),"Planned finish "&amp;TEXT($H171,"d mmm")&amp;" has passed",IF($X171&gt;=2,(NETWORKDAYS($H171,$U171)-1)&amp;" working days past plan","")))</f>
        <v/>
      </c>
      <c r="AY171" s="31">
        <f>IF($AL171=0,"",IF($Y171&gt;=2,"Over budget by "&amp;TEXT(IF($B171="Program",$V171,$J171)-$K171,"#,##0"),""))</f>
        <v/>
      </c>
      <c r="AZ171" s="31">
        <f>IF(AND($AL171=1,$U171&lt;&gt;""),IF(AND(N($U171)&gt;=TODAY(),N($U171)&lt;=TODAY()+Board!$B$41),1,0),0)</f>
        <v/>
      </c>
    </row>
    <row r="172">
      <c r="A172" s="29" t="n"/>
      <c r="B172" s="29" t="n"/>
      <c r="C172" s="29" t="n"/>
      <c r="D172" s="29" t="n"/>
      <c r="E172" s="29" t="n"/>
      <c r="F172" s="29" t="n"/>
      <c r="G172" s="29" t="n"/>
      <c r="H172" s="30" t="n"/>
      <c r="I172" s="30" t="n"/>
      <c r="J172" s="19" t="n"/>
      <c r="K172" s="19" t="n"/>
      <c r="L172" s="26" t="n"/>
      <c r="M172" s="31">
        <f>IF($A172="","",IF($D172="","Not read",IF($Q172=0,"Not counted",IF(MAX($X172,$Y172)=3,"■ Red",IF(MAX($X172,$Y172)=2,"◧ Amber",IF(MAX($X172,$Y172)=1,"□ On track","Not read"))))))</f>
        <v/>
      </c>
      <c r="N172" s="31">
        <f>IF(OR($A172="",$B172&lt;&gt;"Program"),"","■ "&amp;COUNTIFS($C$6:$C$305,$A172,$M$6:$M$305,"■ Red")&amp;" Red, ◧ "&amp;COUNTIFS($C$6:$C$305,$A172,$M$6:$M$305,"◧ Amber")&amp;" Amber")</f>
        <v/>
      </c>
      <c r="O172" s="32">
        <f>IF(OR($A172="",$E172=""),"",COUNTIFS($E$6:$E$305,$E172,$D$6:$D$305,"Active")+COUNTIFS($E$6:$E$305,$E172,$D$6:$D$305,"Paused"))</f>
        <v/>
      </c>
      <c r="P172" s="31">
        <f>IF($A172="","",IF($AE172=0,"○ Clear",IF($AA172=1,"△ No owner",IF($AC172=1,"△ Check Sits under",IF($AC172=2,"△ Outside the portfolio",IF($AB172=1,"△ No sponsor","△ No variance note"))))&amp;IF($AE172&gt;1," (+"&amp;($AE172-1)&amp;" more)","")))</f>
        <v/>
      </c>
      <c r="Q172" s="31">
        <f>IF(AND($A172&lt;&gt;"",OR($D172="Active",$D172="Paused")),1,0)</f>
        <v/>
      </c>
      <c r="R172" s="31">
        <f>IFERROR(INDEX($A$6:$A$305,MATCH(165,$S$6:$S$305,0)),"")</f>
        <v/>
      </c>
      <c r="S172" s="31">
        <f>IF(AND($A172&lt;&gt;"",$B172="Program"),COUNTIFS($B$6:$B172,"Program",$A$6:$A172,"&lt;&gt;"),"")</f>
        <v/>
      </c>
      <c r="T172" s="33">
        <f>IF(AND($A172&lt;&gt;"",$B172="Program"),SUMPRODUCT(MAX(($C$6:$C$305=$A172)*($B$6:$B$305="Project")*($D$6:$D$305&lt;&gt;"Proposed")*$I$6:$I$305)),0)</f>
        <v/>
      </c>
      <c r="U172" s="33">
        <f>IF($I172&lt;&gt;"",$I172,IF($T172&gt;0,$T172,""))</f>
        <v/>
      </c>
      <c r="V172" s="31">
        <f>IF(AND($A172&lt;&gt;"",$B172="Program"),SUMIFS($J$6:$J$305,$C$6:$C$305,$A172,$B$6:$B$305,"Project",$D$6:$D$305,"&lt;&gt;Proposed"),0)</f>
        <v/>
      </c>
      <c r="W172" s="31">
        <f>IF(AND($A172&lt;&gt;"",$B172="Program"),COUNTIFS($C$6:$C$305,$A172,$B$6:$B$305,"Project",$D$6:$D$305,"&lt;&gt;Proposed")-COUNTIFS($C$6:$C$305,$A172,$B$6:$B$305,"Project",$D$6:$D$305,"&lt;&gt;Proposed",$J$6:$J$305,"&gt;=0"),0)</f>
        <v/>
      </c>
      <c r="X172" s="31">
        <f>IF(OR($Q172=0,$H172=""),0,IF(AND($B172="Project",$H172&lt;TODAY()),3,IF($U172="",0,IF($U172&lt;=$H172,1,IF(NETWORKDAYS($H172,$U172)-1&gt;IF($B172="Program",Portfolio!$B$16,Portfolio!$B$15),3,2)))))</f>
        <v/>
      </c>
      <c r="Y172" s="31">
        <f>IF(OR($Q172=0,$K172="",$K172=0),0,IF(AND($B172="Project",$J172=""),0,IF(IF($B172="Program",$V172,$J172)&gt;$K172*(1+Portfolio!$B$17),3,IF(IF($B172="Program",$V172,$J172)&gt;$K172,2,IF(AND($B172="Program",OR($W172&gt;0,$V172=0)),0,1)))))</f>
        <v/>
      </c>
      <c r="Z172" s="31">
        <f>IF($A172="",0,IF($C172="Portfolio",1,IF(AND($B172="Project",$C172&lt;&gt;"",$C172&lt;&gt;"Outside the portfolio"),IFERROR(IF(AND(INDEX($B$6:$B$305,MATCH($C172,$A$6:$A$305,0))="Program",INDEX($C$6:$C$305,MATCH($C172,$A$6:$A$305,0))="Portfolio"),1,0),0),0)))</f>
        <v/>
      </c>
      <c r="AA172" s="31">
        <f>IF(AND($A172&lt;&gt;"",$E172="",OR($Q172=1,$D172="Proposed")),1,0)</f>
        <v/>
      </c>
      <c r="AB172" s="31">
        <f>IF(AND($A172&lt;&gt;"",$B172="Program",$F172="",$Q172=1),1,0)</f>
        <v/>
      </c>
      <c r="AC172" s="31">
        <f>IF(OR($A172="",$D172="Completed",$D172="Terminated"),0,IF($C172="",1,IF($C172="Portfolio",0,IF($C172="Outside the portfolio",IF($Q172=1,2,0),IF($B172="Project",IF(IFERROR(INDEX($B$6:$B$305,MATCH($C172,$A$6:$A$305,0)),"")="Program",0,1),1)))))</f>
        <v/>
      </c>
      <c r="AD172" s="31">
        <f>IF(AND($A172&lt;&gt;"",OR($M172="■ Red",$M172="◧ Amber"),$L172=""),1,0)</f>
        <v/>
      </c>
      <c r="AE172" s="31">
        <f>$AA172+$AB172+IF($AC172&gt;0,1,0)+$AD172</f>
        <v/>
      </c>
      <c r="AJ172" s="14" t="n"/>
      <c r="AK172" s="29" t="n"/>
      <c r="AL172" s="31">
        <f>IF(AND($Q172=1,$Z172=1),1,0)</f>
        <v/>
      </c>
      <c r="AM172" s="31">
        <f>IF(AND($AL172=1,$AJ172&lt;&gt;""),MAX(0,TODAY()-$AJ172),"")</f>
        <v/>
      </c>
      <c r="AN172" s="31">
        <f>IF(OR($AL172=0,COUNT($AJ$6:$AJ$305)=0),0,IF($AJ172="",1,IF(TODAY()-$AJ172&gt;Board!$B$40,1,0)))</f>
        <v/>
      </c>
      <c r="AO172" s="31">
        <f>IF($AL172=0,0,IF($M172="■ Red",3,IF($M172="◧ Amber",2,IF($M172="□ On track",1,0))))</f>
        <v/>
      </c>
      <c r="AP172" s="31">
        <f>IF($AL172=0,0,IF($AK172="Will not hold",3,IF($AK172="At risk",2,IF($AK172="Will hold",1,0))))</f>
        <v/>
      </c>
      <c r="AQ172" s="31">
        <f>IF($AL172=0,"",IF($AO172=3,0,IF($AO172=2,1,IF(AND($AP172&gt;=2,$AP172&gt;$AO172),2,""))))</f>
        <v/>
      </c>
      <c r="AR172" s="31">
        <f>IF($AQ172="","",$AQ172*1000+172)</f>
        <v/>
      </c>
      <c r="AS172" s="31">
        <f>IF(AND($AL172=1,$AO172&gt;=2,$AP172&gt;=1,$AP172&lt;$AO172),1,0)</f>
        <v/>
      </c>
      <c r="AT172" s="31">
        <f>IF(AND($AL172=1,$AO172&gt;=2,$AP172=0),1,0)</f>
        <v/>
      </c>
      <c r="AU172" s="31">
        <f>IF(AND($AL172=1,$U172&lt;&gt;"",$U172&lt;TODAY()),1,0)</f>
        <v/>
      </c>
      <c r="AV172" s="31">
        <f>IF(OR($A172="",$AJ172="",Portfolio!$B$10=""),0,IF($AJ172&lt;=Portfolio!$B$10,0,IF(AND($D172="Completed",$Z172=1),1,IF(AND($D172="Terminated",$Z172=1),2,IF(AND($Q172=1,$Z172=0),3,0)))))</f>
        <v/>
      </c>
      <c r="AW172" s="31">
        <f>IF($AV172&gt;0,COUNTIF($AV$6:$AV172,"&gt;0"),"")</f>
        <v/>
      </c>
      <c r="AX172" s="31">
        <f>IF($AL172=0,"",IF(AND($B172="Project",$H172&lt;&gt;"",$H172&lt;TODAY()),"Planned finish "&amp;TEXT($H172,"d mmm")&amp;" has passed",IF($X172&gt;=2,(NETWORKDAYS($H172,$U172)-1)&amp;" working days past plan","")))</f>
        <v/>
      </c>
      <c r="AY172" s="31">
        <f>IF($AL172=0,"",IF($Y172&gt;=2,"Over budget by "&amp;TEXT(IF($B172="Program",$V172,$J172)-$K172,"#,##0"),""))</f>
        <v/>
      </c>
      <c r="AZ172" s="31">
        <f>IF(AND($AL172=1,$U172&lt;&gt;""),IF(AND(N($U172)&gt;=TODAY(),N($U172)&lt;=TODAY()+Board!$B$41),1,0),0)</f>
        <v/>
      </c>
    </row>
    <row r="173">
      <c r="A173" s="29" t="n"/>
      <c r="B173" s="29" t="n"/>
      <c r="C173" s="29" t="n"/>
      <c r="D173" s="29" t="n"/>
      <c r="E173" s="29" t="n"/>
      <c r="F173" s="29" t="n"/>
      <c r="G173" s="29" t="n"/>
      <c r="H173" s="30" t="n"/>
      <c r="I173" s="30" t="n"/>
      <c r="J173" s="19" t="n"/>
      <c r="K173" s="19" t="n"/>
      <c r="L173" s="26" t="n"/>
      <c r="M173" s="31">
        <f>IF($A173="","",IF($D173="","Not read",IF($Q173=0,"Not counted",IF(MAX($X173,$Y173)=3,"■ Red",IF(MAX($X173,$Y173)=2,"◧ Amber",IF(MAX($X173,$Y173)=1,"□ On track","Not read"))))))</f>
        <v/>
      </c>
      <c r="N173" s="31">
        <f>IF(OR($A173="",$B173&lt;&gt;"Program"),"","■ "&amp;COUNTIFS($C$6:$C$305,$A173,$M$6:$M$305,"■ Red")&amp;" Red, ◧ "&amp;COUNTIFS($C$6:$C$305,$A173,$M$6:$M$305,"◧ Amber")&amp;" Amber")</f>
        <v/>
      </c>
      <c r="O173" s="32">
        <f>IF(OR($A173="",$E173=""),"",COUNTIFS($E$6:$E$305,$E173,$D$6:$D$305,"Active")+COUNTIFS($E$6:$E$305,$E173,$D$6:$D$305,"Paused"))</f>
        <v/>
      </c>
      <c r="P173" s="31">
        <f>IF($A173="","",IF($AE173=0,"○ Clear",IF($AA173=1,"△ No owner",IF($AC173=1,"△ Check Sits under",IF($AC173=2,"△ Outside the portfolio",IF($AB173=1,"△ No sponsor","△ No variance note"))))&amp;IF($AE173&gt;1," (+"&amp;($AE173-1)&amp;" more)","")))</f>
        <v/>
      </c>
      <c r="Q173" s="31">
        <f>IF(AND($A173&lt;&gt;"",OR($D173="Active",$D173="Paused")),1,0)</f>
        <v/>
      </c>
      <c r="R173" s="31">
        <f>IFERROR(INDEX($A$6:$A$305,MATCH(166,$S$6:$S$305,0)),"")</f>
        <v/>
      </c>
      <c r="S173" s="31">
        <f>IF(AND($A173&lt;&gt;"",$B173="Program"),COUNTIFS($B$6:$B173,"Program",$A$6:$A173,"&lt;&gt;"),"")</f>
        <v/>
      </c>
      <c r="T173" s="33">
        <f>IF(AND($A173&lt;&gt;"",$B173="Program"),SUMPRODUCT(MAX(($C$6:$C$305=$A173)*($B$6:$B$305="Project")*($D$6:$D$305&lt;&gt;"Proposed")*$I$6:$I$305)),0)</f>
        <v/>
      </c>
      <c r="U173" s="33">
        <f>IF($I173&lt;&gt;"",$I173,IF($T173&gt;0,$T173,""))</f>
        <v/>
      </c>
      <c r="V173" s="31">
        <f>IF(AND($A173&lt;&gt;"",$B173="Program"),SUMIFS($J$6:$J$305,$C$6:$C$305,$A173,$B$6:$B$305,"Project",$D$6:$D$305,"&lt;&gt;Proposed"),0)</f>
        <v/>
      </c>
      <c r="W173" s="31">
        <f>IF(AND($A173&lt;&gt;"",$B173="Program"),COUNTIFS($C$6:$C$305,$A173,$B$6:$B$305,"Project",$D$6:$D$305,"&lt;&gt;Proposed")-COUNTIFS($C$6:$C$305,$A173,$B$6:$B$305,"Project",$D$6:$D$305,"&lt;&gt;Proposed",$J$6:$J$305,"&gt;=0"),0)</f>
        <v/>
      </c>
      <c r="X173" s="31">
        <f>IF(OR($Q173=0,$H173=""),0,IF(AND($B173="Project",$H173&lt;TODAY()),3,IF($U173="",0,IF($U173&lt;=$H173,1,IF(NETWORKDAYS($H173,$U173)-1&gt;IF($B173="Program",Portfolio!$B$16,Portfolio!$B$15),3,2)))))</f>
        <v/>
      </c>
      <c r="Y173" s="31">
        <f>IF(OR($Q173=0,$K173="",$K173=0),0,IF(AND($B173="Project",$J173=""),0,IF(IF($B173="Program",$V173,$J173)&gt;$K173*(1+Portfolio!$B$17),3,IF(IF($B173="Program",$V173,$J173)&gt;$K173,2,IF(AND($B173="Program",OR($W173&gt;0,$V173=0)),0,1)))))</f>
        <v/>
      </c>
      <c r="Z173" s="31">
        <f>IF($A173="",0,IF($C173="Portfolio",1,IF(AND($B173="Project",$C173&lt;&gt;"",$C173&lt;&gt;"Outside the portfolio"),IFERROR(IF(AND(INDEX($B$6:$B$305,MATCH($C173,$A$6:$A$305,0))="Program",INDEX($C$6:$C$305,MATCH($C173,$A$6:$A$305,0))="Portfolio"),1,0),0),0)))</f>
        <v/>
      </c>
      <c r="AA173" s="31">
        <f>IF(AND($A173&lt;&gt;"",$E173="",OR($Q173=1,$D173="Proposed")),1,0)</f>
        <v/>
      </c>
      <c r="AB173" s="31">
        <f>IF(AND($A173&lt;&gt;"",$B173="Program",$F173="",$Q173=1),1,0)</f>
        <v/>
      </c>
      <c r="AC173" s="31">
        <f>IF(OR($A173="",$D173="Completed",$D173="Terminated"),0,IF($C173="",1,IF($C173="Portfolio",0,IF($C173="Outside the portfolio",IF($Q173=1,2,0),IF($B173="Project",IF(IFERROR(INDEX($B$6:$B$305,MATCH($C173,$A$6:$A$305,0)),"")="Program",0,1),1)))))</f>
        <v/>
      </c>
      <c r="AD173" s="31">
        <f>IF(AND($A173&lt;&gt;"",OR($M173="■ Red",$M173="◧ Amber"),$L173=""),1,0)</f>
        <v/>
      </c>
      <c r="AE173" s="31">
        <f>$AA173+$AB173+IF($AC173&gt;0,1,0)+$AD173</f>
        <v/>
      </c>
      <c r="AJ173" s="14" t="n"/>
      <c r="AK173" s="29" t="n"/>
      <c r="AL173" s="31">
        <f>IF(AND($Q173=1,$Z173=1),1,0)</f>
        <v/>
      </c>
      <c r="AM173" s="31">
        <f>IF(AND($AL173=1,$AJ173&lt;&gt;""),MAX(0,TODAY()-$AJ173),"")</f>
        <v/>
      </c>
      <c r="AN173" s="31">
        <f>IF(OR($AL173=0,COUNT($AJ$6:$AJ$305)=0),0,IF($AJ173="",1,IF(TODAY()-$AJ173&gt;Board!$B$40,1,0)))</f>
        <v/>
      </c>
      <c r="AO173" s="31">
        <f>IF($AL173=0,0,IF($M173="■ Red",3,IF($M173="◧ Amber",2,IF($M173="□ On track",1,0))))</f>
        <v/>
      </c>
      <c r="AP173" s="31">
        <f>IF($AL173=0,0,IF($AK173="Will not hold",3,IF($AK173="At risk",2,IF($AK173="Will hold",1,0))))</f>
        <v/>
      </c>
      <c r="AQ173" s="31">
        <f>IF($AL173=0,"",IF($AO173=3,0,IF($AO173=2,1,IF(AND($AP173&gt;=2,$AP173&gt;$AO173),2,""))))</f>
        <v/>
      </c>
      <c r="AR173" s="31">
        <f>IF($AQ173="","",$AQ173*1000+173)</f>
        <v/>
      </c>
      <c r="AS173" s="31">
        <f>IF(AND($AL173=1,$AO173&gt;=2,$AP173&gt;=1,$AP173&lt;$AO173),1,0)</f>
        <v/>
      </c>
      <c r="AT173" s="31">
        <f>IF(AND($AL173=1,$AO173&gt;=2,$AP173=0),1,0)</f>
        <v/>
      </c>
      <c r="AU173" s="31">
        <f>IF(AND($AL173=1,$U173&lt;&gt;"",$U173&lt;TODAY()),1,0)</f>
        <v/>
      </c>
      <c r="AV173" s="31">
        <f>IF(OR($A173="",$AJ173="",Portfolio!$B$10=""),0,IF($AJ173&lt;=Portfolio!$B$10,0,IF(AND($D173="Completed",$Z173=1),1,IF(AND($D173="Terminated",$Z173=1),2,IF(AND($Q173=1,$Z173=0),3,0)))))</f>
        <v/>
      </c>
      <c r="AW173" s="31">
        <f>IF($AV173&gt;0,COUNTIF($AV$6:$AV173,"&gt;0"),"")</f>
        <v/>
      </c>
      <c r="AX173" s="31">
        <f>IF($AL173=0,"",IF(AND($B173="Project",$H173&lt;&gt;"",$H173&lt;TODAY()),"Planned finish "&amp;TEXT($H173,"d mmm")&amp;" has passed",IF($X173&gt;=2,(NETWORKDAYS($H173,$U173)-1)&amp;" working days past plan","")))</f>
        <v/>
      </c>
      <c r="AY173" s="31">
        <f>IF($AL173=0,"",IF($Y173&gt;=2,"Over budget by "&amp;TEXT(IF($B173="Program",$V173,$J173)-$K173,"#,##0"),""))</f>
        <v/>
      </c>
      <c r="AZ173" s="31">
        <f>IF(AND($AL173=1,$U173&lt;&gt;""),IF(AND(N($U173)&gt;=TODAY(),N($U173)&lt;=TODAY()+Board!$B$41),1,0),0)</f>
        <v/>
      </c>
    </row>
    <row r="174">
      <c r="A174" s="29" t="n"/>
      <c r="B174" s="29" t="n"/>
      <c r="C174" s="29" t="n"/>
      <c r="D174" s="29" t="n"/>
      <c r="E174" s="29" t="n"/>
      <c r="F174" s="29" t="n"/>
      <c r="G174" s="29" t="n"/>
      <c r="H174" s="30" t="n"/>
      <c r="I174" s="30" t="n"/>
      <c r="J174" s="19" t="n"/>
      <c r="K174" s="19" t="n"/>
      <c r="L174" s="26" t="n"/>
      <c r="M174" s="31">
        <f>IF($A174="","",IF($D174="","Not read",IF($Q174=0,"Not counted",IF(MAX($X174,$Y174)=3,"■ Red",IF(MAX($X174,$Y174)=2,"◧ Amber",IF(MAX($X174,$Y174)=1,"□ On track","Not read"))))))</f>
        <v/>
      </c>
      <c r="N174" s="31">
        <f>IF(OR($A174="",$B174&lt;&gt;"Program"),"","■ "&amp;COUNTIFS($C$6:$C$305,$A174,$M$6:$M$305,"■ Red")&amp;" Red, ◧ "&amp;COUNTIFS($C$6:$C$305,$A174,$M$6:$M$305,"◧ Amber")&amp;" Amber")</f>
        <v/>
      </c>
      <c r="O174" s="32">
        <f>IF(OR($A174="",$E174=""),"",COUNTIFS($E$6:$E$305,$E174,$D$6:$D$305,"Active")+COUNTIFS($E$6:$E$305,$E174,$D$6:$D$305,"Paused"))</f>
        <v/>
      </c>
      <c r="P174" s="31">
        <f>IF($A174="","",IF($AE174=0,"○ Clear",IF($AA174=1,"△ No owner",IF($AC174=1,"△ Check Sits under",IF($AC174=2,"△ Outside the portfolio",IF($AB174=1,"△ No sponsor","△ No variance note"))))&amp;IF($AE174&gt;1," (+"&amp;($AE174-1)&amp;" more)","")))</f>
        <v/>
      </c>
      <c r="Q174" s="31">
        <f>IF(AND($A174&lt;&gt;"",OR($D174="Active",$D174="Paused")),1,0)</f>
        <v/>
      </c>
      <c r="R174" s="31">
        <f>IFERROR(INDEX($A$6:$A$305,MATCH(167,$S$6:$S$305,0)),"")</f>
        <v/>
      </c>
      <c r="S174" s="31">
        <f>IF(AND($A174&lt;&gt;"",$B174="Program"),COUNTIFS($B$6:$B174,"Program",$A$6:$A174,"&lt;&gt;"),"")</f>
        <v/>
      </c>
      <c r="T174" s="33">
        <f>IF(AND($A174&lt;&gt;"",$B174="Program"),SUMPRODUCT(MAX(($C$6:$C$305=$A174)*($B$6:$B$305="Project")*($D$6:$D$305&lt;&gt;"Proposed")*$I$6:$I$305)),0)</f>
        <v/>
      </c>
      <c r="U174" s="33">
        <f>IF($I174&lt;&gt;"",$I174,IF($T174&gt;0,$T174,""))</f>
        <v/>
      </c>
      <c r="V174" s="31">
        <f>IF(AND($A174&lt;&gt;"",$B174="Program"),SUMIFS($J$6:$J$305,$C$6:$C$305,$A174,$B$6:$B$305,"Project",$D$6:$D$305,"&lt;&gt;Proposed"),0)</f>
        <v/>
      </c>
      <c r="W174" s="31">
        <f>IF(AND($A174&lt;&gt;"",$B174="Program"),COUNTIFS($C$6:$C$305,$A174,$B$6:$B$305,"Project",$D$6:$D$305,"&lt;&gt;Proposed")-COUNTIFS($C$6:$C$305,$A174,$B$6:$B$305,"Project",$D$6:$D$305,"&lt;&gt;Proposed",$J$6:$J$305,"&gt;=0"),0)</f>
        <v/>
      </c>
      <c r="X174" s="31">
        <f>IF(OR($Q174=0,$H174=""),0,IF(AND($B174="Project",$H174&lt;TODAY()),3,IF($U174="",0,IF($U174&lt;=$H174,1,IF(NETWORKDAYS($H174,$U174)-1&gt;IF($B174="Program",Portfolio!$B$16,Portfolio!$B$15),3,2)))))</f>
        <v/>
      </c>
      <c r="Y174" s="31">
        <f>IF(OR($Q174=0,$K174="",$K174=0),0,IF(AND($B174="Project",$J174=""),0,IF(IF($B174="Program",$V174,$J174)&gt;$K174*(1+Portfolio!$B$17),3,IF(IF($B174="Program",$V174,$J174)&gt;$K174,2,IF(AND($B174="Program",OR($W174&gt;0,$V174=0)),0,1)))))</f>
        <v/>
      </c>
      <c r="Z174" s="31">
        <f>IF($A174="",0,IF($C174="Portfolio",1,IF(AND($B174="Project",$C174&lt;&gt;"",$C174&lt;&gt;"Outside the portfolio"),IFERROR(IF(AND(INDEX($B$6:$B$305,MATCH($C174,$A$6:$A$305,0))="Program",INDEX($C$6:$C$305,MATCH($C174,$A$6:$A$305,0))="Portfolio"),1,0),0),0)))</f>
        <v/>
      </c>
      <c r="AA174" s="31">
        <f>IF(AND($A174&lt;&gt;"",$E174="",OR($Q174=1,$D174="Proposed")),1,0)</f>
        <v/>
      </c>
      <c r="AB174" s="31">
        <f>IF(AND($A174&lt;&gt;"",$B174="Program",$F174="",$Q174=1),1,0)</f>
        <v/>
      </c>
      <c r="AC174" s="31">
        <f>IF(OR($A174="",$D174="Completed",$D174="Terminated"),0,IF($C174="",1,IF($C174="Portfolio",0,IF($C174="Outside the portfolio",IF($Q174=1,2,0),IF($B174="Project",IF(IFERROR(INDEX($B$6:$B$305,MATCH($C174,$A$6:$A$305,0)),"")="Program",0,1),1)))))</f>
        <v/>
      </c>
      <c r="AD174" s="31">
        <f>IF(AND($A174&lt;&gt;"",OR($M174="■ Red",$M174="◧ Amber"),$L174=""),1,0)</f>
        <v/>
      </c>
      <c r="AE174" s="31">
        <f>$AA174+$AB174+IF($AC174&gt;0,1,0)+$AD174</f>
        <v/>
      </c>
      <c r="AJ174" s="14" t="n"/>
      <c r="AK174" s="29" t="n"/>
      <c r="AL174" s="31">
        <f>IF(AND($Q174=1,$Z174=1),1,0)</f>
        <v/>
      </c>
      <c r="AM174" s="31">
        <f>IF(AND($AL174=1,$AJ174&lt;&gt;""),MAX(0,TODAY()-$AJ174),"")</f>
        <v/>
      </c>
      <c r="AN174" s="31">
        <f>IF(OR($AL174=0,COUNT($AJ$6:$AJ$305)=0),0,IF($AJ174="",1,IF(TODAY()-$AJ174&gt;Board!$B$40,1,0)))</f>
        <v/>
      </c>
      <c r="AO174" s="31">
        <f>IF($AL174=0,0,IF($M174="■ Red",3,IF($M174="◧ Amber",2,IF($M174="□ On track",1,0))))</f>
        <v/>
      </c>
      <c r="AP174" s="31">
        <f>IF($AL174=0,0,IF($AK174="Will not hold",3,IF($AK174="At risk",2,IF($AK174="Will hold",1,0))))</f>
        <v/>
      </c>
      <c r="AQ174" s="31">
        <f>IF($AL174=0,"",IF($AO174=3,0,IF($AO174=2,1,IF(AND($AP174&gt;=2,$AP174&gt;$AO174),2,""))))</f>
        <v/>
      </c>
      <c r="AR174" s="31">
        <f>IF($AQ174="","",$AQ174*1000+174)</f>
        <v/>
      </c>
      <c r="AS174" s="31">
        <f>IF(AND($AL174=1,$AO174&gt;=2,$AP174&gt;=1,$AP174&lt;$AO174),1,0)</f>
        <v/>
      </c>
      <c r="AT174" s="31">
        <f>IF(AND($AL174=1,$AO174&gt;=2,$AP174=0),1,0)</f>
        <v/>
      </c>
      <c r="AU174" s="31">
        <f>IF(AND($AL174=1,$U174&lt;&gt;"",$U174&lt;TODAY()),1,0)</f>
        <v/>
      </c>
      <c r="AV174" s="31">
        <f>IF(OR($A174="",$AJ174="",Portfolio!$B$10=""),0,IF($AJ174&lt;=Portfolio!$B$10,0,IF(AND($D174="Completed",$Z174=1),1,IF(AND($D174="Terminated",$Z174=1),2,IF(AND($Q174=1,$Z174=0),3,0)))))</f>
        <v/>
      </c>
      <c r="AW174" s="31">
        <f>IF($AV174&gt;0,COUNTIF($AV$6:$AV174,"&gt;0"),"")</f>
        <v/>
      </c>
      <c r="AX174" s="31">
        <f>IF($AL174=0,"",IF(AND($B174="Project",$H174&lt;&gt;"",$H174&lt;TODAY()),"Planned finish "&amp;TEXT($H174,"d mmm")&amp;" has passed",IF($X174&gt;=2,(NETWORKDAYS($H174,$U174)-1)&amp;" working days past plan","")))</f>
        <v/>
      </c>
      <c r="AY174" s="31">
        <f>IF($AL174=0,"",IF($Y174&gt;=2,"Over budget by "&amp;TEXT(IF($B174="Program",$V174,$J174)-$K174,"#,##0"),""))</f>
        <v/>
      </c>
      <c r="AZ174" s="31">
        <f>IF(AND($AL174=1,$U174&lt;&gt;""),IF(AND(N($U174)&gt;=TODAY(),N($U174)&lt;=TODAY()+Board!$B$41),1,0),0)</f>
        <v/>
      </c>
    </row>
    <row r="175">
      <c r="A175" s="29" t="n"/>
      <c r="B175" s="29" t="n"/>
      <c r="C175" s="29" t="n"/>
      <c r="D175" s="29" t="n"/>
      <c r="E175" s="29" t="n"/>
      <c r="F175" s="29" t="n"/>
      <c r="G175" s="29" t="n"/>
      <c r="H175" s="30" t="n"/>
      <c r="I175" s="30" t="n"/>
      <c r="J175" s="19" t="n"/>
      <c r="K175" s="19" t="n"/>
      <c r="L175" s="26" t="n"/>
      <c r="M175" s="31">
        <f>IF($A175="","",IF($D175="","Not read",IF($Q175=0,"Not counted",IF(MAX($X175,$Y175)=3,"■ Red",IF(MAX($X175,$Y175)=2,"◧ Amber",IF(MAX($X175,$Y175)=1,"□ On track","Not read"))))))</f>
        <v/>
      </c>
      <c r="N175" s="31">
        <f>IF(OR($A175="",$B175&lt;&gt;"Program"),"","■ "&amp;COUNTIFS($C$6:$C$305,$A175,$M$6:$M$305,"■ Red")&amp;" Red, ◧ "&amp;COUNTIFS($C$6:$C$305,$A175,$M$6:$M$305,"◧ Amber")&amp;" Amber")</f>
        <v/>
      </c>
      <c r="O175" s="32">
        <f>IF(OR($A175="",$E175=""),"",COUNTIFS($E$6:$E$305,$E175,$D$6:$D$305,"Active")+COUNTIFS($E$6:$E$305,$E175,$D$6:$D$305,"Paused"))</f>
        <v/>
      </c>
      <c r="P175" s="31">
        <f>IF($A175="","",IF($AE175=0,"○ Clear",IF($AA175=1,"△ No owner",IF($AC175=1,"△ Check Sits under",IF($AC175=2,"△ Outside the portfolio",IF($AB175=1,"△ No sponsor","△ No variance note"))))&amp;IF($AE175&gt;1," (+"&amp;($AE175-1)&amp;" more)","")))</f>
        <v/>
      </c>
      <c r="Q175" s="31">
        <f>IF(AND($A175&lt;&gt;"",OR($D175="Active",$D175="Paused")),1,0)</f>
        <v/>
      </c>
      <c r="R175" s="31">
        <f>IFERROR(INDEX($A$6:$A$305,MATCH(168,$S$6:$S$305,0)),"")</f>
        <v/>
      </c>
      <c r="S175" s="31">
        <f>IF(AND($A175&lt;&gt;"",$B175="Program"),COUNTIFS($B$6:$B175,"Program",$A$6:$A175,"&lt;&gt;"),"")</f>
        <v/>
      </c>
      <c r="T175" s="33">
        <f>IF(AND($A175&lt;&gt;"",$B175="Program"),SUMPRODUCT(MAX(($C$6:$C$305=$A175)*($B$6:$B$305="Project")*($D$6:$D$305&lt;&gt;"Proposed")*$I$6:$I$305)),0)</f>
        <v/>
      </c>
      <c r="U175" s="33">
        <f>IF($I175&lt;&gt;"",$I175,IF($T175&gt;0,$T175,""))</f>
        <v/>
      </c>
      <c r="V175" s="31">
        <f>IF(AND($A175&lt;&gt;"",$B175="Program"),SUMIFS($J$6:$J$305,$C$6:$C$305,$A175,$B$6:$B$305,"Project",$D$6:$D$305,"&lt;&gt;Proposed"),0)</f>
        <v/>
      </c>
      <c r="W175" s="31">
        <f>IF(AND($A175&lt;&gt;"",$B175="Program"),COUNTIFS($C$6:$C$305,$A175,$B$6:$B$305,"Project",$D$6:$D$305,"&lt;&gt;Proposed")-COUNTIFS($C$6:$C$305,$A175,$B$6:$B$305,"Project",$D$6:$D$305,"&lt;&gt;Proposed",$J$6:$J$305,"&gt;=0"),0)</f>
        <v/>
      </c>
      <c r="X175" s="31">
        <f>IF(OR($Q175=0,$H175=""),0,IF(AND($B175="Project",$H175&lt;TODAY()),3,IF($U175="",0,IF($U175&lt;=$H175,1,IF(NETWORKDAYS($H175,$U175)-1&gt;IF($B175="Program",Portfolio!$B$16,Portfolio!$B$15),3,2)))))</f>
        <v/>
      </c>
      <c r="Y175" s="31">
        <f>IF(OR($Q175=0,$K175="",$K175=0),0,IF(AND($B175="Project",$J175=""),0,IF(IF($B175="Program",$V175,$J175)&gt;$K175*(1+Portfolio!$B$17),3,IF(IF($B175="Program",$V175,$J175)&gt;$K175,2,IF(AND($B175="Program",OR($W175&gt;0,$V175=0)),0,1)))))</f>
        <v/>
      </c>
      <c r="Z175" s="31">
        <f>IF($A175="",0,IF($C175="Portfolio",1,IF(AND($B175="Project",$C175&lt;&gt;"",$C175&lt;&gt;"Outside the portfolio"),IFERROR(IF(AND(INDEX($B$6:$B$305,MATCH($C175,$A$6:$A$305,0))="Program",INDEX($C$6:$C$305,MATCH($C175,$A$6:$A$305,0))="Portfolio"),1,0),0),0)))</f>
        <v/>
      </c>
      <c r="AA175" s="31">
        <f>IF(AND($A175&lt;&gt;"",$E175="",OR($Q175=1,$D175="Proposed")),1,0)</f>
        <v/>
      </c>
      <c r="AB175" s="31">
        <f>IF(AND($A175&lt;&gt;"",$B175="Program",$F175="",$Q175=1),1,0)</f>
        <v/>
      </c>
      <c r="AC175" s="31">
        <f>IF(OR($A175="",$D175="Completed",$D175="Terminated"),0,IF($C175="",1,IF($C175="Portfolio",0,IF($C175="Outside the portfolio",IF($Q175=1,2,0),IF($B175="Project",IF(IFERROR(INDEX($B$6:$B$305,MATCH($C175,$A$6:$A$305,0)),"")="Program",0,1),1)))))</f>
        <v/>
      </c>
      <c r="AD175" s="31">
        <f>IF(AND($A175&lt;&gt;"",OR($M175="■ Red",$M175="◧ Amber"),$L175=""),1,0)</f>
        <v/>
      </c>
      <c r="AE175" s="31">
        <f>$AA175+$AB175+IF($AC175&gt;0,1,0)+$AD175</f>
        <v/>
      </c>
      <c r="AJ175" s="14" t="n"/>
      <c r="AK175" s="29" t="n"/>
      <c r="AL175" s="31">
        <f>IF(AND($Q175=1,$Z175=1),1,0)</f>
        <v/>
      </c>
      <c r="AM175" s="31">
        <f>IF(AND($AL175=1,$AJ175&lt;&gt;""),MAX(0,TODAY()-$AJ175),"")</f>
        <v/>
      </c>
      <c r="AN175" s="31">
        <f>IF(OR($AL175=0,COUNT($AJ$6:$AJ$305)=0),0,IF($AJ175="",1,IF(TODAY()-$AJ175&gt;Board!$B$40,1,0)))</f>
        <v/>
      </c>
      <c r="AO175" s="31">
        <f>IF($AL175=0,0,IF($M175="■ Red",3,IF($M175="◧ Amber",2,IF($M175="□ On track",1,0))))</f>
        <v/>
      </c>
      <c r="AP175" s="31">
        <f>IF($AL175=0,0,IF($AK175="Will not hold",3,IF($AK175="At risk",2,IF($AK175="Will hold",1,0))))</f>
        <v/>
      </c>
      <c r="AQ175" s="31">
        <f>IF($AL175=0,"",IF($AO175=3,0,IF($AO175=2,1,IF(AND($AP175&gt;=2,$AP175&gt;$AO175),2,""))))</f>
        <v/>
      </c>
      <c r="AR175" s="31">
        <f>IF($AQ175="","",$AQ175*1000+175)</f>
        <v/>
      </c>
      <c r="AS175" s="31">
        <f>IF(AND($AL175=1,$AO175&gt;=2,$AP175&gt;=1,$AP175&lt;$AO175),1,0)</f>
        <v/>
      </c>
      <c r="AT175" s="31">
        <f>IF(AND($AL175=1,$AO175&gt;=2,$AP175=0),1,0)</f>
        <v/>
      </c>
      <c r="AU175" s="31">
        <f>IF(AND($AL175=1,$U175&lt;&gt;"",$U175&lt;TODAY()),1,0)</f>
        <v/>
      </c>
      <c r="AV175" s="31">
        <f>IF(OR($A175="",$AJ175="",Portfolio!$B$10=""),0,IF($AJ175&lt;=Portfolio!$B$10,0,IF(AND($D175="Completed",$Z175=1),1,IF(AND($D175="Terminated",$Z175=1),2,IF(AND($Q175=1,$Z175=0),3,0)))))</f>
        <v/>
      </c>
      <c r="AW175" s="31">
        <f>IF($AV175&gt;0,COUNTIF($AV$6:$AV175,"&gt;0"),"")</f>
        <v/>
      </c>
      <c r="AX175" s="31">
        <f>IF($AL175=0,"",IF(AND($B175="Project",$H175&lt;&gt;"",$H175&lt;TODAY()),"Planned finish "&amp;TEXT($H175,"d mmm")&amp;" has passed",IF($X175&gt;=2,(NETWORKDAYS($H175,$U175)-1)&amp;" working days past plan","")))</f>
        <v/>
      </c>
      <c r="AY175" s="31">
        <f>IF($AL175=0,"",IF($Y175&gt;=2,"Over budget by "&amp;TEXT(IF($B175="Program",$V175,$J175)-$K175,"#,##0"),""))</f>
        <v/>
      </c>
      <c r="AZ175" s="31">
        <f>IF(AND($AL175=1,$U175&lt;&gt;""),IF(AND(N($U175)&gt;=TODAY(),N($U175)&lt;=TODAY()+Board!$B$41),1,0),0)</f>
        <v/>
      </c>
    </row>
    <row r="176">
      <c r="A176" s="29" t="n"/>
      <c r="B176" s="29" t="n"/>
      <c r="C176" s="29" t="n"/>
      <c r="D176" s="29" t="n"/>
      <c r="E176" s="29" t="n"/>
      <c r="F176" s="29" t="n"/>
      <c r="G176" s="29" t="n"/>
      <c r="H176" s="30" t="n"/>
      <c r="I176" s="30" t="n"/>
      <c r="J176" s="19" t="n"/>
      <c r="K176" s="19" t="n"/>
      <c r="L176" s="26" t="n"/>
      <c r="M176" s="31">
        <f>IF($A176="","",IF($D176="","Not read",IF($Q176=0,"Not counted",IF(MAX($X176,$Y176)=3,"■ Red",IF(MAX($X176,$Y176)=2,"◧ Amber",IF(MAX($X176,$Y176)=1,"□ On track","Not read"))))))</f>
        <v/>
      </c>
      <c r="N176" s="31">
        <f>IF(OR($A176="",$B176&lt;&gt;"Program"),"","■ "&amp;COUNTIFS($C$6:$C$305,$A176,$M$6:$M$305,"■ Red")&amp;" Red, ◧ "&amp;COUNTIFS($C$6:$C$305,$A176,$M$6:$M$305,"◧ Amber")&amp;" Amber")</f>
        <v/>
      </c>
      <c r="O176" s="32">
        <f>IF(OR($A176="",$E176=""),"",COUNTIFS($E$6:$E$305,$E176,$D$6:$D$305,"Active")+COUNTIFS($E$6:$E$305,$E176,$D$6:$D$305,"Paused"))</f>
        <v/>
      </c>
      <c r="P176" s="31">
        <f>IF($A176="","",IF($AE176=0,"○ Clear",IF($AA176=1,"△ No owner",IF($AC176=1,"△ Check Sits under",IF($AC176=2,"△ Outside the portfolio",IF($AB176=1,"△ No sponsor","△ No variance note"))))&amp;IF($AE176&gt;1," (+"&amp;($AE176-1)&amp;" more)","")))</f>
        <v/>
      </c>
      <c r="Q176" s="31">
        <f>IF(AND($A176&lt;&gt;"",OR($D176="Active",$D176="Paused")),1,0)</f>
        <v/>
      </c>
      <c r="R176" s="31">
        <f>IFERROR(INDEX($A$6:$A$305,MATCH(169,$S$6:$S$305,0)),"")</f>
        <v/>
      </c>
      <c r="S176" s="31">
        <f>IF(AND($A176&lt;&gt;"",$B176="Program"),COUNTIFS($B$6:$B176,"Program",$A$6:$A176,"&lt;&gt;"),"")</f>
        <v/>
      </c>
      <c r="T176" s="33">
        <f>IF(AND($A176&lt;&gt;"",$B176="Program"),SUMPRODUCT(MAX(($C$6:$C$305=$A176)*($B$6:$B$305="Project")*($D$6:$D$305&lt;&gt;"Proposed")*$I$6:$I$305)),0)</f>
        <v/>
      </c>
      <c r="U176" s="33">
        <f>IF($I176&lt;&gt;"",$I176,IF($T176&gt;0,$T176,""))</f>
        <v/>
      </c>
      <c r="V176" s="31">
        <f>IF(AND($A176&lt;&gt;"",$B176="Program"),SUMIFS($J$6:$J$305,$C$6:$C$305,$A176,$B$6:$B$305,"Project",$D$6:$D$305,"&lt;&gt;Proposed"),0)</f>
        <v/>
      </c>
      <c r="W176" s="31">
        <f>IF(AND($A176&lt;&gt;"",$B176="Program"),COUNTIFS($C$6:$C$305,$A176,$B$6:$B$305,"Project",$D$6:$D$305,"&lt;&gt;Proposed")-COUNTIFS($C$6:$C$305,$A176,$B$6:$B$305,"Project",$D$6:$D$305,"&lt;&gt;Proposed",$J$6:$J$305,"&gt;=0"),0)</f>
        <v/>
      </c>
      <c r="X176" s="31">
        <f>IF(OR($Q176=0,$H176=""),0,IF(AND($B176="Project",$H176&lt;TODAY()),3,IF($U176="",0,IF($U176&lt;=$H176,1,IF(NETWORKDAYS($H176,$U176)-1&gt;IF($B176="Program",Portfolio!$B$16,Portfolio!$B$15),3,2)))))</f>
        <v/>
      </c>
      <c r="Y176" s="31">
        <f>IF(OR($Q176=0,$K176="",$K176=0),0,IF(AND($B176="Project",$J176=""),0,IF(IF($B176="Program",$V176,$J176)&gt;$K176*(1+Portfolio!$B$17),3,IF(IF($B176="Program",$V176,$J176)&gt;$K176,2,IF(AND($B176="Program",OR($W176&gt;0,$V176=0)),0,1)))))</f>
        <v/>
      </c>
      <c r="Z176" s="31">
        <f>IF($A176="",0,IF($C176="Portfolio",1,IF(AND($B176="Project",$C176&lt;&gt;"",$C176&lt;&gt;"Outside the portfolio"),IFERROR(IF(AND(INDEX($B$6:$B$305,MATCH($C176,$A$6:$A$305,0))="Program",INDEX($C$6:$C$305,MATCH($C176,$A$6:$A$305,0))="Portfolio"),1,0),0),0)))</f>
        <v/>
      </c>
      <c r="AA176" s="31">
        <f>IF(AND($A176&lt;&gt;"",$E176="",OR($Q176=1,$D176="Proposed")),1,0)</f>
        <v/>
      </c>
      <c r="AB176" s="31">
        <f>IF(AND($A176&lt;&gt;"",$B176="Program",$F176="",$Q176=1),1,0)</f>
        <v/>
      </c>
      <c r="AC176" s="31">
        <f>IF(OR($A176="",$D176="Completed",$D176="Terminated"),0,IF($C176="",1,IF($C176="Portfolio",0,IF($C176="Outside the portfolio",IF($Q176=1,2,0),IF($B176="Project",IF(IFERROR(INDEX($B$6:$B$305,MATCH($C176,$A$6:$A$305,0)),"")="Program",0,1),1)))))</f>
        <v/>
      </c>
      <c r="AD176" s="31">
        <f>IF(AND($A176&lt;&gt;"",OR($M176="■ Red",$M176="◧ Amber"),$L176=""),1,0)</f>
        <v/>
      </c>
      <c r="AE176" s="31">
        <f>$AA176+$AB176+IF($AC176&gt;0,1,0)+$AD176</f>
        <v/>
      </c>
      <c r="AJ176" s="14" t="n"/>
      <c r="AK176" s="29" t="n"/>
      <c r="AL176" s="31">
        <f>IF(AND($Q176=1,$Z176=1),1,0)</f>
        <v/>
      </c>
      <c r="AM176" s="31">
        <f>IF(AND($AL176=1,$AJ176&lt;&gt;""),MAX(0,TODAY()-$AJ176),"")</f>
        <v/>
      </c>
      <c r="AN176" s="31">
        <f>IF(OR($AL176=0,COUNT($AJ$6:$AJ$305)=0),0,IF($AJ176="",1,IF(TODAY()-$AJ176&gt;Board!$B$40,1,0)))</f>
        <v/>
      </c>
      <c r="AO176" s="31">
        <f>IF($AL176=0,0,IF($M176="■ Red",3,IF($M176="◧ Amber",2,IF($M176="□ On track",1,0))))</f>
        <v/>
      </c>
      <c r="AP176" s="31">
        <f>IF($AL176=0,0,IF($AK176="Will not hold",3,IF($AK176="At risk",2,IF($AK176="Will hold",1,0))))</f>
        <v/>
      </c>
      <c r="AQ176" s="31">
        <f>IF($AL176=0,"",IF($AO176=3,0,IF($AO176=2,1,IF(AND($AP176&gt;=2,$AP176&gt;$AO176),2,""))))</f>
        <v/>
      </c>
      <c r="AR176" s="31">
        <f>IF($AQ176="","",$AQ176*1000+176)</f>
        <v/>
      </c>
      <c r="AS176" s="31">
        <f>IF(AND($AL176=1,$AO176&gt;=2,$AP176&gt;=1,$AP176&lt;$AO176),1,0)</f>
        <v/>
      </c>
      <c r="AT176" s="31">
        <f>IF(AND($AL176=1,$AO176&gt;=2,$AP176=0),1,0)</f>
        <v/>
      </c>
      <c r="AU176" s="31">
        <f>IF(AND($AL176=1,$U176&lt;&gt;"",$U176&lt;TODAY()),1,0)</f>
        <v/>
      </c>
      <c r="AV176" s="31">
        <f>IF(OR($A176="",$AJ176="",Portfolio!$B$10=""),0,IF($AJ176&lt;=Portfolio!$B$10,0,IF(AND($D176="Completed",$Z176=1),1,IF(AND($D176="Terminated",$Z176=1),2,IF(AND($Q176=1,$Z176=0),3,0)))))</f>
        <v/>
      </c>
      <c r="AW176" s="31">
        <f>IF($AV176&gt;0,COUNTIF($AV$6:$AV176,"&gt;0"),"")</f>
        <v/>
      </c>
      <c r="AX176" s="31">
        <f>IF($AL176=0,"",IF(AND($B176="Project",$H176&lt;&gt;"",$H176&lt;TODAY()),"Planned finish "&amp;TEXT($H176,"d mmm")&amp;" has passed",IF($X176&gt;=2,(NETWORKDAYS($H176,$U176)-1)&amp;" working days past plan","")))</f>
        <v/>
      </c>
      <c r="AY176" s="31">
        <f>IF($AL176=0,"",IF($Y176&gt;=2,"Over budget by "&amp;TEXT(IF($B176="Program",$V176,$J176)-$K176,"#,##0"),""))</f>
        <v/>
      </c>
      <c r="AZ176" s="31">
        <f>IF(AND($AL176=1,$U176&lt;&gt;""),IF(AND(N($U176)&gt;=TODAY(),N($U176)&lt;=TODAY()+Board!$B$41),1,0),0)</f>
        <v/>
      </c>
    </row>
    <row r="177">
      <c r="A177" s="29" t="n"/>
      <c r="B177" s="29" t="n"/>
      <c r="C177" s="29" t="n"/>
      <c r="D177" s="29" t="n"/>
      <c r="E177" s="29" t="n"/>
      <c r="F177" s="29" t="n"/>
      <c r="G177" s="29" t="n"/>
      <c r="H177" s="30" t="n"/>
      <c r="I177" s="30" t="n"/>
      <c r="J177" s="19" t="n"/>
      <c r="K177" s="19" t="n"/>
      <c r="L177" s="26" t="n"/>
      <c r="M177" s="31">
        <f>IF($A177="","",IF($D177="","Not read",IF($Q177=0,"Not counted",IF(MAX($X177,$Y177)=3,"■ Red",IF(MAX($X177,$Y177)=2,"◧ Amber",IF(MAX($X177,$Y177)=1,"□ On track","Not read"))))))</f>
        <v/>
      </c>
      <c r="N177" s="31">
        <f>IF(OR($A177="",$B177&lt;&gt;"Program"),"","■ "&amp;COUNTIFS($C$6:$C$305,$A177,$M$6:$M$305,"■ Red")&amp;" Red, ◧ "&amp;COUNTIFS($C$6:$C$305,$A177,$M$6:$M$305,"◧ Amber")&amp;" Amber")</f>
        <v/>
      </c>
      <c r="O177" s="32">
        <f>IF(OR($A177="",$E177=""),"",COUNTIFS($E$6:$E$305,$E177,$D$6:$D$305,"Active")+COUNTIFS($E$6:$E$305,$E177,$D$6:$D$305,"Paused"))</f>
        <v/>
      </c>
      <c r="P177" s="31">
        <f>IF($A177="","",IF($AE177=0,"○ Clear",IF($AA177=1,"△ No owner",IF($AC177=1,"△ Check Sits under",IF($AC177=2,"△ Outside the portfolio",IF($AB177=1,"△ No sponsor","△ No variance note"))))&amp;IF($AE177&gt;1," (+"&amp;($AE177-1)&amp;" more)","")))</f>
        <v/>
      </c>
      <c r="Q177" s="31">
        <f>IF(AND($A177&lt;&gt;"",OR($D177="Active",$D177="Paused")),1,0)</f>
        <v/>
      </c>
      <c r="R177" s="31">
        <f>IFERROR(INDEX($A$6:$A$305,MATCH(170,$S$6:$S$305,0)),"")</f>
        <v/>
      </c>
      <c r="S177" s="31">
        <f>IF(AND($A177&lt;&gt;"",$B177="Program"),COUNTIFS($B$6:$B177,"Program",$A$6:$A177,"&lt;&gt;"),"")</f>
        <v/>
      </c>
      <c r="T177" s="33">
        <f>IF(AND($A177&lt;&gt;"",$B177="Program"),SUMPRODUCT(MAX(($C$6:$C$305=$A177)*($B$6:$B$305="Project")*($D$6:$D$305&lt;&gt;"Proposed")*$I$6:$I$305)),0)</f>
        <v/>
      </c>
      <c r="U177" s="33">
        <f>IF($I177&lt;&gt;"",$I177,IF($T177&gt;0,$T177,""))</f>
        <v/>
      </c>
      <c r="V177" s="31">
        <f>IF(AND($A177&lt;&gt;"",$B177="Program"),SUMIFS($J$6:$J$305,$C$6:$C$305,$A177,$B$6:$B$305,"Project",$D$6:$D$305,"&lt;&gt;Proposed"),0)</f>
        <v/>
      </c>
      <c r="W177" s="31">
        <f>IF(AND($A177&lt;&gt;"",$B177="Program"),COUNTIFS($C$6:$C$305,$A177,$B$6:$B$305,"Project",$D$6:$D$305,"&lt;&gt;Proposed")-COUNTIFS($C$6:$C$305,$A177,$B$6:$B$305,"Project",$D$6:$D$305,"&lt;&gt;Proposed",$J$6:$J$305,"&gt;=0"),0)</f>
        <v/>
      </c>
      <c r="X177" s="31">
        <f>IF(OR($Q177=0,$H177=""),0,IF(AND($B177="Project",$H177&lt;TODAY()),3,IF($U177="",0,IF($U177&lt;=$H177,1,IF(NETWORKDAYS($H177,$U177)-1&gt;IF($B177="Program",Portfolio!$B$16,Portfolio!$B$15),3,2)))))</f>
        <v/>
      </c>
      <c r="Y177" s="31">
        <f>IF(OR($Q177=0,$K177="",$K177=0),0,IF(AND($B177="Project",$J177=""),0,IF(IF($B177="Program",$V177,$J177)&gt;$K177*(1+Portfolio!$B$17),3,IF(IF($B177="Program",$V177,$J177)&gt;$K177,2,IF(AND($B177="Program",OR($W177&gt;0,$V177=0)),0,1)))))</f>
        <v/>
      </c>
      <c r="Z177" s="31">
        <f>IF($A177="",0,IF($C177="Portfolio",1,IF(AND($B177="Project",$C177&lt;&gt;"",$C177&lt;&gt;"Outside the portfolio"),IFERROR(IF(AND(INDEX($B$6:$B$305,MATCH($C177,$A$6:$A$305,0))="Program",INDEX($C$6:$C$305,MATCH($C177,$A$6:$A$305,0))="Portfolio"),1,0),0),0)))</f>
        <v/>
      </c>
      <c r="AA177" s="31">
        <f>IF(AND($A177&lt;&gt;"",$E177="",OR($Q177=1,$D177="Proposed")),1,0)</f>
        <v/>
      </c>
      <c r="AB177" s="31">
        <f>IF(AND($A177&lt;&gt;"",$B177="Program",$F177="",$Q177=1),1,0)</f>
        <v/>
      </c>
      <c r="AC177" s="31">
        <f>IF(OR($A177="",$D177="Completed",$D177="Terminated"),0,IF($C177="",1,IF($C177="Portfolio",0,IF($C177="Outside the portfolio",IF($Q177=1,2,0),IF($B177="Project",IF(IFERROR(INDEX($B$6:$B$305,MATCH($C177,$A$6:$A$305,0)),"")="Program",0,1),1)))))</f>
        <v/>
      </c>
      <c r="AD177" s="31">
        <f>IF(AND($A177&lt;&gt;"",OR($M177="■ Red",$M177="◧ Amber"),$L177=""),1,0)</f>
        <v/>
      </c>
      <c r="AE177" s="31">
        <f>$AA177+$AB177+IF($AC177&gt;0,1,0)+$AD177</f>
        <v/>
      </c>
      <c r="AJ177" s="14" t="n"/>
      <c r="AK177" s="29" t="n"/>
      <c r="AL177" s="31">
        <f>IF(AND($Q177=1,$Z177=1),1,0)</f>
        <v/>
      </c>
      <c r="AM177" s="31">
        <f>IF(AND($AL177=1,$AJ177&lt;&gt;""),MAX(0,TODAY()-$AJ177),"")</f>
        <v/>
      </c>
      <c r="AN177" s="31">
        <f>IF(OR($AL177=0,COUNT($AJ$6:$AJ$305)=0),0,IF($AJ177="",1,IF(TODAY()-$AJ177&gt;Board!$B$40,1,0)))</f>
        <v/>
      </c>
      <c r="AO177" s="31">
        <f>IF($AL177=0,0,IF($M177="■ Red",3,IF($M177="◧ Amber",2,IF($M177="□ On track",1,0))))</f>
        <v/>
      </c>
      <c r="AP177" s="31">
        <f>IF($AL177=0,0,IF($AK177="Will not hold",3,IF($AK177="At risk",2,IF($AK177="Will hold",1,0))))</f>
        <v/>
      </c>
      <c r="AQ177" s="31">
        <f>IF($AL177=0,"",IF($AO177=3,0,IF($AO177=2,1,IF(AND($AP177&gt;=2,$AP177&gt;$AO177),2,""))))</f>
        <v/>
      </c>
      <c r="AR177" s="31">
        <f>IF($AQ177="","",$AQ177*1000+177)</f>
        <v/>
      </c>
      <c r="AS177" s="31">
        <f>IF(AND($AL177=1,$AO177&gt;=2,$AP177&gt;=1,$AP177&lt;$AO177),1,0)</f>
        <v/>
      </c>
      <c r="AT177" s="31">
        <f>IF(AND($AL177=1,$AO177&gt;=2,$AP177=0),1,0)</f>
        <v/>
      </c>
      <c r="AU177" s="31">
        <f>IF(AND($AL177=1,$U177&lt;&gt;"",$U177&lt;TODAY()),1,0)</f>
        <v/>
      </c>
      <c r="AV177" s="31">
        <f>IF(OR($A177="",$AJ177="",Portfolio!$B$10=""),0,IF($AJ177&lt;=Portfolio!$B$10,0,IF(AND($D177="Completed",$Z177=1),1,IF(AND($D177="Terminated",$Z177=1),2,IF(AND($Q177=1,$Z177=0),3,0)))))</f>
        <v/>
      </c>
      <c r="AW177" s="31">
        <f>IF($AV177&gt;0,COUNTIF($AV$6:$AV177,"&gt;0"),"")</f>
        <v/>
      </c>
      <c r="AX177" s="31">
        <f>IF($AL177=0,"",IF(AND($B177="Project",$H177&lt;&gt;"",$H177&lt;TODAY()),"Planned finish "&amp;TEXT($H177,"d mmm")&amp;" has passed",IF($X177&gt;=2,(NETWORKDAYS($H177,$U177)-1)&amp;" working days past plan","")))</f>
        <v/>
      </c>
      <c r="AY177" s="31">
        <f>IF($AL177=0,"",IF($Y177&gt;=2,"Over budget by "&amp;TEXT(IF($B177="Program",$V177,$J177)-$K177,"#,##0"),""))</f>
        <v/>
      </c>
      <c r="AZ177" s="31">
        <f>IF(AND($AL177=1,$U177&lt;&gt;""),IF(AND(N($U177)&gt;=TODAY(),N($U177)&lt;=TODAY()+Board!$B$41),1,0),0)</f>
        <v/>
      </c>
    </row>
    <row r="178">
      <c r="A178" s="29" t="n"/>
      <c r="B178" s="29" t="n"/>
      <c r="C178" s="29" t="n"/>
      <c r="D178" s="29" t="n"/>
      <c r="E178" s="29" t="n"/>
      <c r="F178" s="29" t="n"/>
      <c r="G178" s="29" t="n"/>
      <c r="H178" s="30" t="n"/>
      <c r="I178" s="30" t="n"/>
      <c r="J178" s="19" t="n"/>
      <c r="K178" s="19" t="n"/>
      <c r="L178" s="26" t="n"/>
      <c r="M178" s="31">
        <f>IF($A178="","",IF($D178="","Not read",IF($Q178=0,"Not counted",IF(MAX($X178,$Y178)=3,"■ Red",IF(MAX($X178,$Y178)=2,"◧ Amber",IF(MAX($X178,$Y178)=1,"□ On track","Not read"))))))</f>
        <v/>
      </c>
      <c r="N178" s="31">
        <f>IF(OR($A178="",$B178&lt;&gt;"Program"),"","■ "&amp;COUNTIFS($C$6:$C$305,$A178,$M$6:$M$305,"■ Red")&amp;" Red, ◧ "&amp;COUNTIFS($C$6:$C$305,$A178,$M$6:$M$305,"◧ Amber")&amp;" Amber")</f>
        <v/>
      </c>
      <c r="O178" s="32">
        <f>IF(OR($A178="",$E178=""),"",COUNTIFS($E$6:$E$305,$E178,$D$6:$D$305,"Active")+COUNTIFS($E$6:$E$305,$E178,$D$6:$D$305,"Paused"))</f>
        <v/>
      </c>
      <c r="P178" s="31">
        <f>IF($A178="","",IF($AE178=0,"○ Clear",IF($AA178=1,"△ No owner",IF($AC178=1,"△ Check Sits under",IF($AC178=2,"△ Outside the portfolio",IF($AB178=1,"△ No sponsor","△ No variance note"))))&amp;IF($AE178&gt;1," (+"&amp;($AE178-1)&amp;" more)","")))</f>
        <v/>
      </c>
      <c r="Q178" s="31">
        <f>IF(AND($A178&lt;&gt;"",OR($D178="Active",$D178="Paused")),1,0)</f>
        <v/>
      </c>
      <c r="R178" s="31">
        <f>IFERROR(INDEX($A$6:$A$305,MATCH(171,$S$6:$S$305,0)),"")</f>
        <v/>
      </c>
      <c r="S178" s="31">
        <f>IF(AND($A178&lt;&gt;"",$B178="Program"),COUNTIFS($B$6:$B178,"Program",$A$6:$A178,"&lt;&gt;"),"")</f>
        <v/>
      </c>
      <c r="T178" s="33">
        <f>IF(AND($A178&lt;&gt;"",$B178="Program"),SUMPRODUCT(MAX(($C$6:$C$305=$A178)*($B$6:$B$305="Project")*($D$6:$D$305&lt;&gt;"Proposed")*$I$6:$I$305)),0)</f>
        <v/>
      </c>
      <c r="U178" s="33">
        <f>IF($I178&lt;&gt;"",$I178,IF($T178&gt;0,$T178,""))</f>
        <v/>
      </c>
      <c r="V178" s="31">
        <f>IF(AND($A178&lt;&gt;"",$B178="Program"),SUMIFS($J$6:$J$305,$C$6:$C$305,$A178,$B$6:$B$305,"Project",$D$6:$D$305,"&lt;&gt;Proposed"),0)</f>
        <v/>
      </c>
      <c r="W178" s="31">
        <f>IF(AND($A178&lt;&gt;"",$B178="Program"),COUNTIFS($C$6:$C$305,$A178,$B$6:$B$305,"Project",$D$6:$D$305,"&lt;&gt;Proposed")-COUNTIFS($C$6:$C$305,$A178,$B$6:$B$305,"Project",$D$6:$D$305,"&lt;&gt;Proposed",$J$6:$J$305,"&gt;=0"),0)</f>
        <v/>
      </c>
      <c r="X178" s="31">
        <f>IF(OR($Q178=0,$H178=""),0,IF(AND($B178="Project",$H178&lt;TODAY()),3,IF($U178="",0,IF($U178&lt;=$H178,1,IF(NETWORKDAYS($H178,$U178)-1&gt;IF($B178="Program",Portfolio!$B$16,Portfolio!$B$15),3,2)))))</f>
        <v/>
      </c>
      <c r="Y178" s="31">
        <f>IF(OR($Q178=0,$K178="",$K178=0),0,IF(AND($B178="Project",$J178=""),0,IF(IF($B178="Program",$V178,$J178)&gt;$K178*(1+Portfolio!$B$17),3,IF(IF($B178="Program",$V178,$J178)&gt;$K178,2,IF(AND($B178="Program",OR($W178&gt;0,$V178=0)),0,1)))))</f>
        <v/>
      </c>
      <c r="Z178" s="31">
        <f>IF($A178="",0,IF($C178="Portfolio",1,IF(AND($B178="Project",$C178&lt;&gt;"",$C178&lt;&gt;"Outside the portfolio"),IFERROR(IF(AND(INDEX($B$6:$B$305,MATCH($C178,$A$6:$A$305,0))="Program",INDEX($C$6:$C$305,MATCH($C178,$A$6:$A$305,0))="Portfolio"),1,0),0),0)))</f>
        <v/>
      </c>
      <c r="AA178" s="31">
        <f>IF(AND($A178&lt;&gt;"",$E178="",OR($Q178=1,$D178="Proposed")),1,0)</f>
        <v/>
      </c>
      <c r="AB178" s="31">
        <f>IF(AND($A178&lt;&gt;"",$B178="Program",$F178="",$Q178=1),1,0)</f>
        <v/>
      </c>
      <c r="AC178" s="31">
        <f>IF(OR($A178="",$D178="Completed",$D178="Terminated"),0,IF($C178="",1,IF($C178="Portfolio",0,IF($C178="Outside the portfolio",IF($Q178=1,2,0),IF($B178="Project",IF(IFERROR(INDEX($B$6:$B$305,MATCH($C178,$A$6:$A$305,0)),"")="Program",0,1),1)))))</f>
        <v/>
      </c>
      <c r="AD178" s="31">
        <f>IF(AND($A178&lt;&gt;"",OR($M178="■ Red",$M178="◧ Amber"),$L178=""),1,0)</f>
        <v/>
      </c>
      <c r="AE178" s="31">
        <f>$AA178+$AB178+IF($AC178&gt;0,1,0)+$AD178</f>
        <v/>
      </c>
      <c r="AJ178" s="14" t="n"/>
      <c r="AK178" s="29" t="n"/>
      <c r="AL178" s="31">
        <f>IF(AND($Q178=1,$Z178=1),1,0)</f>
        <v/>
      </c>
      <c r="AM178" s="31">
        <f>IF(AND($AL178=1,$AJ178&lt;&gt;""),MAX(0,TODAY()-$AJ178),"")</f>
        <v/>
      </c>
      <c r="AN178" s="31">
        <f>IF(OR($AL178=0,COUNT($AJ$6:$AJ$305)=0),0,IF($AJ178="",1,IF(TODAY()-$AJ178&gt;Board!$B$40,1,0)))</f>
        <v/>
      </c>
      <c r="AO178" s="31">
        <f>IF($AL178=0,0,IF($M178="■ Red",3,IF($M178="◧ Amber",2,IF($M178="□ On track",1,0))))</f>
        <v/>
      </c>
      <c r="AP178" s="31">
        <f>IF($AL178=0,0,IF($AK178="Will not hold",3,IF($AK178="At risk",2,IF($AK178="Will hold",1,0))))</f>
        <v/>
      </c>
      <c r="AQ178" s="31">
        <f>IF($AL178=0,"",IF($AO178=3,0,IF($AO178=2,1,IF(AND($AP178&gt;=2,$AP178&gt;$AO178),2,""))))</f>
        <v/>
      </c>
      <c r="AR178" s="31">
        <f>IF($AQ178="","",$AQ178*1000+178)</f>
        <v/>
      </c>
      <c r="AS178" s="31">
        <f>IF(AND($AL178=1,$AO178&gt;=2,$AP178&gt;=1,$AP178&lt;$AO178),1,0)</f>
        <v/>
      </c>
      <c r="AT178" s="31">
        <f>IF(AND($AL178=1,$AO178&gt;=2,$AP178=0),1,0)</f>
        <v/>
      </c>
      <c r="AU178" s="31">
        <f>IF(AND($AL178=1,$U178&lt;&gt;"",$U178&lt;TODAY()),1,0)</f>
        <v/>
      </c>
      <c r="AV178" s="31">
        <f>IF(OR($A178="",$AJ178="",Portfolio!$B$10=""),0,IF($AJ178&lt;=Portfolio!$B$10,0,IF(AND($D178="Completed",$Z178=1),1,IF(AND($D178="Terminated",$Z178=1),2,IF(AND($Q178=1,$Z178=0),3,0)))))</f>
        <v/>
      </c>
      <c r="AW178" s="31">
        <f>IF($AV178&gt;0,COUNTIF($AV$6:$AV178,"&gt;0"),"")</f>
        <v/>
      </c>
      <c r="AX178" s="31">
        <f>IF($AL178=0,"",IF(AND($B178="Project",$H178&lt;&gt;"",$H178&lt;TODAY()),"Planned finish "&amp;TEXT($H178,"d mmm")&amp;" has passed",IF($X178&gt;=2,(NETWORKDAYS($H178,$U178)-1)&amp;" working days past plan","")))</f>
        <v/>
      </c>
      <c r="AY178" s="31">
        <f>IF($AL178=0,"",IF($Y178&gt;=2,"Over budget by "&amp;TEXT(IF($B178="Program",$V178,$J178)-$K178,"#,##0"),""))</f>
        <v/>
      </c>
      <c r="AZ178" s="31">
        <f>IF(AND($AL178=1,$U178&lt;&gt;""),IF(AND(N($U178)&gt;=TODAY(),N($U178)&lt;=TODAY()+Board!$B$41),1,0),0)</f>
        <v/>
      </c>
    </row>
    <row r="179">
      <c r="A179" s="29" t="n"/>
      <c r="B179" s="29" t="n"/>
      <c r="C179" s="29" t="n"/>
      <c r="D179" s="29" t="n"/>
      <c r="E179" s="29" t="n"/>
      <c r="F179" s="29" t="n"/>
      <c r="G179" s="29" t="n"/>
      <c r="H179" s="30" t="n"/>
      <c r="I179" s="30" t="n"/>
      <c r="J179" s="19" t="n"/>
      <c r="K179" s="19" t="n"/>
      <c r="L179" s="26" t="n"/>
      <c r="M179" s="31">
        <f>IF($A179="","",IF($D179="","Not read",IF($Q179=0,"Not counted",IF(MAX($X179,$Y179)=3,"■ Red",IF(MAX($X179,$Y179)=2,"◧ Amber",IF(MAX($X179,$Y179)=1,"□ On track","Not read"))))))</f>
        <v/>
      </c>
      <c r="N179" s="31">
        <f>IF(OR($A179="",$B179&lt;&gt;"Program"),"","■ "&amp;COUNTIFS($C$6:$C$305,$A179,$M$6:$M$305,"■ Red")&amp;" Red, ◧ "&amp;COUNTIFS($C$6:$C$305,$A179,$M$6:$M$305,"◧ Amber")&amp;" Amber")</f>
        <v/>
      </c>
      <c r="O179" s="32">
        <f>IF(OR($A179="",$E179=""),"",COUNTIFS($E$6:$E$305,$E179,$D$6:$D$305,"Active")+COUNTIFS($E$6:$E$305,$E179,$D$6:$D$305,"Paused"))</f>
        <v/>
      </c>
      <c r="P179" s="31">
        <f>IF($A179="","",IF($AE179=0,"○ Clear",IF($AA179=1,"△ No owner",IF($AC179=1,"△ Check Sits under",IF($AC179=2,"△ Outside the portfolio",IF($AB179=1,"△ No sponsor","△ No variance note"))))&amp;IF($AE179&gt;1," (+"&amp;($AE179-1)&amp;" more)","")))</f>
        <v/>
      </c>
      <c r="Q179" s="31">
        <f>IF(AND($A179&lt;&gt;"",OR($D179="Active",$D179="Paused")),1,0)</f>
        <v/>
      </c>
      <c r="R179" s="31">
        <f>IFERROR(INDEX($A$6:$A$305,MATCH(172,$S$6:$S$305,0)),"")</f>
        <v/>
      </c>
      <c r="S179" s="31">
        <f>IF(AND($A179&lt;&gt;"",$B179="Program"),COUNTIFS($B$6:$B179,"Program",$A$6:$A179,"&lt;&gt;"),"")</f>
        <v/>
      </c>
      <c r="T179" s="33">
        <f>IF(AND($A179&lt;&gt;"",$B179="Program"),SUMPRODUCT(MAX(($C$6:$C$305=$A179)*($B$6:$B$305="Project")*($D$6:$D$305&lt;&gt;"Proposed")*$I$6:$I$305)),0)</f>
        <v/>
      </c>
      <c r="U179" s="33">
        <f>IF($I179&lt;&gt;"",$I179,IF($T179&gt;0,$T179,""))</f>
        <v/>
      </c>
      <c r="V179" s="31">
        <f>IF(AND($A179&lt;&gt;"",$B179="Program"),SUMIFS($J$6:$J$305,$C$6:$C$305,$A179,$B$6:$B$305,"Project",$D$6:$D$305,"&lt;&gt;Proposed"),0)</f>
        <v/>
      </c>
      <c r="W179" s="31">
        <f>IF(AND($A179&lt;&gt;"",$B179="Program"),COUNTIFS($C$6:$C$305,$A179,$B$6:$B$305,"Project",$D$6:$D$305,"&lt;&gt;Proposed")-COUNTIFS($C$6:$C$305,$A179,$B$6:$B$305,"Project",$D$6:$D$305,"&lt;&gt;Proposed",$J$6:$J$305,"&gt;=0"),0)</f>
        <v/>
      </c>
      <c r="X179" s="31">
        <f>IF(OR($Q179=0,$H179=""),0,IF(AND($B179="Project",$H179&lt;TODAY()),3,IF($U179="",0,IF($U179&lt;=$H179,1,IF(NETWORKDAYS($H179,$U179)-1&gt;IF($B179="Program",Portfolio!$B$16,Portfolio!$B$15),3,2)))))</f>
        <v/>
      </c>
      <c r="Y179" s="31">
        <f>IF(OR($Q179=0,$K179="",$K179=0),0,IF(AND($B179="Project",$J179=""),0,IF(IF($B179="Program",$V179,$J179)&gt;$K179*(1+Portfolio!$B$17),3,IF(IF($B179="Program",$V179,$J179)&gt;$K179,2,IF(AND($B179="Program",OR($W179&gt;0,$V179=0)),0,1)))))</f>
        <v/>
      </c>
      <c r="Z179" s="31">
        <f>IF($A179="",0,IF($C179="Portfolio",1,IF(AND($B179="Project",$C179&lt;&gt;"",$C179&lt;&gt;"Outside the portfolio"),IFERROR(IF(AND(INDEX($B$6:$B$305,MATCH($C179,$A$6:$A$305,0))="Program",INDEX($C$6:$C$305,MATCH($C179,$A$6:$A$305,0))="Portfolio"),1,0),0),0)))</f>
        <v/>
      </c>
      <c r="AA179" s="31">
        <f>IF(AND($A179&lt;&gt;"",$E179="",OR($Q179=1,$D179="Proposed")),1,0)</f>
        <v/>
      </c>
      <c r="AB179" s="31">
        <f>IF(AND($A179&lt;&gt;"",$B179="Program",$F179="",$Q179=1),1,0)</f>
        <v/>
      </c>
      <c r="AC179" s="31">
        <f>IF(OR($A179="",$D179="Completed",$D179="Terminated"),0,IF($C179="",1,IF($C179="Portfolio",0,IF($C179="Outside the portfolio",IF($Q179=1,2,0),IF($B179="Project",IF(IFERROR(INDEX($B$6:$B$305,MATCH($C179,$A$6:$A$305,0)),"")="Program",0,1),1)))))</f>
        <v/>
      </c>
      <c r="AD179" s="31">
        <f>IF(AND($A179&lt;&gt;"",OR($M179="■ Red",$M179="◧ Amber"),$L179=""),1,0)</f>
        <v/>
      </c>
      <c r="AE179" s="31">
        <f>$AA179+$AB179+IF($AC179&gt;0,1,0)+$AD179</f>
        <v/>
      </c>
      <c r="AJ179" s="14" t="n"/>
      <c r="AK179" s="29" t="n"/>
      <c r="AL179" s="31">
        <f>IF(AND($Q179=1,$Z179=1),1,0)</f>
        <v/>
      </c>
      <c r="AM179" s="31">
        <f>IF(AND($AL179=1,$AJ179&lt;&gt;""),MAX(0,TODAY()-$AJ179),"")</f>
        <v/>
      </c>
      <c r="AN179" s="31">
        <f>IF(OR($AL179=0,COUNT($AJ$6:$AJ$305)=0),0,IF($AJ179="",1,IF(TODAY()-$AJ179&gt;Board!$B$40,1,0)))</f>
        <v/>
      </c>
      <c r="AO179" s="31">
        <f>IF($AL179=0,0,IF($M179="■ Red",3,IF($M179="◧ Amber",2,IF($M179="□ On track",1,0))))</f>
        <v/>
      </c>
      <c r="AP179" s="31">
        <f>IF($AL179=0,0,IF($AK179="Will not hold",3,IF($AK179="At risk",2,IF($AK179="Will hold",1,0))))</f>
        <v/>
      </c>
      <c r="AQ179" s="31">
        <f>IF($AL179=0,"",IF($AO179=3,0,IF($AO179=2,1,IF(AND($AP179&gt;=2,$AP179&gt;$AO179),2,""))))</f>
        <v/>
      </c>
      <c r="AR179" s="31">
        <f>IF($AQ179="","",$AQ179*1000+179)</f>
        <v/>
      </c>
      <c r="AS179" s="31">
        <f>IF(AND($AL179=1,$AO179&gt;=2,$AP179&gt;=1,$AP179&lt;$AO179),1,0)</f>
        <v/>
      </c>
      <c r="AT179" s="31">
        <f>IF(AND($AL179=1,$AO179&gt;=2,$AP179=0),1,0)</f>
        <v/>
      </c>
      <c r="AU179" s="31">
        <f>IF(AND($AL179=1,$U179&lt;&gt;"",$U179&lt;TODAY()),1,0)</f>
        <v/>
      </c>
      <c r="AV179" s="31">
        <f>IF(OR($A179="",$AJ179="",Portfolio!$B$10=""),0,IF($AJ179&lt;=Portfolio!$B$10,0,IF(AND($D179="Completed",$Z179=1),1,IF(AND($D179="Terminated",$Z179=1),2,IF(AND($Q179=1,$Z179=0),3,0)))))</f>
        <v/>
      </c>
      <c r="AW179" s="31">
        <f>IF($AV179&gt;0,COUNTIF($AV$6:$AV179,"&gt;0"),"")</f>
        <v/>
      </c>
      <c r="AX179" s="31">
        <f>IF($AL179=0,"",IF(AND($B179="Project",$H179&lt;&gt;"",$H179&lt;TODAY()),"Planned finish "&amp;TEXT($H179,"d mmm")&amp;" has passed",IF($X179&gt;=2,(NETWORKDAYS($H179,$U179)-1)&amp;" working days past plan","")))</f>
        <v/>
      </c>
      <c r="AY179" s="31">
        <f>IF($AL179=0,"",IF($Y179&gt;=2,"Over budget by "&amp;TEXT(IF($B179="Program",$V179,$J179)-$K179,"#,##0"),""))</f>
        <v/>
      </c>
      <c r="AZ179" s="31">
        <f>IF(AND($AL179=1,$U179&lt;&gt;""),IF(AND(N($U179)&gt;=TODAY(),N($U179)&lt;=TODAY()+Board!$B$41),1,0),0)</f>
        <v/>
      </c>
    </row>
    <row r="180">
      <c r="A180" s="29" t="n"/>
      <c r="B180" s="29" t="n"/>
      <c r="C180" s="29" t="n"/>
      <c r="D180" s="29" t="n"/>
      <c r="E180" s="29" t="n"/>
      <c r="F180" s="29" t="n"/>
      <c r="G180" s="29" t="n"/>
      <c r="H180" s="30" t="n"/>
      <c r="I180" s="30" t="n"/>
      <c r="J180" s="19" t="n"/>
      <c r="K180" s="19" t="n"/>
      <c r="L180" s="26" t="n"/>
      <c r="M180" s="31">
        <f>IF($A180="","",IF($D180="","Not read",IF($Q180=0,"Not counted",IF(MAX($X180,$Y180)=3,"■ Red",IF(MAX($X180,$Y180)=2,"◧ Amber",IF(MAX($X180,$Y180)=1,"□ On track","Not read"))))))</f>
        <v/>
      </c>
      <c r="N180" s="31">
        <f>IF(OR($A180="",$B180&lt;&gt;"Program"),"","■ "&amp;COUNTIFS($C$6:$C$305,$A180,$M$6:$M$305,"■ Red")&amp;" Red, ◧ "&amp;COUNTIFS($C$6:$C$305,$A180,$M$6:$M$305,"◧ Amber")&amp;" Amber")</f>
        <v/>
      </c>
      <c r="O180" s="32">
        <f>IF(OR($A180="",$E180=""),"",COUNTIFS($E$6:$E$305,$E180,$D$6:$D$305,"Active")+COUNTIFS($E$6:$E$305,$E180,$D$6:$D$305,"Paused"))</f>
        <v/>
      </c>
      <c r="P180" s="31">
        <f>IF($A180="","",IF($AE180=0,"○ Clear",IF($AA180=1,"△ No owner",IF($AC180=1,"△ Check Sits under",IF($AC180=2,"△ Outside the portfolio",IF($AB180=1,"△ No sponsor","△ No variance note"))))&amp;IF($AE180&gt;1," (+"&amp;($AE180-1)&amp;" more)","")))</f>
        <v/>
      </c>
      <c r="Q180" s="31">
        <f>IF(AND($A180&lt;&gt;"",OR($D180="Active",$D180="Paused")),1,0)</f>
        <v/>
      </c>
      <c r="R180" s="31">
        <f>IFERROR(INDEX($A$6:$A$305,MATCH(173,$S$6:$S$305,0)),"")</f>
        <v/>
      </c>
      <c r="S180" s="31">
        <f>IF(AND($A180&lt;&gt;"",$B180="Program"),COUNTIFS($B$6:$B180,"Program",$A$6:$A180,"&lt;&gt;"),"")</f>
        <v/>
      </c>
      <c r="T180" s="33">
        <f>IF(AND($A180&lt;&gt;"",$B180="Program"),SUMPRODUCT(MAX(($C$6:$C$305=$A180)*($B$6:$B$305="Project")*($D$6:$D$305&lt;&gt;"Proposed")*$I$6:$I$305)),0)</f>
        <v/>
      </c>
      <c r="U180" s="33">
        <f>IF($I180&lt;&gt;"",$I180,IF($T180&gt;0,$T180,""))</f>
        <v/>
      </c>
      <c r="V180" s="31">
        <f>IF(AND($A180&lt;&gt;"",$B180="Program"),SUMIFS($J$6:$J$305,$C$6:$C$305,$A180,$B$6:$B$305,"Project",$D$6:$D$305,"&lt;&gt;Proposed"),0)</f>
        <v/>
      </c>
      <c r="W180" s="31">
        <f>IF(AND($A180&lt;&gt;"",$B180="Program"),COUNTIFS($C$6:$C$305,$A180,$B$6:$B$305,"Project",$D$6:$D$305,"&lt;&gt;Proposed")-COUNTIFS($C$6:$C$305,$A180,$B$6:$B$305,"Project",$D$6:$D$305,"&lt;&gt;Proposed",$J$6:$J$305,"&gt;=0"),0)</f>
        <v/>
      </c>
      <c r="X180" s="31">
        <f>IF(OR($Q180=0,$H180=""),0,IF(AND($B180="Project",$H180&lt;TODAY()),3,IF($U180="",0,IF($U180&lt;=$H180,1,IF(NETWORKDAYS($H180,$U180)-1&gt;IF($B180="Program",Portfolio!$B$16,Portfolio!$B$15),3,2)))))</f>
        <v/>
      </c>
      <c r="Y180" s="31">
        <f>IF(OR($Q180=0,$K180="",$K180=0),0,IF(AND($B180="Project",$J180=""),0,IF(IF($B180="Program",$V180,$J180)&gt;$K180*(1+Portfolio!$B$17),3,IF(IF($B180="Program",$V180,$J180)&gt;$K180,2,IF(AND($B180="Program",OR($W180&gt;0,$V180=0)),0,1)))))</f>
        <v/>
      </c>
      <c r="Z180" s="31">
        <f>IF($A180="",0,IF($C180="Portfolio",1,IF(AND($B180="Project",$C180&lt;&gt;"",$C180&lt;&gt;"Outside the portfolio"),IFERROR(IF(AND(INDEX($B$6:$B$305,MATCH($C180,$A$6:$A$305,0))="Program",INDEX($C$6:$C$305,MATCH($C180,$A$6:$A$305,0))="Portfolio"),1,0),0),0)))</f>
        <v/>
      </c>
      <c r="AA180" s="31">
        <f>IF(AND($A180&lt;&gt;"",$E180="",OR($Q180=1,$D180="Proposed")),1,0)</f>
        <v/>
      </c>
      <c r="AB180" s="31">
        <f>IF(AND($A180&lt;&gt;"",$B180="Program",$F180="",$Q180=1),1,0)</f>
        <v/>
      </c>
      <c r="AC180" s="31">
        <f>IF(OR($A180="",$D180="Completed",$D180="Terminated"),0,IF($C180="",1,IF($C180="Portfolio",0,IF($C180="Outside the portfolio",IF($Q180=1,2,0),IF($B180="Project",IF(IFERROR(INDEX($B$6:$B$305,MATCH($C180,$A$6:$A$305,0)),"")="Program",0,1),1)))))</f>
        <v/>
      </c>
      <c r="AD180" s="31">
        <f>IF(AND($A180&lt;&gt;"",OR($M180="■ Red",$M180="◧ Amber"),$L180=""),1,0)</f>
        <v/>
      </c>
      <c r="AE180" s="31">
        <f>$AA180+$AB180+IF($AC180&gt;0,1,0)+$AD180</f>
        <v/>
      </c>
      <c r="AJ180" s="14" t="n"/>
      <c r="AK180" s="29" t="n"/>
      <c r="AL180" s="31">
        <f>IF(AND($Q180=1,$Z180=1),1,0)</f>
        <v/>
      </c>
      <c r="AM180" s="31">
        <f>IF(AND($AL180=1,$AJ180&lt;&gt;""),MAX(0,TODAY()-$AJ180),"")</f>
        <v/>
      </c>
      <c r="AN180" s="31">
        <f>IF(OR($AL180=0,COUNT($AJ$6:$AJ$305)=0),0,IF($AJ180="",1,IF(TODAY()-$AJ180&gt;Board!$B$40,1,0)))</f>
        <v/>
      </c>
      <c r="AO180" s="31">
        <f>IF($AL180=0,0,IF($M180="■ Red",3,IF($M180="◧ Amber",2,IF($M180="□ On track",1,0))))</f>
        <v/>
      </c>
      <c r="AP180" s="31">
        <f>IF($AL180=0,0,IF($AK180="Will not hold",3,IF($AK180="At risk",2,IF($AK180="Will hold",1,0))))</f>
        <v/>
      </c>
      <c r="AQ180" s="31">
        <f>IF($AL180=0,"",IF($AO180=3,0,IF($AO180=2,1,IF(AND($AP180&gt;=2,$AP180&gt;$AO180),2,""))))</f>
        <v/>
      </c>
      <c r="AR180" s="31">
        <f>IF($AQ180="","",$AQ180*1000+180)</f>
        <v/>
      </c>
      <c r="AS180" s="31">
        <f>IF(AND($AL180=1,$AO180&gt;=2,$AP180&gt;=1,$AP180&lt;$AO180),1,0)</f>
        <v/>
      </c>
      <c r="AT180" s="31">
        <f>IF(AND($AL180=1,$AO180&gt;=2,$AP180=0),1,0)</f>
        <v/>
      </c>
      <c r="AU180" s="31">
        <f>IF(AND($AL180=1,$U180&lt;&gt;"",$U180&lt;TODAY()),1,0)</f>
        <v/>
      </c>
      <c r="AV180" s="31">
        <f>IF(OR($A180="",$AJ180="",Portfolio!$B$10=""),0,IF($AJ180&lt;=Portfolio!$B$10,0,IF(AND($D180="Completed",$Z180=1),1,IF(AND($D180="Terminated",$Z180=1),2,IF(AND($Q180=1,$Z180=0),3,0)))))</f>
        <v/>
      </c>
      <c r="AW180" s="31">
        <f>IF($AV180&gt;0,COUNTIF($AV$6:$AV180,"&gt;0"),"")</f>
        <v/>
      </c>
      <c r="AX180" s="31">
        <f>IF($AL180=0,"",IF(AND($B180="Project",$H180&lt;&gt;"",$H180&lt;TODAY()),"Planned finish "&amp;TEXT($H180,"d mmm")&amp;" has passed",IF($X180&gt;=2,(NETWORKDAYS($H180,$U180)-1)&amp;" working days past plan","")))</f>
        <v/>
      </c>
      <c r="AY180" s="31">
        <f>IF($AL180=0,"",IF($Y180&gt;=2,"Over budget by "&amp;TEXT(IF($B180="Program",$V180,$J180)-$K180,"#,##0"),""))</f>
        <v/>
      </c>
      <c r="AZ180" s="31">
        <f>IF(AND($AL180=1,$U180&lt;&gt;""),IF(AND(N($U180)&gt;=TODAY(),N($U180)&lt;=TODAY()+Board!$B$41),1,0),0)</f>
        <v/>
      </c>
    </row>
    <row r="181">
      <c r="A181" s="29" t="n"/>
      <c r="B181" s="29" t="n"/>
      <c r="C181" s="29" t="n"/>
      <c r="D181" s="29" t="n"/>
      <c r="E181" s="29" t="n"/>
      <c r="F181" s="29" t="n"/>
      <c r="G181" s="29" t="n"/>
      <c r="H181" s="30" t="n"/>
      <c r="I181" s="30" t="n"/>
      <c r="J181" s="19" t="n"/>
      <c r="K181" s="19" t="n"/>
      <c r="L181" s="26" t="n"/>
      <c r="M181" s="31">
        <f>IF($A181="","",IF($D181="","Not read",IF($Q181=0,"Not counted",IF(MAX($X181,$Y181)=3,"■ Red",IF(MAX($X181,$Y181)=2,"◧ Amber",IF(MAX($X181,$Y181)=1,"□ On track","Not read"))))))</f>
        <v/>
      </c>
      <c r="N181" s="31">
        <f>IF(OR($A181="",$B181&lt;&gt;"Program"),"","■ "&amp;COUNTIFS($C$6:$C$305,$A181,$M$6:$M$305,"■ Red")&amp;" Red, ◧ "&amp;COUNTIFS($C$6:$C$305,$A181,$M$6:$M$305,"◧ Amber")&amp;" Amber")</f>
        <v/>
      </c>
      <c r="O181" s="32">
        <f>IF(OR($A181="",$E181=""),"",COUNTIFS($E$6:$E$305,$E181,$D$6:$D$305,"Active")+COUNTIFS($E$6:$E$305,$E181,$D$6:$D$305,"Paused"))</f>
        <v/>
      </c>
      <c r="P181" s="31">
        <f>IF($A181="","",IF($AE181=0,"○ Clear",IF($AA181=1,"△ No owner",IF($AC181=1,"△ Check Sits under",IF($AC181=2,"△ Outside the portfolio",IF($AB181=1,"△ No sponsor","△ No variance note"))))&amp;IF($AE181&gt;1," (+"&amp;($AE181-1)&amp;" more)","")))</f>
        <v/>
      </c>
      <c r="Q181" s="31">
        <f>IF(AND($A181&lt;&gt;"",OR($D181="Active",$D181="Paused")),1,0)</f>
        <v/>
      </c>
      <c r="R181" s="31">
        <f>IFERROR(INDEX($A$6:$A$305,MATCH(174,$S$6:$S$305,0)),"")</f>
        <v/>
      </c>
      <c r="S181" s="31">
        <f>IF(AND($A181&lt;&gt;"",$B181="Program"),COUNTIFS($B$6:$B181,"Program",$A$6:$A181,"&lt;&gt;"),"")</f>
        <v/>
      </c>
      <c r="T181" s="33">
        <f>IF(AND($A181&lt;&gt;"",$B181="Program"),SUMPRODUCT(MAX(($C$6:$C$305=$A181)*($B$6:$B$305="Project")*($D$6:$D$305&lt;&gt;"Proposed")*$I$6:$I$305)),0)</f>
        <v/>
      </c>
      <c r="U181" s="33">
        <f>IF($I181&lt;&gt;"",$I181,IF($T181&gt;0,$T181,""))</f>
        <v/>
      </c>
      <c r="V181" s="31">
        <f>IF(AND($A181&lt;&gt;"",$B181="Program"),SUMIFS($J$6:$J$305,$C$6:$C$305,$A181,$B$6:$B$305,"Project",$D$6:$D$305,"&lt;&gt;Proposed"),0)</f>
        <v/>
      </c>
      <c r="W181" s="31">
        <f>IF(AND($A181&lt;&gt;"",$B181="Program"),COUNTIFS($C$6:$C$305,$A181,$B$6:$B$305,"Project",$D$6:$D$305,"&lt;&gt;Proposed")-COUNTIFS($C$6:$C$305,$A181,$B$6:$B$305,"Project",$D$6:$D$305,"&lt;&gt;Proposed",$J$6:$J$305,"&gt;=0"),0)</f>
        <v/>
      </c>
      <c r="X181" s="31">
        <f>IF(OR($Q181=0,$H181=""),0,IF(AND($B181="Project",$H181&lt;TODAY()),3,IF($U181="",0,IF($U181&lt;=$H181,1,IF(NETWORKDAYS($H181,$U181)-1&gt;IF($B181="Program",Portfolio!$B$16,Portfolio!$B$15),3,2)))))</f>
        <v/>
      </c>
      <c r="Y181" s="31">
        <f>IF(OR($Q181=0,$K181="",$K181=0),0,IF(AND($B181="Project",$J181=""),0,IF(IF($B181="Program",$V181,$J181)&gt;$K181*(1+Portfolio!$B$17),3,IF(IF($B181="Program",$V181,$J181)&gt;$K181,2,IF(AND($B181="Program",OR($W181&gt;0,$V181=0)),0,1)))))</f>
        <v/>
      </c>
      <c r="Z181" s="31">
        <f>IF($A181="",0,IF($C181="Portfolio",1,IF(AND($B181="Project",$C181&lt;&gt;"",$C181&lt;&gt;"Outside the portfolio"),IFERROR(IF(AND(INDEX($B$6:$B$305,MATCH($C181,$A$6:$A$305,0))="Program",INDEX($C$6:$C$305,MATCH($C181,$A$6:$A$305,0))="Portfolio"),1,0),0),0)))</f>
        <v/>
      </c>
      <c r="AA181" s="31">
        <f>IF(AND($A181&lt;&gt;"",$E181="",OR($Q181=1,$D181="Proposed")),1,0)</f>
        <v/>
      </c>
      <c r="AB181" s="31">
        <f>IF(AND($A181&lt;&gt;"",$B181="Program",$F181="",$Q181=1),1,0)</f>
        <v/>
      </c>
      <c r="AC181" s="31">
        <f>IF(OR($A181="",$D181="Completed",$D181="Terminated"),0,IF($C181="",1,IF($C181="Portfolio",0,IF($C181="Outside the portfolio",IF($Q181=1,2,0),IF($B181="Project",IF(IFERROR(INDEX($B$6:$B$305,MATCH($C181,$A$6:$A$305,0)),"")="Program",0,1),1)))))</f>
        <v/>
      </c>
      <c r="AD181" s="31">
        <f>IF(AND($A181&lt;&gt;"",OR($M181="■ Red",$M181="◧ Amber"),$L181=""),1,0)</f>
        <v/>
      </c>
      <c r="AE181" s="31">
        <f>$AA181+$AB181+IF($AC181&gt;0,1,0)+$AD181</f>
        <v/>
      </c>
      <c r="AJ181" s="14" t="n"/>
      <c r="AK181" s="29" t="n"/>
      <c r="AL181" s="31">
        <f>IF(AND($Q181=1,$Z181=1),1,0)</f>
        <v/>
      </c>
      <c r="AM181" s="31">
        <f>IF(AND($AL181=1,$AJ181&lt;&gt;""),MAX(0,TODAY()-$AJ181),"")</f>
        <v/>
      </c>
      <c r="AN181" s="31">
        <f>IF(OR($AL181=0,COUNT($AJ$6:$AJ$305)=0),0,IF($AJ181="",1,IF(TODAY()-$AJ181&gt;Board!$B$40,1,0)))</f>
        <v/>
      </c>
      <c r="AO181" s="31">
        <f>IF($AL181=0,0,IF($M181="■ Red",3,IF($M181="◧ Amber",2,IF($M181="□ On track",1,0))))</f>
        <v/>
      </c>
      <c r="AP181" s="31">
        <f>IF($AL181=0,0,IF($AK181="Will not hold",3,IF($AK181="At risk",2,IF($AK181="Will hold",1,0))))</f>
        <v/>
      </c>
      <c r="AQ181" s="31">
        <f>IF($AL181=0,"",IF($AO181=3,0,IF($AO181=2,1,IF(AND($AP181&gt;=2,$AP181&gt;$AO181),2,""))))</f>
        <v/>
      </c>
      <c r="AR181" s="31">
        <f>IF($AQ181="","",$AQ181*1000+181)</f>
        <v/>
      </c>
      <c r="AS181" s="31">
        <f>IF(AND($AL181=1,$AO181&gt;=2,$AP181&gt;=1,$AP181&lt;$AO181),1,0)</f>
        <v/>
      </c>
      <c r="AT181" s="31">
        <f>IF(AND($AL181=1,$AO181&gt;=2,$AP181=0),1,0)</f>
        <v/>
      </c>
      <c r="AU181" s="31">
        <f>IF(AND($AL181=1,$U181&lt;&gt;"",$U181&lt;TODAY()),1,0)</f>
        <v/>
      </c>
      <c r="AV181" s="31">
        <f>IF(OR($A181="",$AJ181="",Portfolio!$B$10=""),0,IF($AJ181&lt;=Portfolio!$B$10,0,IF(AND($D181="Completed",$Z181=1),1,IF(AND($D181="Terminated",$Z181=1),2,IF(AND($Q181=1,$Z181=0),3,0)))))</f>
        <v/>
      </c>
      <c r="AW181" s="31">
        <f>IF($AV181&gt;0,COUNTIF($AV$6:$AV181,"&gt;0"),"")</f>
        <v/>
      </c>
      <c r="AX181" s="31">
        <f>IF($AL181=0,"",IF(AND($B181="Project",$H181&lt;&gt;"",$H181&lt;TODAY()),"Planned finish "&amp;TEXT($H181,"d mmm")&amp;" has passed",IF($X181&gt;=2,(NETWORKDAYS($H181,$U181)-1)&amp;" working days past plan","")))</f>
        <v/>
      </c>
      <c r="AY181" s="31">
        <f>IF($AL181=0,"",IF($Y181&gt;=2,"Over budget by "&amp;TEXT(IF($B181="Program",$V181,$J181)-$K181,"#,##0"),""))</f>
        <v/>
      </c>
      <c r="AZ181" s="31">
        <f>IF(AND($AL181=1,$U181&lt;&gt;""),IF(AND(N($U181)&gt;=TODAY(),N($U181)&lt;=TODAY()+Board!$B$41),1,0),0)</f>
        <v/>
      </c>
    </row>
    <row r="182">
      <c r="A182" s="29" t="n"/>
      <c r="B182" s="29" t="n"/>
      <c r="C182" s="29" t="n"/>
      <c r="D182" s="29" t="n"/>
      <c r="E182" s="29" t="n"/>
      <c r="F182" s="29" t="n"/>
      <c r="G182" s="29" t="n"/>
      <c r="H182" s="30" t="n"/>
      <c r="I182" s="30" t="n"/>
      <c r="J182" s="19" t="n"/>
      <c r="K182" s="19" t="n"/>
      <c r="L182" s="26" t="n"/>
      <c r="M182" s="31">
        <f>IF($A182="","",IF($D182="","Not read",IF($Q182=0,"Not counted",IF(MAX($X182,$Y182)=3,"■ Red",IF(MAX($X182,$Y182)=2,"◧ Amber",IF(MAX($X182,$Y182)=1,"□ On track","Not read"))))))</f>
        <v/>
      </c>
      <c r="N182" s="31">
        <f>IF(OR($A182="",$B182&lt;&gt;"Program"),"","■ "&amp;COUNTIFS($C$6:$C$305,$A182,$M$6:$M$305,"■ Red")&amp;" Red, ◧ "&amp;COUNTIFS($C$6:$C$305,$A182,$M$6:$M$305,"◧ Amber")&amp;" Amber")</f>
        <v/>
      </c>
      <c r="O182" s="32">
        <f>IF(OR($A182="",$E182=""),"",COUNTIFS($E$6:$E$305,$E182,$D$6:$D$305,"Active")+COUNTIFS($E$6:$E$305,$E182,$D$6:$D$305,"Paused"))</f>
        <v/>
      </c>
      <c r="P182" s="31">
        <f>IF($A182="","",IF($AE182=0,"○ Clear",IF($AA182=1,"△ No owner",IF($AC182=1,"△ Check Sits under",IF($AC182=2,"△ Outside the portfolio",IF($AB182=1,"△ No sponsor","△ No variance note"))))&amp;IF($AE182&gt;1," (+"&amp;($AE182-1)&amp;" more)","")))</f>
        <v/>
      </c>
      <c r="Q182" s="31">
        <f>IF(AND($A182&lt;&gt;"",OR($D182="Active",$D182="Paused")),1,0)</f>
        <v/>
      </c>
      <c r="R182" s="31">
        <f>IFERROR(INDEX($A$6:$A$305,MATCH(175,$S$6:$S$305,0)),"")</f>
        <v/>
      </c>
      <c r="S182" s="31">
        <f>IF(AND($A182&lt;&gt;"",$B182="Program"),COUNTIFS($B$6:$B182,"Program",$A$6:$A182,"&lt;&gt;"),"")</f>
        <v/>
      </c>
      <c r="T182" s="33">
        <f>IF(AND($A182&lt;&gt;"",$B182="Program"),SUMPRODUCT(MAX(($C$6:$C$305=$A182)*($B$6:$B$305="Project")*($D$6:$D$305&lt;&gt;"Proposed")*$I$6:$I$305)),0)</f>
        <v/>
      </c>
      <c r="U182" s="33">
        <f>IF($I182&lt;&gt;"",$I182,IF($T182&gt;0,$T182,""))</f>
        <v/>
      </c>
      <c r="V182" s="31">
        <f>IF(AND($A182&lt;&gt;"",$B182="Program"),SUMIFS($J$6:$J$305,$C$6:$C$305,$A182,$B$6:$B$305,"Project",$D$6:$D$305,"&lt;&gt;Proposed"),0)</f>
        <v/>
      </c>
      <c r="W182" s="31">
        <f>IF(AND($A182&lt;&gt;"",$B182="Program"),COUNTIFS($C$6:$C$305,$A182,$B$6:$B$305,"Project",$D$6:$D$305,"&lt;&gt;Proposed")-COUNTIFS($C$6:$C$305,$A182,$B$6:$B$305,"Project",$D$6:$D$305,"&lt;&gt;Proposed",$J$6:$J$305,"&gt;=0"),0)</f>
        <v/>
      </c>
      <c r="X182" s="31">
        <f>IF(OR($Q182=0,$H182=""),0,IF(AND($B182="Project",$H182&lt;TODAY()),3,IF($U182="",0,IF($U182&lt;=$H182,1,IF(NETWORKDAYS($H182,$U182)-1&gt;IF($B182="Program",Portfolio!$B$16,Portfolio!$B$15),3,2)))))</f>
        <v/>
      </c>
      <c r="Y182" s="31">
        <f>IF(OR($Q182=0,$K182="",$K182=0),0,IF(AND($B182="Project",$J182=""),0,IF(IF($B182="Program",$V182,$J182)&gt;$K182*(1+Portfolio!$B$17),3,IF(IF($B182="Program",$V182,$J182)&gt;$K182,2,IF(AND($B182="Program",OR($W182&gt;0,$V182=0)),0,1)))))</f>
        <v/>
      </c>
      <c r="Z182" s="31">
        <f>IF($A182="",0,IF($C182="Portfolio",1,IF(AND($B182="Project",$C182&lt;&gt;"",$C182&lt;&gt;"Outside the portfolio"),IFERROR(IF(AND(INDEX($B$6:$B$305,MATCH($C182,$A$6:$A$305,0))="Program",INDEX($C$6:$C$305,MATCH($C182,$A$6:$A$305,0))="Portfolio"),1,0),0),0)))</f>
        <v/>
      </c>
      <c r="AA182" s="31">
        <f>IF(AND($A182&lt;&gt;"",$E182="",OR($Q182=1,$D182="Proposed")),1,0)</f>
        <v/>
      </c>
      <c r="AB182" s="31">
        <f>IF(AND($A182&lt;&gt;"",$B182="Program",$F182="",$Q182=1),1,0)</f>
        <v/>
      </c>
      <c r="AC182" s="31">
        <f>IF(OR($A182="",$D182="Completed",$D182="Terminated"),0,IF($C182="",1,IF($C182="Portfolio",0,IF($C182="Outside the portfolio",IF($Q182=1,2,0),IF($B182="Project",IF(IFERROR(INDEX($B$6:$B$305,MATCH($C182,$A$6:$A$305,0)),"")="Program",0,1),1)))))</f>
        <v/>
      </c>
      <c r="AD182" s="31">
        <f>IF(AND($A182&lt;&gt;"",OR($M182="■ Red",$M182="◧ Amber"),$L182=""),1,0)</f>
        <v/>
      </c>
      <c r="AE182" s="31">
        <f>$AA182+$AB182+IF($AC182&gt;0,1,0)+$AD182</f>
        <v/>
      </c>
      <c r="AJ182" s="14" t="n"/>
      <c r="AK182" s="29" t="n"/>
      <c r="AL182" s="31">
        <f>IF(AND($Q182=1,$Z182=1),1,0)</f>
        <v/>
      </c>
      <c r="AM182" s="31">
        <f>IF(AND($AL182=1,$AJ182&lt;&gt;""),MAX(0,TODAY()-$AJ182),"")</f>
        <v/>
      </c>
      <c r="AN182" s="31">
        <f>IF(OR($AL182=0,COUNT($AJ$6:$AJ$305)=0),0,IF($AJ182="",1,IF(TODAY()-$AJ182&gt;Board!$B$40,1,0)))</f>
        <v/>
      </c>
      <c r="AO182" s="31">
        <f>IF($AL182=0,0,IF($M182="■ Red",3,IF($M182="◧ Amber",2,IF($M182="□ On track",1,0))))</f>
        <v/>
      </c>
      <c r="AP182" s="31">
        <f>IF($AL182=0,0,IF($AK182="Will not hold",3,IF($AK182="At risk",2,IF($AK182="Will hold",1,0))))</f>
        <v/>
      </c>
      <c r="AQ182" s="31">
        <f>IF($AL182=0,"",IF($AO182=3,0,IF($AO182=2,1,IF(AND($AP182&gt;=2,$AP182&gt;$AO182),2,""))))</f>
        <v/>
      </c>
      <c r="AR182" s="31">
        <f>IF($AQ182="","",$AQ182*1000+182)</f>
        <v/>
      </c>
      <c r="AS182" s="31">
        <f>IF(AND($AL182=1,$AO182&gt;=2,$AP182&gt;=1,$AP182&lt;$AO182),1,0)</f>
        <v/>
      </c>
      <c r="AT182" s="31">
        <f>IF(AND($AL182=1,$AO182&gt;=2,$AP182=0),1,0)</f>
        <v/>
      </c>
      <c r="AU182" s="31">
        <f>IF(AND($AL182=1,$U182&lt;&gt;"",$U182&lt;TODAY()),1,0)</f>
        <v/>
      </c>
      <c r="AV182" s="31">
        <f>IF(OR($A182="",$AJ182="",Portfolio!$B$10=""),0,IF($AJ182&lt;=Portfolio!$B$10,0,IF(AND($D182="Completed",$Z182=1),1,IF(AND($D182="Terminated",$Z182=1),2,IF(AND($Q182=1,$Z182=0),3,0)))))</f>
        <v/>
      </c>
      <c r="AW182" s="31">
        <f>IF($AV182&gt;0,COUNTIF($AV$6:$AV182,"&gt;0"),"")</f>
        <v/>
      </c>
      <c r="AX182" s="31">
        <f>IF($AL182=0,"",IF(AND($B182="Project",$H182&lt;&gt;"",$H182&lt;TODAY()),"Planned finish "&amp;TEXT($H182,"d mmm")&amp;" has passed",IF($X182&gt;=2,(NETWORKDAYS($H182,$U182)-1)&amp;" working days past plan","")))</f>
        <v/>
      </c>
      <c r="AY182" s="31">
        <f>IF($AL182=0,"",IF($Y182&gt;=2,"Over budget by "&amp;TEXT(IF($B182="Program",$V182,$J182)-$K182,"#,##0"),""))</f>
        <v/>
      </c>
      <c r="AZ182" s="31">
        <f>IF(AND($AL182=1,$U182&lt;&gt;""),IF(AND(N($U182)&gt;=TODAY(),N($U182)&lt;=TODAY()+Board!$B$41),1,0),0)</f>
        <v/>
      </c>
    </row>
    <row r="183">
      <c r="A183" s="29" t="n"/>
      <c r="B183" s="29" t="n"/>
      <c r="C183" s="29" t="n"/>
      <c r="D183" s="29" t="n"/>
      <c r="E183" s="29" t="n"/>
      <c r="F183" s="29" t="n"/>
      <c r="G183" s="29" t="n"/>
      <c r="H183" s="30" t="n"/>
      <c r="I183" s="30" t="n"/>
      <c r="J183" s="19" t="n"/>
      <c r="K183" s="19" t="n"/>
      <c r="L183" s="26" t="n"/>
      <c r="M183" s="31">
        <f>IF($A183="","",IF($D183="","Not read",IF($Q183=0,"Not counted",IF(MAX($X183,$Y183)=3,"■ Red",IF(MAX($X183,$Y183)=2,"◧ Amber",IF(MAX($X183,$Y183)=1,"□ On track","Not read"))))))</f>
        <v/>
      </c>
      <c r="N183" s="31">
        <f>IF(OR($A183="",$B183&lt;&gt;"Program"),"","■ "&amp;COUNTIFS($C$6:$C$305,$A183,$M$6:$M$305,"■ Red")&amp;" Red, ◧ "&amp;COUNTIFS($C$6:$C$305,$A183,$M$6:$M$305,"◧ Amber")&amp;" Amber")</f>
        <v/>
      </c>
      <c r="O183" s="32">
        <f>IF(OR($A183="",$E183=""),"",COUNTIFS($E$6:$E$305,$E183,$D$6:$D$305,"Active")+COUNTIFS($E$6:$E$305,$E183,$D$6:$D$305,"Paused"))</f>
        <v/>
      </c>
      <c r="P183" s="31">
        <f>IF($A183="","",IF($AE183=0,"○ Clear",IF($AA183=1,"△ No owner",IF($AC183=1,"△ Check Sits under",IF($AC183=2,"△ Outside the portfolio",IF($AB183=1,"△ No sponsor","△ No variance note"))))&amp;IF($AE183&gt;1," (+"&amp;($AE183-1)&amp;" more)","")))</f>
        <v/>
      </c>
      <c r="Q183" s="31">
        <f>IF(AND($A183&lt;&gt;"",OR($D183="Active",$D183="Paused")),1,0)</f>
        <v/>
      </c>
      <c r="R183" s="31">
        <f>IFERROR(INDEX($A$6:$A$305,MATCH(176,$S$6:$S$305,0)),"")</f>
        <v/>
      </c>
      <c r="S183" s="31">
        <f>IF(AND($A183&lt;&gt;"",$B183="Program"),COUNTIFS($B$6:$B183,"Program",$A$6:$A183,"&lt;&gt;"),"")</f>
        <v/>
      </c>
      <c r="T183" s="33">
        <f>IF(AND($A183&lt;&gt;"",$B183="Program"),SUMPRODUCT(MAX(($C$6:$C$305=$A183)*($B$6:$B$305="Project")*($D$6:$D$305&lt;&gt;"Proposed")*$I$6:$I$305)),0)</f>
        <v/>
      </c>
      <c r="U183" s="33">
        <f>IF($I183&lt;&gt;"",$I183,IF($T183&gt;0,$T183,""))</f>
        <v/>
      </c>
      <c r="V183" s="31">
        <f>IF(AND($A183&lt;&gt;"",$B183="Program"),SUMIFS($J$6:$J$305,$C$6:$C$305,$A183,$B$6:$B$305,"Project",$D$6:$D$305,"&lt;&gt;Proposed"),0)</f>
        <v/>
      </c>
      <c r="W183" s="31">
        <f>IF(AND($A183&lt;&gt;"",$B183="Program"),COUNTIFS($C$6:$C$305,$A183,$B$6:$B$305,"Project",$D$6:$D$305,"&lt;&gt;Proposed")-COUNTIFS($C$6:$C$305,$A183,$B$6:$B$305,"Project",$D$6:$D$305,"&lt;&gt;Proposed",$J$6:$J$305,"&gt;=0"),0)</f>
        <v/>
      </c>
      <c r="X183" s="31">
        <f>IF(OR($Q183=0,$H183=""),0,IF(AND($B183="Project",$H183&lt;TODAY()),3,IF($U183="",0,IF($U183&lt;=$H183,1,IF(NETWORKDAYS($H183,$U183)-1&gt;IF($B183="Program",Portfolio!$B$16,Portfolio!$B$15),3,2)))))</f>
        <v/>
      </c>
      <c r="Y183" s="31">
        <f>IF(OR($Q183=0,$K183="",$K183=0),0,IF(AND($B183="Project",$J183=""),0,IF(IF($B183="Program",$V183,$J183)&gt;$K183*(1+Portfolio!$B$17),3,IF(IF($B183="Program",$V183,$J183)&gt;$K183,2,IF(AND($B183="Program",OR($W183&gt;0,$V183=0)),0,1)))))</f>
        <v/>
      </c>
      <c r="Z183" s="31">
        <f>IF($A183="",0,IF($C183="Portfolio",1,IF(AND($B183="Project",$C183&lt;&gt;"",$C183&lt;&gt;"Outside the portfolio"),IFERROR(IF(AND(INDEX($B$6:$B$305,MATCH($C183,$A$6:$A$305,0))="Program",INDEX($C$6:$C$305,MATCH($C183,$A$6:$A$305,0))="Portfolio"),1,0),0),0)))</f>
        <v/>
      </c>
      <c r="AA183" s="31">
        <f>IF(AND($A183&lt;&gt;"",$E183="",OR($Q183=1,$D183="Proposed")),1,0)</f>
        <v/>
      </c>
      <c r="AB183" s="31">
        <f>IF(AND($A183&lt;&gt;"",$B183="Program",$F183="",$Q183=1),1,0)</f>
        <v/>
      </c>
      <c r="AC183" s="31">
        <f>IF(OR($A183="",$D183="Completed",$D183="Terminated"),0,IF($C183="",1,IF($C183="Portfolio",0,IF($C183="Outside the portfolio",IF($Q183=1,2,0),IF($B183="Project",IF(IFERROR(INDEX($B$6:$B$305,MATCH($C183,$A$6:$A$305,0)),"")="Program",0,1),1)))))</f>
        <v/>
      </c>
      <c r="AD183" s="31">
        <f>IF(AND($A183&lt;&gt;"",OR($M183="■ Red",$M183="◧ Amber"),$L183=""),1,0)</f>
        <v/>
      </c>
      <c r="AE183" s="31">
        <f>$AA183+$AB183+IF($AC183&gt;0,1,0)+$AD183</f>
        <v/>
      </c>
      <c r="AJ183" s="14" t="n"/>
      <c r="AK183" s="29" t="n"/>
      <c r="AL183" s="31">
        <f>IF(AND($Q183=1,$Z183=1),1,0)</f>
        <v/>
      </c>
      <c r="AM183" s="31">
        <f>IF(AND($AL183=1,$AJ183&lt;&gt;""),MAX(0,TODAY()-$AJ183),"")</f>
        <v/>
      </c>
      <c r="AN183" s="31">
        <f>IF(OR($AL183=0,COUNT($AJ$6:$AJ$305)=0),0,IF($AJ183="",1,IF(TODAY()-$AJ183&gt;Board!$B$40,1,0)))</f>
        <v/>
      </c>
      <c r="AO183" s="31">
        <f>IF($AL183=0,0,IF($M183="■ Red",3,IF($M183="◧ Amber",2,IF($M183="□ On track",1,0))))</f>
        <v/>
      </c>
      <c r="AP183" s="31">
        <f>IF($AL183=0,0,IF($AK183="Will not hold",3,IF($AK183="At risk",2,IF($AK183="Will hold",1,0))))</f>
        <v/>
      </c>
      <c r="AQ183" s="31">
        <f>IF($AL183=0,"",IF($AO183=3,0,IF($AO183=2,1,IF(AND($AP183&gt;=2,$AP183&gt;$AO183),2,""))))</f>
        <v/>
      </c>
      <c r="AR183" s="31">
        <f>IF($AQ183="","",$AQ183*1000+183)</f>
        <v/>
      </c>
      <c r="AS183" s="31">
        <f>IF(AND($AL183=1,$AO183&gt;=2,$AP183&gt;=1,$AP183&lt;$AO183),1,0)</f>
        <v/>
      </c>
      <c r="AT183" s="31">
        <f>IF(AND($AL183=1,$AO183&gt;=2,$AP183=0),1,0)</f>
        <v/>
      </c>
      <c r="AU183" s="31">
        <f>IF(AND($AL183=1,$U183&lt;&gt;"",$U183&lt;TODAY()),1,0)</f>
        <v/>
      </c>
      <c r="AV183" s="31">
        <f>IF(OR($A183="",$AJ183="",Portfolio!$B$10=""),0,IF($AJ183&lt;=Portfolio!$B$10,0,IF(AND($D183="Completed",$Z183=1),1,IF(AND($D183="Terminated",$Z183=1),2,IF(AND($Q183=1,$Z183=0),3,0)))))</f>
        <v/>
      </c>
      <c r="AW183" s="31">
        <f>IF($AV183&gt;0,COUNTIF($AV$6:$AV183,"&gt;0"),"")</f>
        <v/>
      </c>
      <c r="AX183" s="31">
        <f>IF($AL183=0,"",IF(AND($B183="Project",$H183&lt;&gt;"",$H183&lt;TODAY()),"Planned finish "&amp;TEXT($H183,"d mmm")&amp;" has passed",IF($X183&gt;=2,(NETWORKDAYS($H183,$U183)-1)&amp;" working days past plan","")))</f>
        <v/>
      </c>
      <c r="AY183" s="31">
        <f>IF($AL183=0,"",IF($Y183&gt;=2,"Over budget by "&amp;TEXT(IF($B183="Program",$V183,$J183)-$K183,"#,##0"),""))</f>
        <v/>
      </c>
      <c r="AZ183" s="31">
        <f>IF(AND($AL183=1,$U183&lt;&gt;""),IF(AND(N($U183)&gt;=TODAY(),N($U183)&lt;=TODAY()+Board!$B$41),1,0),0)</f>
        <v/>
      </c>
    </row>
    <row r="184">
      <c r="A184" s="29" t="n"/>
      <c r="B184" s="29" t="n"/>
      <c r="C184" s="29" t="n"/>
      <c r="D184" s="29" t="n"/>
      <c r="E184" s="29" t="n"/>
      <c r="F184" s="29" t="n"/>
      <c r="G184" s="29" t="n"/>
      <c r="H184" s="30" t="n"/>
      <c r="I184" s="30" t="n"/>
      <c r="J184" s="19" t="n"/>
      <c r="K184" s="19" t="n"/>
      <c r="L184" s="26" t="n"/>
      <c r="M184" s="31">
        <f>IF($A184="","",IF($D184="","Not read",IF($Q184=0,"Not counted",IF(MAX($X184,$Y184)=3,"■ Red",IF(MAX($X184,$Y184)=2,"◧ Amber",IF(MAX($X184,$Y184)=1,"□ On track","Not read"))))))</f>
        <v/>
      </c>
      <c r="N184" s="31">
        <f>IF(OR($A184="",$B184&lt;&gt;"Program"),"","■ "&amp;COUNTIFS($C$6:$C$305,$A184,$M$6:$M$305,"■ Red")&amp;" Red, ◧ "&amp;COUNTIFS($C$6:$C$305,$A184,$M$6:$M$305,"◧ Amber")&amp;" Amber")</f>
        <v/>
      </c>
      <c r="O184" s="32">
        <f>IF(OR($A184="",$E184=""),"",COUNTIFS($E$6:$E$305,$E184,$D$6:$D$305,"Active")+COUNTIFS($E$6:$E$305,$E184,$D$6:$D$305,"Paused"))</f>
        <v/>
      </c>
      <c r="P184" s="31">
        <f>IF($A184="","",IF($AE184=0,"○ Clear",IF($AA184=1,"△ No owner",IF($AC184=1,"△ Check Sits under",IF($AC184=2,"△ Outside the portfolio",IF($AB184=1,"△ No sponsor","△ No variance note"))))&amp;IF($AE184&gt;1," (+"&amp;($AE184-1)&amp;" more)","")))</f>
        <v/>
      </c>
      <c r="Q184" s="31">
        <f>IF(AND($A184&lt;&gt;"",OR($D184="Active",$D184="Paused")),1,0)</f>
        <v/>
      </c>
      <c r="R184" s="31">
        <f>IFERROR(INDEX($A$6:$A$305,MATCH(177,$S$6:$S$305,0)),"")</f>
        <v/>
      </c>
      <c r="S184" s="31">
        <f>IF(AND($A184&lt;&gt;"",$B184="Program"),COUNTIFS($B$6:$B184,"Program",$A$6:$A184,"&lt;&gt;"),"")</f>
        <v/>
      </c>
      <c r="T184" s="33">
        <f>IF(AND($A184&lt;&gt;"",$B184="Program"),SUMPRODUCT(MAX(($C$6:$C$305=$A184)*($B$6:$B$305="Project")*($D$6:$D$305&lt;&gt;"Proposed")*$I$6:$I$305)),0)</f>
        <v/>
      </c>
      <c r="U184" s="33">
        <f>IF($I184&lt;&gt;"",$I184,IF($T184&gt;0,$T184,""))</f>
        <v/>
      </c>
      <c r="V184" s="31">
        <f>IF(AND($A184&lt;&gt;"",$B184="Program"),SUMIFS($J$6:$J$305,$C$6:$C$305,$A184,$B$6:$B$305,"Project",$D$6:$D$305,"&lt;&gt;Proposed"),0)</f>
        <v/>
      </c>
      <c r="W184" s="31">
        <f>IF(AND($A184&lt;&gt;"",$B184="Program"),COUNTIFS($C$6:$C$305,$A184,$B$6:$B$305,"Project",$D$6:$D$305,"&lt;&gt;Proposed")-COUNTIFS($C$6:$C$305,$A184,$B$6:$B$305,"Project",$D$6:$D$305,"&lt;&gt;Proposed",$J$6:$J$305,"&gt;=0"),0)</f>
        <v/>
      </c>
      <c r="X184" s="31">
        <f>IF(OR($Q184=0,$H184=""),0,IF(AND($B184="Project",$H184&lt;TODAY()),3,IF($U184="",0,IF($U184&lt;=$H184,1,IF(NETWORKDAYS($H184,$U184)-1&gt;IF($B184="Program",Portfolio!$B$16,Portfolio!$B$15),3,2)))))</f>
        <v/>
      </c>
      <c r="Y184" s="31">
        <f>IF(OR($Q184=0,$K184="",$K184=0),0,IF(AND($B184="Project",$J184=""),0,IF(IF($B184="Program",$V184,$J184)&gt;$K184*(1+Portfolio!$B$17),3,IF(IF($B184="Program",$V184,$J184)&gt;$K184,2,IF(AND($B184="Program",OR($W184&gt;0,$V184=0)),0,1)))))</f>
        <v/>
      </c>
      <c r="Z184" s="31">
        <f>IF($A184="",0,IF($C184="Portfolio",1,IF(AND($B184="Project",$C184&lt;&gt;"",$C184&lt;&gt;"Outside the portfolio"),IFERROR(IF(AND(INDEX($B$6:$B$305,MATCH($C184,$A$6:$A$305,0))="Program",INDEX($C$6:$C$305,MATCH($C184,$A$6:$A$305,0))="Portfolio"),1,0),0),0)))</f>
        <v/>
      </c>
      <c r="AA184" s="31">
        <f>IF(AND($A184&lt;&gt;"",$E184="",OR($Q184=1,$D184="Proposed")),1,0)</f>
        <v/>
      </c>
      <c r="AB184" s="31">
        <f>IF(AND($A184&lt;&gt;"",$B184="Program",$F184="",$Q184=1),1,0)</f>
        <v/>
      </c>
      <c r="AC184" s="31">
        <f>IF(OR($A184="",$D184="Completed",$D184="Terminated"),0,IF($C184="",1,IF($C184="Portfolio",0,IF($C184="Outside the portfolio",IF($Q184=1,2,0),IF($B184="Project",IF(IFERROR(INDEX($B$6:$B$305,MATCH($C184,$A$6:$A$305,0)),"")="Program",0,1),1)))))</f>
        <v/>
      </c>
      <c r="AD184" s="31">
        <f>IF(AND($A184&lt;&gt;"",OR($M184="■ Red",$M184="◧ Amber"),$L184=""),1,0)</f>
        <v/>
      </c>
      <c r="AE184" s="31">
        <f>$AA184+$AB184+IF($AC184&gt;0,1,0)+$AD184</f>
        <v/>
      </c>
      <c r="AJ184" s="14" t="n"/>
      <c r="AK184" s="29" t="n"/>
      <c r="AL184" s="31">
        <f>IF(AND($Q184=1,$Z184=1),1,0)</f>
        <v/>
      </c>
      <c r="AM184" s="31">
        <f>IF(AND($AL184=1,$AJ184&lt;&gt;""),MAX(0,TODAY()-$AJ184),"")</f>
        <v/>
      </c>
      <c r="AN184" s="31">
        <f>IF(OR($AL184=0,COUNT($AJ$6:$AJ$305)=0),0,IF($AJ184="",1,IF(TODAY()-$AJ184&gt;Board!$B$40,1,0)))</f>
        <v/>
      </c>
      <c r="AO184" s="31">
        <f>IF($AL184=0,0,IF($M184="■ Red",3,IF($M184="◧ Amber",2,IF($M184="□ On track",1,0))))</f>
        <v/>
      </c>
      <c r="AP184" s="31">
        <f>IF($AL184=0,0,IF($AK184="Will not hold",3,IF($AK184="At risk",2,IF($AK184="Will hold",1,0))))</f>
        <v/>
      </c>
      <c r="AQ184" s="31">
        <f>IF($AL184=0,"",IF($AO184=3,0,IF($AO184=2,1,IF(AND($AP184&gt;=2,$AP184&gt;$AO184),2,""))))</f>
        <v/>
      </c>
      <c r="AR184" s="31">
        <f>IF($AQ184="","",$AQ184*1000+184)</f>
        <v/>
      </c>
      <c r="AS184" s="31">
        <f>IF(AND($AL184=1,$AO184&gt;=2,$AP184&gt;=1,$AP184&lt;$AO184),1,0)</f>
        <v/>
      </c>
      <c r="AT184" s="31">
        <f>IF(AND($AL184=1,$AO184&gt;=2,$AP184=0),1,0)</f>
        <v/>
      </c>
      <c r="AU184" s="31">
        <f>IF(AND($AL184=1,$U184&lt;&gt;"",$U184&lt;TODAY()),1,0)</f>
        <v/>
      </c>
      <c r="AV184" s="31">
        <f>IF(OR($A184="",$AJ184="",Portfolio!$B$10=""),0,IF($AJ184&lt;=Portfolio!$B$10,0,IF(AND($D184="Completed",$Z184=1),1,IF(AND($D184="Terminated",$Z184=1),2,IF(AND($Q184=1,$Z184=0),3,0)))))</f>
        <v/>
      </c>
      <c r="AW184" s="31">
        <f>IF($AV184&gt;0,COUNTIF($AV$6:$AV184,"&gt;0"),"")</f>
        <v/>
      </c>
      <c r="AX184" s="31">
        <f>IF($AL184=0,"",IF(AND($B184="Project",$H184&lt;&gt;"",$H184&lt;TODAY()),"Planned finish "&amp;TEXT($H184,"d mmm")&amp;" has passed",IF($X184&gt;=2,(NETWORKDAYS($H184,$U184)-1)&amp;" working days past plan","")))</f>
        <v/>
      </c>
      <c r="AY184" s="31">
        <f>IF($AL184=0,"",IF($Y184&gt;=2,"Over budget by "&amp;TEXT(IF($B184="Program",$V184,$J184)-$K184,"#,##0"),""))</f>
        <v/>
      </c>
      <c r="AZ184" s="31">
        <f>IF(AND($AL184=1,$U184&lt;&gt;""),IF(AND(N($U184)&gt;=TODAY(),N($U184)&lt;=TODAY()+Board!$B$41),1,0),0)</f>
        <v/>
      </c>
    </row>
    <row r="185">
      <c r="A185" s="29" t="n"/>
      <c r="B185" s="29" t="n"/>
      <c r="C185" s="29" t="n"/>
      <c r="D185" s="29" t="n"/>
      <c r="E185" s="29" t="n"/>
      <c r="F185" s="29" t="n"/>
      <c r="G185" s="29" t="n"/>
      <c r="H185" s="30" t="n"/>
      <c r="I185" s="30" t="n"/>
      <c r="J185" s="19" t="n"/>
      <c r="K185" s="19" t="n"/>
      <c r="L185" s="26" t="n"/>
      <c r="M185" s="31">
        <f>IF($A185="","",IF($D185="","Not read",IF($Q185=0,"Not counted",IF(MAX($X185,$Y185)=3,"■ Red",IF(MAX($X185,$Y185)=2,"◧ Amber",IF(MAX($X185,$Y185)=1,"□ On track","Not read"))))))</f>
        <v/>
      </c>
      <c r="N185" s="31">
        <f>IF(OR($A185="",$B185&lt;&gt;"Program"),"","■ "&amp;COUNTIFS($C$6:$C$305,$A185,$M$6:$M$305,"■ Red")&amp;" Red, ◧ "&amp;COUNTIFS($C$6:$C$305,$A185,$M$6:$M$305,"◧ Amber")&amp;" Amber")</f>
        <v/>
      </c>
      <c r="O185" s="32">
        <f>IF(OR($A185="",$E185=""),"",COUNTIFS($E$6:$E$305,$E185,$D$6:$D$305,"Active")+COUNTIFS($E$6:$E$305,$E185,$D$6:$D$305,"Paused"))</f>
        <v/>
      </c>
      <c r="P185" s="31">
        <f>IF($A185="","",IF($AE185=0,"○ Clear",IF($AA185=1,"△ No owner",IF($AC185=1,"△ Check Sits under",IF($AC185=2,"△ Outside the portfolio",IF($AB185=1,"△ No sponsor","△ No variance note"))))&amp;IF($AE185&gt;1," (+"&amp;($AE185-1)&amp;" more)","")))</f>
        <v/>
      </c>
      <c r="Q185" s="31">
        <f>IF(AND($A185&lt;&gt;"",OR($D185="Active",$D185="Paused")),1,0)</f>
        <v/>
      </c>
      <c r="R185" s="31">
        <f>IFERROR(INDEX($A$6:$A$305,MATCH(178,$S$6:$S$305,0)),"")</f>
        <v/>
      </c>
      <c r="S185" s="31">
        <f>IF(AND($A185&lt;&gt;"",$B185="Program"),COUNTIFS($B$6:$B185,"Program",$A$6:$A185,"&lt;&gt;"),"")</f>
        <v/>
      </c>
      <c r="T185" s="33">
        <f>IF(AND($A185&lt;&gt;"",$B185="Program"),SUMPRODUCT(MAX(($C$6:$C$305=$A185)*($B$6:$B$305="Project")*($D$6:$D$305&lt;&gt;"Proposed")*$I$6:$I$305)),0)</f>
        <v/>
      </c>
      <c r="U185" s="33">
        <f>IF($I185&lt;&gt;"",$I185,IF($T185&gt;0,$T185,""))</f>
        <v/>
      </c>
      <c r="V185" s="31">
        <f>IF(AND($A185&lt;&gt;"",$B185="Program"),SUMIFS($J$6:$J$305,$C$6:$C$305,$A185,$B$6:$B$305,"Project",$D$6:$D$305,"&lt;&gt;Proposed"),0)</f>
        <v/>
      </c>
      <c r="W185" s="31">
        <f>IF(AND($A185&lt;&gt;"",$B185="Program"),COUNTIFS($C$6:$C$305,$A185,$B$6:$B$305,"Project",$D$6:$D$305,"&lt;&gt;Proposed")-COUNTIFS($C$6:$C$305,$A185,$B$6:$B$305,"Project",$D$6:$D$305,"&lt;&gt;Proposed",$J$6:$J$305,"&gt;=0"),0)</f>
        <v/>
      </c>
      <c r="X185" s="31">
        <f>IF(OR($Q185=0,$H185=""),0,IF(AND($B185="Project",$H185&lt;TODAY()),3,IF($U185="",0,IF($U185&lt;=$H185,1,IF(NETWORKDAYS($H185,$U185)-1&gt;IF($B185="Program",Portfolio!$B$16,Portfolio!$B$15),3,2)))))</f>
        <v/>
      </c>
      <c r="Y185" s="31">
        <f>IF(OR($Q185=0,$K185="",$K185=0),0,IF(AND($B185="Project",$J185=""),0,IF(IF($B185="Program",$V185,$J185)&gt;$K185*(1+Portfolio!$B$17),3,IF(IF($B185="Program",$V185,$J185)&gt;$K185,2,IF(AND($B185="Program",OR($W185&gt;0,$V185=0)),0,1)))))</f>
        <v/>
      </c>
      <c r="Z185" s="31">
        <f>IF($A185="",0,IF($C185="Portfolio",1,IF(AND($B185="Project",$C185&lt;&gt;"",$C185&lt;&gt;"Outside the portfolio"),IFERROR(IF(AND(INDEX($B$6:$B$305,MATCH($C185,$A$6:$A$305,0))="Program",INDEX($C$6:$C$305,MATCH($C185,$A$6:$A$305,0))="Portfolio"),1,0),0),0)))</f>
        <v/>
      </c>
      <c r="AA185" s="31">
        <f>IF(AND($A185&lt;&gt;"",$E185="",OR($Q185=1,$D185="Proposed")),1,0)</f>
        <v/>
      </c>
      <c r="AB185" s="31">
        <f>IF(AND($A185&lt;&gt;"",$B185="Program",$F185="",$Q185=1),1,0)</f>
        <v/>
      </c>
      <c r="AC185" s="31">
        <f>IF(OR($A185="",$D185="Completed",$D185="Terminated"),0,IF($C185="",1,IF($C185="Portfolio",0,IF($C185="Outside the portfolio",IF($Q185=1,2,0),IF($B185="Project",IF(IFERROR(INDEX($B$6:$B$305,MATCH($C185,$A$6:$A$305,0)),"")="Program",0,1),1)))))</f>
        <v/>
      </c>
      <c r="AD185" s="31">
        <f>IF(AND($A185&lt;&gt;"",OR($M185="■ Red",$M185="◧ Amber"),$L185=""),1,0)</f>
        <v/>
      </c>
      <c r="AE185" s="31">
        <f>$AA185+$AB185+IF($AC185&gt;0,1,0)+$AD185</f>
        <v/>
      </c>
      <c r="AJ185" s="14" t="n"/>
      <c r="AK185" s="29" t="n"/>
      <c r="AL185" s="31">
        <f>IF(AND($Q185=1,$Z185=1),1,0)</f>
        <v/>
      </c>
      <c r="AM185" s="31">
        <f>IF(AND($AL185=1,$AJ185&lt;&gt;""),MAX(0,TODAY()-$AJ185),"")</f>
        <v/>
      </c>
      <c r="AN185" s="31">
        <f>IF(OR($AL185=0,COUNT($AJ$6:$AJ$305)=0),0,IF($AJ185="",1,IF(TODAY()-$AJ185&gt;Board!$B$40,1,0)))</f>
        <v/>
      </c>
      <c r="AO185" s="31">
        <f>IF($AL185=0,0,IF($M185="■ Red",3,IF($M185="◧ Amber",2,IF($M185="□ On track",1,0))))</f>
        <v/>
      </c>
      <c r="AP185" s="31">
        <f>IF($AL185=0,0,IF($AK185="Will not hold",3,IF($AK185="At risk",2,IF($AK185="Will hold",1,0))))</f>
        <v/>
      </c>
      <c r="AQ185" s="31">
        <f>IF($AL185=0,"",IF($AO185=3,0,IF($AO185=2,1,IF(AND($AP185&gt;=2,$AP185&gt;$AO185),2,""))))</f>
        <v/>
      </c>
      <c r="AR185" s="31">
        <f>IF($AQ185="","",$AQ185*1000+185)</f>
        <v/>
      </c>
      <c r="AS185" s="31">
        <f>IF(AND($AL185=1,$AO185&gt;=2,$AP185&gt;=1,$AP185&lt;$AO185),1,0)</f>
        <v/>
      </c>
      <c r="AT185" s="31">
        <f>IF(AND($AL185=1,$AO185&gt;=2,$AP185=0),1,0)</f>
        <v/>
      </c>
      <c r="AU185" s="31">
        <f>IF(AND($AL185=1,$U185&lt;&gt;"",$U185&lt;TODAY()),1,0)</f>
        <v/>
      </c>
      <c r="AV185" s="31">
        <f>IF(OR($A185="",$AJ185="",Portfolio!$B$10=""),0,IF($AJ185&lt;=Portfolio!$B$10,0,IF(AND($D185="Completed",$Z185=1),1,IF(AND($D185="Terminated",$Z185=1),2,IF(AND($Q185=1,$Z185=0),3,0)))))</f>
        <v/>
      </c>
      <c r="AW185" s="31">
        <f>IF($AV185&gt;0,COUNTIF($AV$6:$AV185,"&gt;0"),"")</f>
        <v/>
      </c>
      <c r="AX185" s="31">
        <f>IF($AL185=0,"",IF(AND($B185="Project",$H185&lt;&gt;"",$H185&lt;TODAY()),"Planned finish "&amp;TEXT($H185,"d mmm")&amp;" has passed",IF($X185&gt;=2,(NETWORKDAYS($H185,$U185)-1)&amp;" working days past plan","")))</f>
        <v/>
      </c>
      <c r="AY185" s="31">
        <f>IF($AL185=0,"",IF($Y185&gt;=2,"Over budget by "&amp;TEXT(IF($B185="Program",$V185,$J185)-$K185,"#,##0"),""))</f>
        <v/>
      </c>
      <c r="AZ185" s="31">
        <f>IF(AND($AL185=1,$U185&lt;&gt;""),IF(AND(N($U185)&gt;=TODAY(),N($U185)&lt;=TODAY()+Board!$B$41),1,0),0)</f>
        <v/>
      </c>
    </row>
    <row r="186">
      <c r="A186" s="29" t="n"/>
      <c r="B186" s="29" t="n"/>
      <c r="C186" s="29" t="n"/>
      <c r="D186" s="29" t="n"/>
      <c r="E186" s="29" t="n"/>
      <c r="F186" s="29" t="n"/>
      <c r="G186" s="29" t="n"/>
      <c r="H186" s="30" t="n"/>
      <c r="I186" s="30" t="n"/>
      <c r="J186" s="19" t="n"/>
      <c r="K186" s="19" t="n"/>
      <c r="L186" s="26" t="n"/>
      <c r="M186" s="31">
        <f>IF($A186="","",IF($D186="","Not read",IF($Q186=0,"Not counted",IF(MAX($X186,$Y186)=3,"■ Red",IF(MAX($X186,$Y186)=2,"◧ Amber",IF(MAX($X186,$Y186)=1,"□ On track","Not read"))))))</f>
        <v/>
      </c>
      <c r="N186" s="31">
        <f>IF(OR($A186="",$B186&lt;&gt;"Program"),"","■ "&amp;COUNTIFS($C$6:$C$305,$A186,$M$6:$M$305,"■ Red")&amp;" Red, ◧ "&amp;COUNTIFS($C$6:$C$305,$A186,$M$6:$M$305,"◧ Amber")&amp;" Amber")</f>
        <v/>
      </c>
      <c r="O186" s="32">
        <f>IF(OR($A186="",$E186=""),"",COUNTIFS($E$6:$E$305,$E186,$D$6:$D$305,"Active")+COUNTIFS($E$6:$E$305,$E186,$D$6:$D$305,"Paused"))</f>
        <v/>
      </c>
      <c r="P186" s="31">
        <f>IF($A186="","",IF($AE186=0,"○ Clear",IF($AA186=1,"△ No owner",IF($AC186=1,"△ Check Sits under",IF($AC186=2,"△ Outside the portfolio",IF($AB186=1,"△ No sponsor","△ No variance note"))))&amp;IF($AE186&gt;1," (+"&amp;($AE186-1)&amp;" more)","")))</f>
        <v/>
      </c>
      <c r="Q186" s="31">
        <f>IF(AND($A186&lt;&gt;"",OR($D186="Active",$D186="Paused")),1,0)</f>
        <v/>
      </c>
      <c r="R186" s="31">
        <f>IFERROR(INDEX($A$6:$A$305,MATCH(179,$S$6:$S$305,0)),"")</f>
        <v/>
      </c>
      <c r="S186" s="31">
        <f>IF(AND($A186&lt;&gt;"",$B186="Program"),COUNTIFS($B$6:$B186,"Program",$A$6:$A186,"&lt;&gt;"),"")</f>
        <v/>
      </c>
      <c r="T186" s="33">
        <f>IF(AND($A186&lt;&gt;"",$B186="Program"),SUMPRODUCT(MAX(($C$6:$C$305=$A186)*($B$6:$B$305="Project")*($D$6:$D$305&lt;&gt;"Proposed")*$I$6:$I$305)),0)</f>
        <v/>
      </c>
      <c r="U186" s="33">
        <f>IF($I186&lt;&gt;"",$I186,IF($T186&gt;0,$T186,""))</f>
        <v/>
      </c>
      <c r="V186" s="31">
        <f>IF(AND($A186&lt;&gt;"",$B186="Program"),SUMIFS($J$6:$J$305,$C$6:$C$305,$A186,$B$6:$B$305,"Project",$D$6:$D$305,"&lt;&gt;Proposed"),0)</f>
        <v/>
      </c>
      <c r="W186" s="31">
        <f>IF(AND($A186&lt;&gt;"",$B186="Program"),COUNTIFS($C$6:$C$305,$A186,$B$6:$B$305,"Project",$D$6:$D$305,"&lt;&gt;Proposed")-COUNTIFS($C$6:$C$305,$A186,$B$6:$B$305,"Project",$D$6:$D$305,"&lt;&gt;Proposed",$J$6:$J$305,"&gt;=0"),0)</f>
        <v/>
      </c>
      <c r="X186" s="31">
        <f>IF(OR($Q186=0,$H186=""),0,IF(AND($B186="Project",$H186&lt;TODAY()),3,IF($U186="",0,IF($U186&lt;=$H186,1,IF(NETWORKDAYS($H186,$U186)-1&gt;IF($B186="Program",Portfolio!$B$16,Portfolio!$B$15),3,2)))))</f>
        <v/>
      </c>
      <c r="Y186" s="31">
        <f>IF(OR($Q186=0,$K186="",$K186=0),0,IF(AND($B186="Project",$J186=""),0,IF(IF($B186="Program",$V186,$J186)&gt;$K186*(1+Portfolio!$B$17),3,IF(IF($B186="Program",$V186,$J186)&gt;$K186,2,IF(AND($B186="Program",OR($W186&gt;0,$V186=0)),0,1)))))</f>
        <v/>
      </c>
      <c r="Z186" s="31">
        <f>IF($A186="",0,IF($C186="Portfolio",1,IF(AND($B186="Project",$C186&lt;&gt;"",$C186&lt;&gt;"Outside the portfolio"),IFERROR(IF(AND(INDEX($B$6:$B$305,MATCH($C186,$A$6:$A$305,0))="Program",INDEX($C$6:$C$305,MATCH($C186,$A$6:$A$305,0))="Portfolio"),1,0),0),0)))</f>
        <v/>
      </c>
      <c r="AA186" s="31">
        <f>IF(AND($A186&lt;&gt;"",$E186="",OR($Q186=1,$D186="Proposed")),1,0)</f>
        <v/>
      </c>
      <c r="AB186" s="31">
        <f>IF(AND($A186&lt;&gt;"",$B186="Program",$F186="",$Q186=1),1,0)</f>
        <v/>
      </c>
      <c r="AC186" s="31">
        <f>IF(OR($A186="",$D186="Completed",$D186="Terminated"),0,IF($C186="",1,IF($C186="Portfolio",0,IF($C186="Outside the portfolio",IF($Q186=1,2,0),IF($B186="Project",IF(IFERROR(INDEX($B$6:$B$305,MATCH($C186,$A$6:$A$305,0)),"")="Program",0,1),1)))))</f>
        <v/>
      </c>
      <c r="AD186" s="31">
        <f>IF(AND($A186&lt;&gt;"",OR($M186="■ Red",$M186="◧ Amber"),$L186=""),1,0)</f>
        <v/>
      </c>
      <c r="AE186" s="31">
        <f>$AA186+$AB186+IF($AC186&gt;0,1,0)+$AD186</f>
        <v/>
      </c>
      <c r="AJ186" s="14" t="n"/>
      <c r="AK186" s="29" t="n"/>
      <c r="AL186" s="31">
        <f>IF(AND($Q186=1,$Z186=1),1,0)</f>
        <v/>
      </c>
      <c r="AM186" s="31">
        <f>IF(AND($AL186=1,$AJ186&lt;&gt;""),MAX(0,TODAY()-$AJ186),"")</f>
        <v/>
      </c>
      <c r="AN186" s="31">
        <f>IF(OR($AL186=0,COUNT($AJ$6:$AJ$305)=0),0,IF($AJ186="",1,IF(TODAY()-$AJ186&gt;Board!$B$40,1,0)))</f>
        <v/>
      </c>
      <c r="AO186" s="31">
        <f>IF($AL186=0,0,IF($M186="■ Red",3,IF($M186="◧ Amber",2,IF($M186="□ On track",1,0))))</f>
        <v/>
      </c>
      <c r="AP186" s="31">
        <f>IF($AL186=0,0,IF($AK186="Will not hold",3,IF($AK186="At risk",2,IF($AK186="Will hold",1,0))))</f>
        <v/>
      </c>
      <c r="AQ186" s="31">
        <f>IF($AL186=0,"",IF($AO186=3,0,IF($AO186=2,1,IF(AND($AP186&gt;=2,$AP186&gt;$AO186),2,""))))</f>
        <v/>
      </c>
      <c r="AR186" s="31">
        <f>IF($AQ186="","",$AQ186*1000+186)</f>
        <v/>
      </c>
      <c r="AS186" s="31">
        <f>IF(AND($AL186=1,$AO186&gt;=2,$AP186&gt;=1,$AP186&lt;$AO186),1,0)</f>
        <v/>
      </c>
      <c r="AT186" s="31">
        <f>IF(AND($AL186=1,$AO186&gt;=2,$AP186=0),1,0)</f>
        <v/>
      </c>
      <c r="AU186" s="31">
        <f>IF(AND($AL186=1,$U186&lt;&gt;"",$U186&lt;TODAY()),1,0)</f>
        <v/>
      </c>
      <c r="AV186" s="31">
        <f>IF(OR($A186="",$AJ186="",Portfolio!$B$10=""),0,IF($AJ186&lt;=Portfolio!$B$10,0,IF(AND($D186="Completed",$Z186=1),1,IF(AND($D186="Terminated",$Z186=1),2,IF(AND($Q186=1,$Z186=0),3,0)))))</f>
        <v/>
      </c>
      <c r="AW186" s="31">
        <f>IF($AV186&gt;0,COUNTIF($AV$6:$AV186,"&gt;0"),"")</f>
        <v/>
      </c>
      <c r="AX186" s="31">
        <f>IF($AL186=0,"",IF(AND($B186="Project",$H186&lt;&gt;"",$H186&lt;TODAY()),"Planned finish "&amp;TEXT($H186,"d mmm")&amp;" has passed",IF($X186&gt;=2,(NETWORKDAYS($H186,$U186)-1)&amp;" working days past plan","")))</f>
        <v/>
      </c>
      <c r="AY186" s="31">
        <f>IF($AL186=0,"",IF($Y186&gt;=2,"Over budget by "&amp;TEXT(IF($B186="Program",$V186,$J186)-$K186,"#,##0"),""))</f>
        <v/>
      </c>
      <c r="AZ186" s="31">
        <f>IF(AND($AL186=1,$U186&lt;&gt;""),IF(AND(N($U186)&gt;=TODAY(),N($U186)&lt;=TODAY()+Board!$B$41),1,0),0)</f>
        <v/>
      </c>
    </row>
    <row r="187">
      <c r="A187" s="29" t="n"/>
      <c r="B187" s="29" t="n"/>
      <c r="C187" s="29" t="n"/>
      <c r="D187" s="29" t="n"/>
      <c r="E187" s="29" t="n"/>
      <c r="F187" s="29" t="n"/>
      <c r="G187" s="29" t="n"/>
      <c r="H187" s="30" t="n"/>
      <c r="I187" s="30" t="n"/>
      <c r="J187" s="19" t="n"/>
      <c r="K187" s="19" t="n"/>
      <c r="L187" s="26" t="n"/>
      <c r="M187" s="31">
        <f>IF($A187="","",IF($D187="","Not read",IF($Q187=0,"Not counted",IF(MAX($X187,$Y187)=3,"■ Red",IF(MAX($X187,$Y187)=2,"◧ Amber",IF(MAX($X187,$Y187)=1,"□ On track","Not read"))))))</f>
        <v/>
      </c>
      <c r="N187" s="31">
        <f>IF(OR($A187="",$B187&lt;&gt;"Program"),"","■ "&amp;COUNTIFS($C$6:$C$305,$A187,$M$6:$M$305,"■ Red")&amp;" Red, ◧ "&amp;COUNTIFS($C$6:$C$305,$A187,$M$6:$M$305,"◧ Amber")&amp;" Amber")</f>
        <v/>
      </c>
      <c r="O187" s="32">
        <f>IF(OR($A187="",$E187=""),"",COUNTIFS($E$6:$E$305,$E187,$D$6:$D$305,"Active")+COUNTIFS($E$6:$E$305,$E187,$D$6:$D$305,"Paused"))</f>
        <v/>
      </c>
      <c r="P187" s="31">
        <f>IF($A187="","",IF($AE187=0,"○ Clear",IF($AA187=1,"△ No owner",IF($AC187=1,"△ Check Sits under",IF($AC187=2,"△ Outside the portfolio",IF($AB187=1,"△ No sponsor","△ No variance note"))))&amp;IF($AE187&gt;1," (+"&amp;($AE187-1)&amp;" more)","")))</f>
        <v/>
      </c>
      <c r="Q187" s="31">
        <f>IF(AND($A187&lt;&gt;"",OR($D187="Active",$D187="Paused")),1,0)</f>
        <v/>
      </c>
      <c r="R187" s="31">
        <f>IFERROR(INDEX($A$6:$A$305,MATCH(180,$S$6:$S$305,0)),"")</f>
        <v/>
      </c>
      <c r="S187" s="31">
        <f>IF(AND($A187&lt;&gt;"",$B187="Program"),COUNTIFS($B$6:$B187,"Program",$A$6:$A187,"&lt;&gt;"),"")</f>
        <v/>
      </c>
      <c r="T187" s="33">
        <f>IF(AND($A187&lt;&gt;"",$B187="Program"),SUMPRODUCT(MAX(($C$6:$C$305=$A187)*($B$6:$B$305="Project")*($D$6:$D$305&lt;&gt;"Proposed")*$I$6:$I$305)),0)</f>
        <v/>
      </c>
      <c r="U187" s="33">
        <f>IF($I187&lt;&gt;"",$I187,IF($T187&gt;0,$T187,""))</f>
        <v/>
      </c>
      <c r="V187" s="31">
        <f>IF(AND($A187&lt;&gt;"",$B187="Program"),SUMIFS($J$6:$J$305,$C$6:$C$305,$A187,$B$6:$B$305,"Project",$D$6:$D$305,"&lt;&gt;Proposed"),0)</f>
        <v/>
      </c>
      <c r="W187" s="31">
        <f>IF(AND($A187&lt;&gt;"",$B187="Program"),COUNTIFS($C$6:$C$305,$A187,$B$6:$B$305,"Project",$D$6:$D$305,"&lt;&gt;Proposed")-COUNTIFS($C$6:$C$305,$A187,$B$6:$B$305,"Project",$D$6:$D$305,"&lt;&gt;Proposed",$J$6:$J$305,"&gt;=0"),0)</f>
        <v/>
      </c>
      <c r="X187" s="31">
        <f>IF(OR($Q187=0,$H187=""),0,IF(AND($B187="Project",$H187&lt;TODAY()),3,IF($U187="",0,IF($U187&lt;=$H187,1,IF(NETWORKDAYS($H187,$U187)-1&gt;IF($B187="Program",Portfolio!$B$16,Portfolio!$B$15),3,2)))))</f>
        <v/>
      </c>
      <c r="Y187" s="31">
        <f>IF(OR($Q187=0,$K187="",$K187=0),0,IF(AND($B187="Project",$J187=""),0,IF(IF($B187="Program",$V187,$J187)&gt;$K187*(1+Portfolio!$B$17),3,IF(IF($B187="Program",$V187,$J187)&gt;$K187,2,IF(AND($B187="Program",OR($W187&gt;0,$V187=0)),0,1)))))</f>
        <v/>
      </c>
      <c r="Z187" s="31">
        <f>IF($A187="",0,IF($C187="Portfolio",1,IF(AND($B187="Project",$C187&lt;&gt;"",$C187&lt;&gt;"Outside the portfolio"),IFERROR(IF(AND(INDEX($B$6:$B$305,MATCH($C187,$A$6:$A$305,0))="Program",INDEX($C$6:$C$305,MATCH($C187,$A$6:$A$305,0))="Portfolio"),1,0),0),0)))</f>
        <v/>
      </c>
      <c r="AA187" s="31">
        <f>IF(AND($A187&lt;&gt;"",$E187="",OR($Q187=1,$D187="Proposed")),1,0)</f>
        <v/>
      </c>
      <c r="AB187" s="31">
        <f>IF(AND($A187&lt;&gt;"",$B187="Program",$F187="",$Q187=1),1,0)</f>
        <v/>
      </c>
      <c r="AC187" s="31">
        <f>IF(OR($A187="",$D187="Completed",$D187="Terminated"),0,IF($C187="",1,IF($C187="Portfolio",0,IF($C187="Outside the portfolio",IF($Q187=1,2,0),IF($B187="Project",IF(IFERROR(INDEX($B$6:$B$305,MATCH($C187,$A$6:$A$305,0)),"")="Program",0,1),1)))))</f>
        <v/>
      </c>
      <c r="AD187" s="31">
        <f>IF(AND($A187&lt;&gt;"",OR($M187="■ Red",$M187="◧ Amber"),$L187=""),1,0)</f>
        <v/>
      </c>
      <c r="AE187" s="31">
        <f>$AA187+$AB187+IF($AC187&gt;0,1,0)+$AD187</f>
        <v/>
      </c>
      <c r="AJ187" s="14" t="n"/>
      <c r="AK187" s="29" t="n"/>
      <c r="AL187" s="31">
        <f>IF(AND($Q187=1,$Z187=1),1,0)</f>
        <v/>
      </c>
      <c r="AM187" s="31">
        <f>IF(AND($AL187=1,$AJ187&lt;&gt;""),MAX(0,TODAY()-$AJ187),"")</f>
        <v/>
      </c>
      <c r="AN187" s="31">
        <f>IF(OR($AL187=0,COUNT($AJ$6:$AJ$305)=0),0,IF($AJ187="",1,IF(TODAY()-$AJ187&gt;Board!$B$40,1,0)))</f>
        <v/>
      </c>
      <c r="AO187" s="31">
        <f>IF($AL187=0,0,IF($M187="■ Red",3,IF($M187="◧ Amber",2,IF($M187="□ On track",1,0))))</f>
        <v/>
      </c>
      <c r="AP187" s="31">
        <f>IF($AL187=0,0,IF($AK187="Will not hold",3,IF($AK187="At risk",2,IF($AK187="Will hold",1,0))))</f>
        <v/>
      </c>
      <c r="AQ187" s="31">
        <f>IF($AL187=0,"",IF($AO187=3,0,IF($AO187=2,1,IF(AND($AP187&gt;=2,$AP187&gt;$AO187),2,""))))</f>
        <v/>
      </c>
      <c r="AR187" s="31">
        <f>IF($AQ187="","",$AQ187*1000+187)</f>
        <v/>
      </c>
      <c r="AS187" s="31">
        <f>IF(AND($AL187=1,$AO187&gt;=2,$AP187&gt;=1,$AP187&lt;$AO187),1,0)</f>
        <v/>
      </c>
      <c r="AT187" s="31">
        <f>IF(AND($AL187=1,$AO187&gt;=2,$AP187=0),1,0)</f>
        <v/>
      </c>
      <c r="AU187" s="31">
        <f>IF(AND($AL187=1,$U187&lt;&gt;"",$U187&lt;TODAY()),1,0)</f>
        <v/>
      </c>
      <c r="AV187" s="31">
        <f>IF(OR($A187="",$AJ187="",Portfolio!$B$10=""),0,IF($AJ187&lt;=Portfolio!$B$10,0,IF(AND($D187="Completed",$Z187=1),1,IF(AND($D187="Terminated",$Z187=1),2,IF(AND($Q187=1,$Z187=0),3,0)))))</f>
        <v/>
      </c>
      <c r="AW187" s="31">
        <f>IF($AV187&gt;0,COUNTIF($AV$6:$AV187,"&gt;0"),"")</f>
        <v/>
      </c>
      <c r="AX187" s="31">
        <f>IF($AL187=0,"",IF(AND($B187="Project",$H187&lt;&gt;"",$H187&lt;TODAY()),"Planned finish "&amp;TEXT($H187,"d mmm")&amp;" has passed",IF($X187&gt;=2,(NETWORKDAYS($H187,$U187)-1)&amp;" working days past plan","")))</f>
        <v/>
      </c>
      <c r="AY187" s="31">
        <f>IF($AL187=0,"",IF($Y187&gt;=2,"Over budget by "&amp;TEXT(IF($B187="Program",$V187,$J187)-$K187,"#,##0"),""))</f>
        <v/>
      </c>
      <c r="AZ187" s="31">
        <f>IF(AND($AL187=1,$U187&lt;&gt;""),IF(AND(N($U187)&gt;=TODAY(),N($U187)&lt;=TODAY()+Board!$B$41),1,0),0)</f>
        <v/>
      </c>
    </row>
    <row r="188">
      <c r="A188" s="29" t="n"/>
      <c r="B188" s="29" t="n"/>
      <c r="C188" s="29" t="n"/>
      <c r="D188" s="29" t="n"/>
      <c r="E188" s="29" t="n"/>
      <c r="F188" s="29" t="n"/>
      <c r="G188" s="29" t="n"/>
      <c r="H188" s="30" t="n"/>
      <c r="I188" s="30" t="n"/>
      <c r="J188" s="19" t="n"/>
      <c r="K188" s="19" t="n"/>
      <c r="L188" s="26" t="n"/>
      <c r="M188" s="31">
        <f>IF($A188="","",IF($D188="","Not read",IF($Q188=0,"Not counted",IF(MAX($X188,$Y188)=3,"■ Red",IF(MAX($X188,$Y188)=2,"◧ Amber",IF(MAX($X188,$Y188)=1,"□ On track","Not read"))))))</f>
        <v/>
      </c>
      <c r="N188" s="31">
        <f>IF(OR($A188="",$B188&lt;&gt;"Program"),"","■ "&amp;COUNTIFS($C$6:$C$305,$A188,$M$6:$M$305,"■ Red")&amp;" Red, ◧ "&amp;COUNTIFS($C$6:$C$305,$A188,$M$6:$M$305,"◧ Amber")&amp;" Amber")</f>
        <v/>
      </c>
      <c r="O188" s="32">
        <f>IF(OR($A188="",$E188=""),"",COUNTIFS($E$6:$E$305,$E188,$D$6:$D$305,"Active")+COUNTIFS($E$6:$E$305,$E188,$D$6:$D$305,"Paused"))</f>
        <v/>
      </c>
      <c r="P188" s="31">
        <f>IF($A188="","",IF($AE188=0,"○ Clear",IF($AA188=1,"△ No owner",IF($AC188=1,"△ Check Sits under",IF($AC188=2,"△ Outside the portfolio",IF($AB188=1,"△ No sponsor","△ No variance note"))))&amp;IF($AE188&gt;1," (+"&amp;($AE188-1)&amp;" more)","")))</f>
        <v/>
      </c>
      <c r="Q188" s="31">
        <f>IF(AND($A188&lt;&gt;"",OR($D188="Active",$D188="Paused")),1,0)</f>
        <v/>
      </c>
      <c r="R188" s="31">
        <f>IFERROR(INDEX($A$6:$A$305,MATCH(181,$S$6:$S$305,0)),"")</f>
        <v/>
      </c>
      <c r="S188" s="31">
        <f>IF(AND($A188&lt;&gt;"",$B188="Program"),COUNTIFS($B$6:$B188,"Program",$A$6:$A188,"&lt;&gt;"),"")</f>
        <v/>
      </c>
      <c r="T188" s="33">
        <f>IF(AND($A188&lt;&gt;"",$B188="Program"),SUMPRODUCT(MAX(($C$6:$C$305=$A188)*($B$6:$B$305="Project")*($D$6:$D$305&lt;&gt;"Proposed")*$I$6:$I$305)),0)</f>
        <v/>
      </c>
      <c r="U188" s="33">
        <f>IF($I188&lt;&gt;"",$I188,IF($T188&gt;0,$T188,""))</f>
        <v/>
      </c>
      <c r="V188" s="31">
        <f>IF(AND($A188&lt;&gt;"",$B188="Program"),SUMIFS($J$6:$J$305,$C$6:$C$305,$A188,$B$6:$B$305,"Project",$D$6:$D$305,"&lt;&gt;Proposed"),0)</f>
        <v/>
      </c>
      <c r="W188" s="31">
        <f>IF(AND($A188&lt;&gt;"",$B188="Program"),COUNTIFS($C$6:$C$305,$A188,$B$6:$B$305,"Project",$D$6:$D$305,"&lt;&gt;Proposed")-COUNTIFS($C$6:$C$305,$A188,$B$6:$B$305,"Project",$D$6:$D$305,"&lt;&gt;Proposed",$J$6:$J$305,"&gt;=0"),0)</f>
        <v/>
      </c>
      <c r="X188" s="31">
        <f>IF(OR($Q188=0,$H188=""),0,IF(AND($B188="Project",$H188&lt;TODAY()),3,IF($U188="",0,IF($U188&lt;=$H188,1,IF(NETWORKDAYS($H188,$U188)-1&gt;IF($B188="Program",Portfolio!$B$16,Portfolio!$B$15),3,2)))))</f>
        <v/>
      </c>
      <c r="Y188" s="31">
        <f>IF(OR($Q188=0,$K188="",$K188=0),0,IF(AND($B188="Project",$J188=""),0,IF(IF($B188="Program",$V188,$J188)&gt;$K188*(1+Portfolio!$B$17),3,IF(IF($B188="Program",$V188,$J188)&gt;$K188,2,IF(AND($B188="Program",OR($W188&gt;0,$V188=0)),0,1)))))</f>
        <v/>
      </c>
      <c r="Z188" s="31">
        <f>IF($A188="",0,IF($C188="Portfolio",1,IF(AND($B188="Project",$C188&lt;&gt;"",$C188&lt;&gt;"Outside the portfolio"),IFERROR(IF(AND(INDEX($B$6:$B$305,MATCH($C188,$A$6:$A$305,0))="Program",INDEX($C$6:$C$305,MATCH($C188,$A$6:$A$305,0))="Portfolio"),1,0),0),0)))</f>
        <v/>
      </c>
      <c r="AA188" s="31">
        <f>IF(AND($A188&lt;&gt;"",$E188="",OR($Q188=1,$D188="Proposed")),1,0)</f>
        <v/>
      </c>
      <c r="AB188" s="31">
        <f>IF(AND($A188&lt;&gt;"",$B188="Program",$F188="",$Q188=1),1,0)</f>
        <v/>
      </c>
      <c r="AC188" s="31">
        <f>IF(OR($A188="",$D188="Completed",$D188="Terminated"),0,IF($C188="",1,IF($C188="Portfolio",0,IF($C188="Outside the portfolio",IF($Q188=1,2,0),IF($B188="Project",IF(IFERROR(INDEX($B$6:$B$305,MATCH($C188,$A$6:$A$305,0)),"")="Program",0,1),1)))))</f>
        <v/>
      </c>
      <c r="AD188" s="31">
        <f>IF(AND($A188&lt;&gt;"",OR($M188="■ Red",$M188="◧ Amber"),$L188=""),1,0)</f>
        <v/>
      </c>
      <c r="AE188" s="31">
        <f>$AA188+$AB188+IF($AC188&gt;0,1,0)+$AD188</f>
        <v/>
      </c>
      <c r="AJ188" s="14" t="n"/>
      <c r="AK188" s="29" t="n"/>
      <c r="AL188" s="31">
        <f>IF(AND($Q188=1,$Z188=1),1,0)</f>
        <v/>
      </c>
      <c r="AM188" s="31">
        <f>IF(AND($AL188=1,$AJ188&lt;&gt;""),MAX(0,TODAY()-$AJ188),"")</f>
        <v/>
      </c>
      <c r="AN188" s="31">
        <f>IF(OR($AL188=0,COUNT($AJ$6:$AJ$305)=0),0,IF($AJ188="",1,IF(TODAY()-$AJ188&gt;Board!$B$40,1,0)))</f>
        <v/>
      </c>
      <c r="AO188" s="31">
        <f>IF($AL188=0,0,IF($M188="■ Red",3,IF($M188="◧ Amber",2,IF($M188="□ On track",1,0))))</f>
        <v/>
      </c>
      <c r="AP188" s="31">
        <f>IF($AL188=0,0,IF($AK188="Will not hold",3,IF($AK188="At risk",2,IF($AK188="Will hold",1,0))))</f>
        <v/>
      </c>
      <c r="AQ188" s="31">
        <f>IF($AL188=0,"",IF($AO188=3,0,IF($AO188=2,1,IF(AND($AP188&gt;=2,$AP188&gt;$AO188),2,""))))</f>
        <v/>
      </c>
      <c r="AR188" s="31">
        <f>IF($AQ188="","",$AQ188*1000+188)</f>
        <v/>
      </c>
      <c r="AS188" s="31">
        <f>IF(AND($AL188=1,$AO188&gt;=2,$AP188&gt;=1,$AP188&lt;$AO188),1,0)</f>
        <v/>
      </c>
      <c r="AT188" s="31">
        <f>IF(AND($AL188=1,$AO188&gt;=2,$AP188=0),1,0)</f>
        <v/>
      </c>
      <c r="AU188" s="31">
        <f>IF(AND($AL188=1,$U188&lt;&gt;"",$U188&lt;TODAY()),1,0)</f>
        <v/>
      </c>
      <c r="AV188" s="31">
        <f>IF(OR($A188="",$AJ188="",Portfolio!$B$10=""),0,IF($AJ188&lt;=Portfolio!$B$10,0,IF(AND($D188="Completed",$Z188=1),1,IF(AND($D188="Terminated",$Z188=1),2,IF(AND($Q188=1,$Z188=0),3,0)))))</f>
        <v/>
      </c>
      <c r="AW188" s="31">
        <f>IF($AV188&gt;0,COUNTIF($AV$6:$AV188,"&gt;0"),"")</f>
        <v/>
      </c>
      <c r="AX188" s="31">
        <f>IF($AL188=0,"",IF(AND($B188="Project",$H188&lt;&gt;"",$H188&lt;TODAY()),"Planned finish "&amp;TEXT($H188,"d mmm")&amp;" has passed",IF($X188&gt;=2,(NETWORKDAYS($H188,$U188)-1)&amp;" working days past plan","")))</f>
        <v/>
      </c>
      <c r="AY188" s="31">
        <f>IF($AL188=0,"",IF($Y188&gt;=2,"Over budget by "&amp;TEXT(IF($B188="Program",$V188,$J188)-$K188,"#,##0"),""))</f>
        <v/>
      </c>
      <c r="AZ188" s="31">
        <f>IF(AND($AL188=1,$U188&lt;&gt;""),IF(AND(N($U188)&gt;=TODAY(),N($U188)&lt;=TODAY()+Board!$B$41),1,0),0)</f>
        <v/>
      </c>
    </row>
    <row r="189">
      <c r="A189" s="29" t="n"/>
      <c r="B189" s="29" t="n"/>
      <c r="C189" s="29" t="n"/>
      <c r="D189" s="29" t="n"/>
      <c r="E189" s="29" t="n"/>
      <c r="F189" s="29" t="n"/>
      <c r="G189" s="29" t="n"/>
      <c r="H189" s="30" t="n"/>
      <c r="I189" s="30" t="n"/>
      <c r="J189" s="19" t="n"/>
      <c r="K189" s="19" t="n"/>
      <c r="L189" s="26" t="n"/>
      <c r="M189" s="31">
        <f>IF($A189="","",IF($D189="","Not read",IF($Q189=0,"Not counted",IF(MAX($X189,$Y189)=3,"■ Red",IF(MAX($X189,$Y189)=2,"◧ Amber",IF(MAX($X189,$Y189)=1,"□ On track","Not read"))))))</f>
        <v/>
      </c>
      <c r="N189" s="31">
        <f>IF(OR($A189="",$B189&lt;&gt;"Program"),"","■ "&amp;COUNTIFS($C$6:$C$305,$A189,$M$6:$M$305,"■ Red")&amp;" Red, ◧ "&amp;COUNTIFS($C$6:$C$305,$A189,$M$6:$M$305,"◧ Amber")&amp;" Amber")</f>
        <v/>
      </c>
      <c r="O189" s="32">
        <f>IF(OR($A189="",$E189=""),"",COUNTIFS($E$6:$E$305,$E189,$D$6:$D$305,"Active")+COUNTIFS($E$6:$E$305,$E189,$D$6:$D$305,"Paused"))</f>
        <v/>
      </c>
      <c r="P189" s="31">
        <f>IF($A189="","",IF($AE189=0,"○ Clear",IF($AA189=1,"△ No owner",IF($AC189=1,"△ Check Sits under",IF($AC189=2,"△ Outside the portfolio",IF($AB189=1,"△ No sponsor","△ No variance note"))))&amp;IF($AE189&gt;1," (+"&amp;($AE189-1)&amp;" more)","")))</f>
        <v/>
      </c>
      <c r="Q189" s="31">
        <f>IF(AND($A189&lt;&gt;"",OR($D189="Active",$D189="Paused")),1,0)</f>
        <v/>
      </c>
      <c r="R189" s="31">
        <f>IFERROR(INDEX($A$6:$A$305,MATCH(182,$S$6:$S$305,0)),"")</f>
        <v/>
      </c>
      <c r="S189" s="31">
        <f>IF(AND($A189&lt;&gt;"",$B189="Program"),COUNTIFS($B$6:$B189,"Program",$A$6:$A189,"&lt;&gt;"),"")</f>
        <v/>
      </c>
      <c r="T189" s="33">
        <f>IF(AND($A189&lt;&gt;"",$B189="Program"),SUMPRODUCT(MAX(($C$6:$C$305=$A189)*($B$6:$B$305="Project")*($D$6:$D$305&lt;&gt;"Proposed")*$I$6:$I$305)),0)</f>
        <v/>
      </c>
      <c r="U189" s="33">
        <f>IF($I189&lt;&gt;"",$I189,IF($T189&gt;0,$T189,""))</f>
        <v/>
      </c>
      <c r="V189" s="31">
        <f>IF(AND($A189&lt;&gt;"",$B189="Program"),SUMIFS($J$6:$J$305,$C$6:$C$305,$A189,$B$6:$B$305,"Project",$D$6:$D$305,"&lt;&gt;Proposed"),0)</f>
        <v/>
      </c>
      <c r="W189" s="31">
        <f>IF(AND($A189&lt;&gt;"",$B189="Program"),COUNTIFS($C$6:$C$305,$A189,$B$6:$B$305,"Project",$D$6:$D$305,"&lt;&gt;Proposed")-COUNTIFS($C$6:$C$305,$A189,$B$6:$B$305,"Project",$D$6:$D$305,"&lt;&gt;Proposed",$J$6:$J$305,"&gt;=0"),0)</f>
        <v/>
      </c>
      <c r="X189" s="31">
        <f>IF(OR($Q189=0,$H189=""),0,IF(AND($B189="Project",$H189&lt;TODAY()),3,IF($U189="",0,IF($U189&lt;=$H189,1,IF(NETWORKDAYS($H189,$U189)-1&gt;IF($B189="Program",Portfolio!$B$16,Portfolio!$B$15),3,2)))))</f>
        <v/>
      </c>
      <c r="Y189" s="31">
        <f>IF(OR($Q189=0,$K189="",$K189=0),0,IF(AND($B189="Project",$J189=""),0,IF(IF($B189="Program",$V189,$J189)&gt;$K189*(1+Portfolio!$B$17),3,IF(IF($B189="Program",$V189,$J189)&gt;$K189,2,IF(AND($B189="Program",OR($W189&gt;0,$V189=0)),0,1)))))</f>
        <v/>
      </c>
      <c r="Z189" s="31">
        <f>IF($A189="",0,IF($C189="Portfolio",1,IF(AND($B189="Project",$C189&lt;&gt;"",$C189&lt;&gt;"Outside the portfolio"),IFERROR(IF(AND(INDEX($B$6:$B$305,MATCH($C189,$A$6:$A$305,0))="Program",INDEX($C$6:$C$305,MATCH($C189,$A$6:$A$305,0))="Portfolio"),1,0),0),0)))</f>
        <v/>
      </c>
      <c r="AA189" s="31">
        <f>IF(AND($A189&lt;&gt;"",$E189="",OR($Q189=1,$D189="Proposed")),1,0)</f>
        <v/>
      </c>
      <c r="AB189" s="31">
        <f>IF(AND($A189&lt;&gt;"",$B189="Program",$F189="",$Q189=1),1,0)</f>
        <v/>
      </c>
      <c r="AC189" s="31">
        <f>IF(OR($A189="",$D189="Completed",$D189="Terminated"),0,IF($C189="",1,IF($C189="Portfolio",0,IF($C189="Outside the portfolio",IF($Q189=1,2,0),IF($B189="Project",IF(IFERROR(INDEX($B$6:$B$305,MATCH($C189,$A$6:$A$305,0)),"")="Program",0,1),1)))))</f>
        <v/>
      </c>
      <c r="AD189" s="31">
        <f>IF(AND($A189&lt;&gt;"",OR($M189="■ Red",$M189="◧ Amber"),$L189=""),1,0)</f>
        <v/>
      </c>
      <c r="AE189" s="31">
        <f>$AA189+$AB189+IF($AC189&gt;0,1,0)+$AD189</f>
        <v/>
      </c>
      <c r="AJ189" s="14" t="n"/>
      <c r="AK189" s="29" t="n"/>
      <c r="AL189" s="31">
        <f>IF(AND($Q189=1,$Z189=1),1,0)</f>
        <v/>
      </c>
      <c r="AM189" s="31">
        <f>IF(AND($AL189=1,$AJ189&lt;&gt;""),MAX(0,TODAY()-$AJ189),"")</f>
        <v/>
      </c>
      <c r="AN189" s="31">
        <f>IF(OR($AL189=0,COUNT($AJ$6:$AJ$305)=0),0,IF($AJ189="",1,IF(TODAY()-$AJ189&gt;Board!$B$40,1,0)))</f>
        <v/>
      </c>
      <c r="AO189" s="31">
        <f>IF($AL189=0,0,IF($M189="■ Red",3,IF($M189="◧ Amber",2,IF($M189="□ On track",1,0))))</f>
        <v/>
      </c>
      <c r="AP189" s="31">
        <f>IF($AL189=0,0,IF($AK189="Will not hold",3,IF($AK189="At risk",2,IF($AK189="Will hold",1,0))))</f>
        <v/>
      </c>
      <c r="AQ189" s="31">
        <f>IF($AL189=0,"",IF($AO189=3,0,IF($AO189=2,1,IF(AND($AP189&gt;=2,$AP189&gt;$AO189),2,""))))</f>
        <v/>
      </c>
      <c r="AR189" s="31">
        <f>IF($AQ189="","",$AQ189*1000+189)</f>
        <v/>
      </c>
      <c r="AS189" s="31">
        <f>IF(AND($AL189=1,$AO189&gt;=2,$AP189&gt;=1,$AP189&lt;$AO189),1,0)</f>
        <v/>
      </c>
      <c r="AT189" s="31">
        <f>IF(AND($AL189=1,$AO189&gt;=2,$AP189=0),1,0)</f>
        <v/>
      </c>
      <c r="AU189" s="31">
        <f>IF(AND($AL189=1,$U189&lt;&gt;"",$U189&lt;TODAY()),1,0)</f>
        <v/>
      </c>
      <c r="AV189" s="31">
        <f>IF(OR($A189="",$AJ189="",Portfolio!$B$10=""),0,IF($AJ189&lt;=Portfolio!$B$10,0,IF(AND($D189="Completed",$Z189=1),1,IF(AND($D189="Terminated",$Z189=1),2,IF(AND($Q189=1,$Z189=0),3,0)))))</f>
        <v/>
      </c>
      <c r="AW189" s="31">
        <f>IF($AV189&gt;0,COUNTIF($AV$6:$AV189,"&gt;0"),"")</f>
        <v/>
      </c>
      <c r="AX189" s="31">
        <f>IF($AL189=0,"",IF(AND($B189="Project",$H189&lt;&gt;"",$H189&lt;TODAY()),"Planned finish "&amp;TEXT($H189,"d mmm")&amp;" has passed",IF($X189&gt;=2,(NETWORKDAYS($H189,$U189)-1)&amp;" working days past plan","")))</f>
        <v/>
      </c>
      <c r="AY189" s="31">
        <f>IF($AL189=0,"",IF($Y189&gt;=2,"Over budget by "&amp;TEXT(IF($B189="Program",$V189,$J189)-$K189,"#,##0"),""))</f>
        <v/>
      </c>
      <c r="AZ189" s="31">
        <f>IF(AND($AL189=1,$U189&lt;&gt;""),IF(AND(N($U189)&gt;=TODAY(),N($U189)&lt;=TODAY()+Board!$B$41),1,0),0)</f>
        <v/>
      </c>
    </row>
    <row r="190">
      <c r="A190" s="29" t="n"/>
      <c r="B190" s="29" t="n"/>
      <c r="C190" s="29" t="n"/>
      <c r="D190" s="29" t="n"/>
      <c r="E190" s="29" t="n"/>
      <c r="F190" s="29" t="n"/>
      <c r="G190" s="29" t="n"/>
      <c r="H190" s="30" t="n"/>
      <c r="I190" s="30" t="n"/>
      <c r="J190" s="19" t="n"/>
      <c r="K190" s="19" t="n"/>
      <c r="L190" s="26" t="n"/>
      <c r="M190" s="31">
        <f>IF($A190="","",IF($D190="","Not read",IF($Q190=0,"Not counted",IF(MAX($X190,$Y190)=3,"■ Red",IF(MAX($X190,$Y190)=2,"◧ Amber",IF(MAX($X190,$Y190)=1,"□ On track","Not read"))))))</f>
        <v/>
      </c>
      <c r="N190" s="31">
        <f>IF(OR($A190="",$B190&lt;&gt;"Program"),"","■ "&amp;COUNTIFS($C$6:$C$305,$A190,$M$6:$M$305,"■ Red")&amp;" Red, ◧ "&amp;COUNTIFS($C$6:$C$305,$A190,$M$6:$M$305,"◧ Amber")&amp;" Amber")</f>
        <v/>
      </c>
      <c r="O190" s="32">
        <f>IF(OR($A190="",$E190=""),"",COUNTIFS($E$6:$E$305,$E190,$D$6:$D$305,"Active")+COUNTIFS($E$6:$E$305,$E190,$D$6:$D$305,"Paused"))</f>
        <v/>
      </c>
      <c r="P190" s="31">
        <f>IF($A190="","",IF($AE190=0,"○ Clear",IF($AA190=1,"△ No owner",IF($AC190=1,"△ Check Sits under",IF($AC190=2,"△ Outside the portfolio",IF($AB190=1,"△ No sponsor","△ No variance note"))))&amp;IF($AE190&gt;1," (+"&amp;($AE190-1)&amp;" more)","")))</f>
        <v/>
      </c>
      <c r="Q190" s="31">
        <f>IF(AND($A190&lt;&gt;"",OR($D190="Active",$D190="Paused")),1,0)</f>
        <v/>
      </c>
      <c r="R190" s="31">
        <f>IFERROR(INDEX($A$6:$A$305,MATCH(183,$S$6:$S$305,0)),"")</f>
        <v/>
      </c>
      <c r="S190" s="31">
        <f>IF(AND($A190&lt;&gt;"",$B190="Program"),COUNTIFS($B$6:$B190,"Program",$A$6:$A190,"&lt;&gt;"),"")</f>
        <v/>
      </c>
      <c r="T190" s="33">
        <f>IF(AND($A190&lt;&gt;"",$B190="Program"),SUMPRODUCT(MAX(($C$6:$C$305=$A190)*($B$6:$B$305="Project")*($D$6:$D$305&lt;&gt;"Proposed")*$I$6:$I$305)),0)</f>
        <v/>
      </c>
      <c r="U190" s="33">
        <f>IF($I190&lt;&gt;"",$I190,IF($T190&gt;0,$T190,""))</f>
        <v/>
      </c>
      <c r="V190" s="31">
        <f>IF(AND($A190&lt;&gt;"",$B190="Program"),SUMIFS($J$6:$J$305,$C$6:$C$305,$A190,$B$6:$B$305,"Project",$D$6:$D$305,"&lt;&gt;Proposed"),0)</f>
        <v/>
      </c>
      <c r="W190" s="31">
        <f>IF(AND($A190&lt;&gt;"",$B190="Program"),COUNTIFS($C$6:$C$305,$A190,$B$6:$B$305,"Project",$D$6:$D$305,"&lt;&gt;Proposed")-COUNTIFS($C$6:$C$305,$A190,$B$6:$B$305,"Project",$D$6:$D$305,"&lt;&gt;Proposed",$J$6:$J$305,"&gt;=0"),0)</f>
        <v/>
      </c>
      <c r="X190" s="31">
        <f>IF(OR($Q190=0,$H190=""),0,IF(AND($B190="Project",$H190&lt;TODAY()),3,IF($U190="",0,IF($U190&lt;=$H190,1,IF(NETWORKDAYS($H190,$U190)-1&gt;IF($B190="Program",Portfolio!$B$16,Portfolio!$B$15),3,2)))))</f>
        <v/>
      </c>
      <c r="Y190" s="31">
        <f>IF(OR($Q190=0,$K190="",$K190=0),0,IF(AND($B190="Project",$J190=""),0,IF(IF($B190="Program",$V190,$J190)&gt;$K190*(1+Portfolio!$B$17),3,IF(IF($B190="Program",$V190,$J190)&gt;$K190,2,IF(AND($B190="Program",OR($W190&gt;0,$V190=0)),0,1)))))</f>
        <v/>
      </c>
      <c r="Z190" s="31">
        <f>IF($A190="",0,IF($C190="Portfolio",1,IF(AND($B190="Project",$C190&lt;&gt;"",$C190&lt;&gt;"Outside the portfolio"),IFERROR(IF(AND(INDEX($B$6:$B$305,MATCH($C190,$A$6:$A$305,0))="Program",INDEX($C$6:$C$305,MATCH($C190,$A$6:$A$305,0))="Portfolio"),1,0),0),0)))</f>
        <v/>
      </c>
      <c r="AA190" s="31">
        <f>IF(AND($A190&lt;&gt;"",$E190="",OR($Q190=1,$D190="Proposed")),1,0)</f>
        <v/>
      </c>
      <c r="AB190" s="31">
        <f>IF(AND($A190&lt;&gt;"",$B190="Program",$F190="",$Q190=1),1,0)</f>
        <v/>
      </c>
      <c r="AC190" s="31">
        <f>IF(OR($A190="",$D190="Completed",$D190="Terminated"),0,IF($C190="",1,IF($C190="Portfolio",0,IF($C190="Outside the portfolio",IF($Q190=1,2,0),IF($B190="Project",IF(IFERROR(INDEX($B$6:$B$305,MATCH($C190,$A$6:$A$305,0)),"")="Program",0,1),1)))))</f>
        <v/>
      </c>
      <c r="AD190" s="31">
        <f>IF(AND($A190&lt;&gt;"",OR($M190="■ Red",$M190="◧ Amber"),$L190=""),1,0)</f>
        <v/>
      </c>
      <c r="AE190" s="31">
        <f>$AA190+$AB190+IF($AC190&gt;0,1,0)+$AD190</f>
        <v/>
      </c>
      <c r="AJ190" s="14" t="n"/>
      <c r="AK190" s="29" t="n"/>
      <c r="AL190" s="31">
        <f>IF(AND($Q190=1,$Z190=1),1,0)</f>
        <v/>
      </c>
      <c r="AM190" s="31">
        <f>IF(AND($AL190=1,$AJ190&lt;&gt;""),MAX(0,TODAY()-$AJ190),"")</f>
        <v/>
      </c>
      <c r="AN190" s="31">
        <f>IF(OR($AL190=0,COUNT($AJ$6:$AJ$305)=0),0,IF($AJ190="",1,IF(TODAY()-$AJ190&gt;Board!$B$40,1,0)))</f>
        <v/>
      </c>
      <c r="AO190" s="31">
        <f>IF($AL190=0,0,IF($M190="■ Red",3,IF($M190="◧ Amber",2,IF($M190="□ On track",1,0))))</f>
        <v/>
      </c>
      <c r="AP190" s="31">
        <f>IF($AL190=0,0,IF($AK190="Will not hold",3,IF($AK190="At risk",2,IF($AK190="Will hold",1,0))))</f>
        <v/>
      </c>
      <c r="AQ190" s="31">
        <f>IF($AL190=0,"",IF($AO190=3,0,IF($AO190=2,1,IF(AND($AP190&gt;=2,$AP190&gt;$AO190),2,""))))</f>
        <v/>
      </c>
      <c r="AR190" s="31">
        <f>IF($AQ190="","",$AQ190*1000+190)</f>
        <v/>
      </c>
      <c r="AS190" s="31">
        <f>IF(AND($AL190=1,$AO190&gt;=2,$AP190&gt;=1,$AP190&lt;$AO190),1,0)</f>
        <v/>
      </c>
      <c r="AT190" s="31">
        <f>IF(AND($AL190=1,$AO190&gt;=2,$AP190=0),1,0)</f>
        <v/>
      </c>
      <c r="AU190" s="31">
        <f>IF(AND($AL190=1,$U190&lt;&gt;"",$U190&lt;TODAY()),1,0)</f>
        <v/>
      </c>
      <c r="AV190" s="31">
        <f>IF(OR($A190="",$AJ190="",Portfolio!$B$10=""),0,IF($AJ190&lt;=Portfolio!$B$10,0,IF(AND($D190="Completed",$Z190=1),1,IF(AND($D190="Terminated",$Z190=1),2,IF(AND($Q190=1,$Z190=0),3,0)))))</f>
        <v/>
      </c>
      <c r="AW190" s="31">
        <f>IF($AV190&gt;0,COUNTIF($AV$6:$AV190,"&gt;0"),"")</f>
        <v/>
      </c>
      <c r="AX190" s="31">
        <f>IF($AL190=0,"",IF(AND($B190="Project",$H190&lt;&gt;"",$H190&lt;TODAY()),"Planned finish "&amp;TEXT($H190,"d mmm")&amp;" has passed",IF($X190&gt;=2,(NETWORKDAYS($H190,$U190)-1)&amp;" working days past plan","")))</f>
        <v/>
      </c>
      <c r="AY190" s="31">
        <f>IF($AL190=0,"",IF($Y190&gt;=2,"Over budget by "&amp;TEXT(IF($B190="Program",$V190,$J190)-$K190,"#,##0"),""))</f>
        <v/>
      </c>
      <c r="AZ190" s="31">
        <f>IF(AND($AL190=1,$U190&lt;&gt;""),IF(AND(N($U190)&gt;=TODAY(),N($U190)&lt;=TODAY()+Board!$B$41),1,0),0)</f>
        <v/>
      </c>
    </row>
    <row r="191">
      <c r="A191" s="29" t="n"/>
      <c r="B191" s="29" t="n"/>
      <c r="C191" s="29" t="n"/>
      <c r="D191" s="29" t="n"/>
      <c r="E191" s="29" t="n"/>
      <c r="F191" s="29" t="n"/>
      <c r="G191" s="29" t="n"/>
      <c r="H191" s="30" t="n"/>
      <c r="I191" s="30" t="n"/>
      <c r="J191" s="19" t="n"/>
      <c r="K191" s="19" t="n"/>
      <c r="L191" s="26" t="n"/>
      <c r="M191" s="31">
        <f>IF($A191="","",IF($D191="","Not read",IF($Q191=0,"Not counted",IF(MAX($X191,$Y191)=3,"■ Red",IF(MAX($X191,$Y191)=2,"◧ Amber",IF(MAX($X191,$Y191)=1,"□ On track","Not read"))))))</f>
        <v/>
      </c>
      <c r="N191" s="31">
        <f>IF(OR($A191="",$B191&lt;&gt;"Program"),"","■ "&amp;COUNTIFS($C$6:$C$305,$A191,$M$6:$M$305,"■ Red")&amp;" Red, ◧ "&amp;COUNTIFS($C$6:$C$305,$A191,$M$6:$M$305,"◧ Amber")&amp;" Amber")</f>
        <v/>
      </c>
      <c r="O191" s="32">
        <f>IF(OR($A191="",$E191=""),"",COUNTIFS($E$6:$E$305,$E191,$D$6:$D$305,"Active")+COUNTIFS($E$6:$E$305,$E191,$D$6:$D$305,"Paused"))</f>
        <v/>
      </c>
      <c r="P191" s="31">
        <f>IF($A191="","",IF($AE191=0,"○ Clear",IF($AA191=1,"△ No owner",IF($AC191=1,"△ Check Sits under",IF($AC191=2,"△ Outside the portfolio",IF($AB191=1,"△ No sponsor","△ No variance note"))))&amp;IF($AE191&gt;1," (+"&amp;($AE191-1)&amp;" more)","")))</f>
        <v/>
      </c>
      <c r="Q191" s="31">
        <f>IF(AND($A191&lt;&gt;"",OR($D191="Active",$D191="Paused")),1,0)</f>
        <v/>
      </c>
      <c r="R191" s="31">
        <f>IFERROR(INDEX($A$6:$A$305,MATCH(184,$S$6:$S$305,0)),"")</f>
        <v/>
      </c>
      <c r="S191" s="31">
        <f>IF(AND($A191&lt;&gt;"",$B191="Program"),COUNTIFS($B$6:$B191,"Program",$A$6:$A191,"&lt;&gt;"),"")</f>
        <v/>
      </c>
      <c r="T191" s="33">
        <f>IF(AND($A191&lt;&gt;"",$B191="Program"),SUMPRODUCT(MAX(($C$6:$C$305=$A191)*($B$6:$B$305="Project")*($D$6:$D$305&lt;&gt;"Proposed")*$I$6:$I$305)),0)</f>
        <v/>
      </c>
      <c r="U191" s="33">
        <f>IF($I191&lt;&gt;"",$I191,IF($T191&gt;0,$T191,""))</f>
        <v/>
      </c>
      <c r="V191" s="31">
        <f>IF(AND($A191&lt;&gt;"",$B191="Program"),SUMIFS($J$6:$J$305,$C$6:$C$305,$A191,$B$6:$B$305,"Project",$D$6:$D$305,"&lt;&gt;Proposed"),0)</f>
        <v/>
      </c>
      <c r="W191" s="31">
        <f>IF(AND($A191&lt;&gt;"",$B191="Program"),COUNTIFS($C$6:$C$305,$A191,$B$6:$B$305,"Project",$D$6:$D$305,"&lt;&gt;Proposed")-COUNTIFS($C$6:$C$305,$A191,$B$6:$B$305,"Project",$D$6:$D$305,"&lt;&gt;Proposed",$J$6:$J$305,"&gt;=0"),0)</f>
        <v/>
      </c>
      <c r="X191" s="31">
        <f>IF(OR($Q191=0,$H191=""),0,IF(AND($B191="Project",$H191&lt;TODAY()),3,IF($U191="",0,IF($U191&lt;=$H191,1,IF(NETWORKDAYS($H191,$U191)-1&gt;IF($B191="Program",Portfolio!$B$16,Portfolio!$B$15),3,2)))))</f>
        <v/>
      </c>
      <c r="Y191" s="31">
        <f>IF(OR($Q191=0,$K191="",$K191=0),0,IF(AND($B191="Project",$J191=""),0,IF(IF($B191="Program",$V191,$J191)&gt;$K191*(1+Portfolio!$B$17),3,IF(IF($B191="Program",$V191,$J191)&gt;$K191,2,IF(AND($B191="Program",OR($W191&gt;0,$V191=0)),0,1)))))</f>
        <v/>
      </c>
      <c r="Z191" s="31">
        <f>IF($A191="",0,IF($C191="Portfolio",1,IF(AND($B191="Project",$C191&lt;&gt;"",$C191&lt;&gt;"Outside the portfolio"),IFERROR(IF(AND(INDEX($B$6:$B$305,MATCH($C191,$A$6:$A$305,0))="Program",INDEX($C$6:$C$305,MATCH($C191,$A$6:$A$305,0))="Portfolio"),1,0),0),0)))</f>
        <v/>
      </c>
      <c r="AA191" s="31">
        <f>IF(AND($A191&lt;&gt;"",$E191="",OR($Q191=1,$D191="Proposed")),1,0)</f>
        <v/>
      </c>
      <c r="AB191" s="31">
        <f>IF(AND($A191&lt;&gt;"",$B191="Program",$F191="",$Q191=1),1,0)</f>
        <v/>
      </c>
      <c r="AC191" s="31">
        <f>IF(OR($A191="",$D191="Completed",$D191="Terminated"),0,IF($C191="",1,IF($C191="Portfolio",0,IF($C191="Outside the portfolio",IF($Q191=1,2,0),IF($B191="Project",IF(IFERROR(INDEX($B$6:$B$305,MATCH($C191,$A$6:$A$305,0)),"")="Program",0,1),1)))))</f>
        <v/>
      </c>
      <c r="AD191" s="31">
        <f>IF(AND($A191&lt;&gt;"",OR($M191="■ Red",$M191="◧ Amber"),$L191=""),1,0)</f>
        <v/>
      </c>
      <c r="AE191" s="31">
        <f>$AA191+$AB191+IF($AC191&gt;0,1,0)+$AD191</f>
        <v/>
      </c>
      <c r="AJ191" s="14" t="n"/>
      <c r="AK191" s="29" t="n"/>
      <c r="AL191" s="31">
        <f>IF(AND($Q191=1,$Z191=1),1,0)</f>
        <v/>
      </c>
      <c r="AM191" s="31">
        <f>IF(AND($AL191=1,$AJ191&lt;&gt;""),MAX(0,TODAY()-$AJ191),"")</f>
        <v/>
      </c>
      <c r="AN191" s="31">
        <f>IF(OR($AL191=0,COUNT($AJ$6:$AJ$305)=0),0,IF($AJ191="",1,IF(TODAY()-$AJ191&gt;Board!$B$40,1,0)))</f>
        <v/>
      </c>
      <c r="AO191" s="31">
        <f>IF($AL191=0,0,IF($M191="■ Red",3,IF($M191="◧ Amber",2,IF($M191="□ On track",1,0))))</f>
        <v/>
      </c>
      <c r="AP191" s="31">
        <f>IF($AL191=0,0,IF($AK191="Will not hold",3,IF($AK191="At risk",2,IF($AK191="Will hold",1,0))))</f>
        <v/>
      </c>
      <c r="AQ191" s="31">
        <f>IF($AL191=0,"",IF($AO191=3,0,IF($AO191=2,1,IF(AND($AP191&gt;=2,$AP191&gt;$AO191),2,""))))</f>
        <v/>
      </c>
      <c r="AR191" s="31">
        <f>IF($AQ191="","",$AQ191*1000+191)</f>
        <v/>
      </c>
      <c r="AS191" s="31">
        <f>IF(AND($AL191=1,$AO191&gt;=2,$AP191&gt;=1,$AP191&lt;$AO191),1,0)</f>
        <v/>
      </c>
      <c r="AT191" s="31">
        <f>IF(AND($AL191=1,$AO191&gt;=2,$AP191=0),1,0)</f>
        <v/>
      </c>
      <c r="AU191" s="31">
        <f>IF(AND($AL191=1,$U191&lt;&gt;"",$U191&lt;TODAY()),1,0)</f>
        <v/>
      </c>
      <c r="AV191" s="31">
        <f>IF(OR($A191="",$AJ191="",Portfolio!$B$10=""),0,IF($AJ191&lt;=Portfolio!$B$10,0,IF(AND($D191="Completed",$Z191=1),1,IF(AND($D191="Terminated",$Z191=1),2,IF(AND($Q191=1,$Z191=0),3,0)))))</f>
        <v/>
      </c>
      <c r="AW191" s="31">
        <f>IF($AV191&gt;0,COUNTIF($AV$6:$AV191,"&gt;0"),"")</f>
        <v/>
      </c>
      <c r="AX191" s="31">
        <f>IF($AL191=0,"",IF(AND($B191="Project",$H191&lt;&gt;"",$H191&lt;TODAY()),"Planned finish "&amp;TEXT($H191,"d mmm")&amp;" has passed",IF($X191&gt;=2,(NETWORKDAYS($H191,$U191)-1)&amp;" working days past plan","")))</f>
        <v/>
      </c>
      <c r="AY191" s="31">
        <f>IF($AL191=0,"",IF($Y191&gt;=2,"Over budget by "&amp;TEXT(IF($B191="Program",$V191,$J191)-$K191,"#,##0"),""))</f>
        <v/>
      </c>
      <c r="AZ191" s="31">
        <f>IF(AND($AL191=1,$U191&lt;&gt;""),IF(AND(N($U191)&gt;=TODAY(),N($U191)&lt;=TODAY()+Board!$B$41),1,0),0)</f>
        <v/>
      </c>
    </row>
    <row r="192">
      <c r="A192" s="29" t="n"/>
      <c r="B192" s="29" t="n"/>
      <c r="C192" s="29" t="n"/>
      <c r="D192" s="29" t="n"/>
      <c r="E192" s="29" t="n"/>
      <c r="F192" s="29" t="n"/>
      <c r="G192" s="29" t="n"/>
      <c r="H192" s="30" t="n"/>
      <c r="I192" s="30" t="n"/>
      <c r="J192" s="19" t="n"/>
      <c r="K192" s="19" t="n"/>
      <c r="L192" s="26" t="n"/>
      <c r="M192" s="31">
        <f>IF($A192="","",IF($D192="","Not read",IF($Q192=0,"Not counted",IF(MAX($X192,$Y192)=3,"■ Red",IF(MAX($X192,$Y192)=2,"◧ Amber",IF(MAX($X192,$Y192)=1,"□ On track","Not read"))))))</f>
        <v/>
      </c>
      <c r="N192" s="31">
        <f>IF(OR($A192="",$B192&lt;&gt;"Program"),"","■ "&amp;COUNTIFS($C$6:$C$305,$A192,$M$6:$M$305,"■ Red")&amp;" Red, ◧ "&amp;COUNTIFS($C$6:$C$305,$A192,$M$6:$M$305,"◧ Amber")&amp;" Amber")</f>
        <v/>
      </c>
      <c r="O192" s="32">
        <f>IF(OR($A192="",$E192=""),"",COUNTIFS($E$6:$E$305,$E192,$D$6:$D$305,"Active")+COUNTIFS($E$6:$E$305,$E192,$D$6:$D$305,"Paused"))</f>
        <v/>
      </c>
      <c r="P192" s="31">
        <f>IF($A192="","",IF($AE192=0,"○ Clear",IF($AA192=1,"△ No owner",IF($AC192=1,"△ Check Sits under",IF($AC192=2,"△ Outside the portfolio",IF($AB192=1,"△ No sponsor","△ No variance note"))))&amp;IF($AE192&gt;1," (+"&amp;($AE192-1)&amp;" more)","")))</f>
        <v/>
      </c>
      <c r="Q192" s="31">
        <f>IF(AND($A192&lt;&gt;"",OR($D192="Active",$D192="Paused")),1,0)</f>
        <v/>
      </c>
      <c r="R192" s="31">
        <f>IFERROR(INDEX($A$6:$A$305,MATCH(185,$S$6:$S$305,0)),"")</f>
        <v/>
      </c>
      <c r="S192" s="31">
        <f>IF(AND($A192&lt;&gt;"",$B192="Program"),COUNTIFS($B$6:$B192,"Program",$A$6:$A192,"&lt;&gt;"),"")</f>
        <v/>
      </c>
      <c r="T192" s="33">
        <f>IF(AND($A192&lt;&gt;"",$B192="Program"),SUMPRODUCT(MAX(($C$6:$C$305=$A192)*($B$6:$B$305="Project")*($D$6:$D$305&lt;&gt;"Proposed")*$I$6:$I$305)),0)</f>
        <v/>
      </c>
      <c r="U192" s="33">
        <f>IF($I192&lt;&gt;"",$I192,IF($T192&gt;0,$T192,""))</f>
        <v/>
      </c>
      <c r="V192" s="31">
        <f>IF(AND($A192&lt;&gt;"",$B192="Program"),SUMIFS($J$6:$J$305,$C$6:$C$305,$A192,$B$6:$B$305,"Project",$D$6:$D$305,"&lt;&gt;Proposed"),0)</f>
        <v/>
      </c>
      <c r="W192" s="31">
        <f>IF(AND($A192&lt;&gt;"",$B192="Program"),COUNTIFS($C$6:$C$305,$A192,$B$6:$B$305,"Project",$D$6:$D$305,"&lt;&gt;Proposed")-COUNTIFS($C$6:$C$305,$A192,$B$6:$B$305,"Project",$D$6:$D$305,"&lt;&gt;Proposed",$J$6:$J$305,"&gt;=0"),0)</f>
        <v/>
      </c>
      <c r="X192" s="31">
        <f>IF(OR($Q192=0,$H192=""),0,IF(AND($B192="Project",$H192&lt;TODAY()),3,IF($U192="",0,IF($U192&lt;=$H192,1,IF(NETWORKDAYS($H192,$U192)-1&gt;IF($B192="Program",Portfolio!$B$16,Portfolio!$B$15),3,2)))))</f>
        <v/>
      </c>
      <c r="Y192" s="31">
        <f>IF(OR($Q192=0,$K192="",$K192=0),0,IF(AND($B192="Project",$J192=""),0,IF(IF($B192="Program",$V192,$J192)&gt;$K192*(1+Portfolio!$B$17),3,IF(IF($B192="Program",$V192,$J192)&gt;$K192,2,IF(AND($B192="Program",OR($W192&gt;0,$V192=0)),0,1)))))</f>
        <v/>
      </c>
      <c r="Z192" s="31">
        <f>IF($A192="",0,IF($C192="Portfolio",1,IF(AND($B192="Project",$C192&lt;&gt;"",$C192&lt;&gt;"Outside the portfolio"),IFERROR(IF(AND(INDEX($B$6:$B$305,MATCH($C192,$A$6:$A$305,0))="Program",INDEX($C$6:$C$305,MATCH($C192,$A$6:$A$305,0))="Portfolio"),1,0),0),0)))</f>
        <v/>
      </c>
      <c r="AA192" s="31">
        <f>IF(AND($A192&lt;&gt;"",$E192="",OR($Q192=1,$D192="Proposed")),1,0)</f>
        <v/>
      </c>
      <c r="AB192" s="31">
        <f>IF(AND($A192&lt;&gt;"",$B192="Program",$F192="",$Q192=1),1,0)</f>
        <v/>
      </c>
      <c r="AC192" s="31">
        <f>IF(OR($A192="",$D192="Completed",$D192="Terminated"),0,IF($C192="",1,IF($C192="Portfolio",0,IF($C192="Outside the portfolio",IF($Q192=1,2,0),IF($B192="Project",IF(IFERROR(INDEX($B$6:$B$305,MATCH($C192,$A$6:$A$305,0)),"")="Program",0,1),1)))))</f>
        <v/>
      </c>
      <c r="AD192" s="31">
        <f>IF(AND($A192&lt;&gt;"",OR($M192="■ Red",$M192="◧ Amber"),$L192=""),1,0)</f>
        <v/>
      </c>
      <c r="AE192" s="31">
        <f>$AA192+$AB192+IF($AC192&gt;0,1,0)+$AD192</f>
        <v/>
      </c>
      <c r="AJ192" s="14" t="n"/>
      <c r="AK192" s="29" t="n"/>
      <c r="AL192" s="31">
        <f>IF(AND($Q192=1,$Z192=1),1,0)</f>
        <v/>
      </c>
      <c r="AM192" s="31">
        <f>IF(AND($AL192=1,$AJ192&lt;&gt;""),MAX(0,TODAY()-$AJ192),"")</f>
        <v/>
      </c>
      <c r="AN192" s="31">
        <f>IF(OR($AL192=0,COUNT($AJ$6:$AJ$305)=0),0,IF($AJ192="",1,IF(TODAY()-$AJ192&gt;Board!$B$40,1,0)))</f>
        <v/>
      </c>
      <c r="AO192" s="31">
        <f>IF($AL192=0,0,IF($M192="■ Red",3,IF($M192="◧ Amber",2,IF($M192="□ On track",1,0))))</f>
        <v/>
      </c>
      <c r="AP192" s="31">
        <f>IF($AL192=0,0,IF($AK192="Will not hold",3,IF($AK192="At risk",2,IF($AK192="Will hold",1,0))))</f>
        <v/>
      </c>
      <c r="AQ192" s="31">
        <f>IF($AL192=0,"",IF($AO192=3,0,IF($AO192=2,1,IF(AND($AP192&gt;=2,$AP192&gt;$AO192),2,""))))</f>
        <v/>
      </c>
      <c r="AR192" s="31">
        <f>IF($AQ192="","",$AQ192*1000+192)</f>
        <v/>
      </c>
      <c r="AS192" s="31">
        <f>IF(AND($AL192=1,$AO192&gt;=2,$AP192&gt;=1,$AP192&lt;$AO192),1,0)</f>
        <v/>
      </c>
      <c r="AT192" s="31">
        <f>IF(AND($AL192=1,$AO192&gt;=2,$AP192=0),1,0)</f>
        <v/>
      </c>
      <c r="AU192" s="31">
        <f>IF(AND($AL192=1,$U192&lt;&gt;"",$U192&lt;TODAY()),1,0)</f>
        <v/>
      </c>
      <c r="AV192" s="31">
        <f>IF(OR($A192="",$AJ192="",Portfolio!$B$10=""),0,IF($AJ192&lt;=Portfolio!$B$10,0,IF(AND($D192="Completed",$Z192=1),1,IF(AND($D192="Terminated",$Z192=1),2,IF(AND($Q192=1,$Z192=0),3,0)))))</f>
        <v/>
      </c>
      <c r="AW192" s="31">
        <f>IF($AV192&gt;0,COUNTIF($AV$6:$AV192,"&gt;0"),"")</f>
        <v/>
      </c>
      <c r="AX192" s="31">
        <f>IF($AL192=0,"",IF(AND($B192="Project",$H192&lt;&gt;"",$H192&lt;TODAY()),"Planned finish "&amp;TEXT($H192,"d mmm")&amp;" has passed",IF($X192&gt;=2,(NETWORKDAYS($H192,$U192)-1)&amp;" working days past plan","")))</f>
        <v/>
      </c>
      <c r="AY192" s="31">
        <f>IF($AL192=0,"",IF($Y192&gt;=2,"Over budget by "&amp;TEXT(IF($B192="Program",$V192,$J192)-$K192,"#,##0"),""))</f>
        <v/>
      </c>
      <c r="AZ192" s="31">
        <f>IF(AND($AL192=1,$U192&lt;&gt;""),IF(AND(N($U192)&gt;=TODAY(),N($U192)&lt;=TODAY()+Board!$B$41),1,0),0)</f>
        <v/>
      </c>
    </row>
    <row r="193">
      <c r="A193" s="29" t="n"/>
      <c r="B193" s="29" t="n"/>
      <c r="C193" s="29" t="n"/>
      <c r="D193" s="29" t="n"/>
      <c r="E193" s="29" t="n"/>
      <c r="F193" s="29" t="n"/>
      <c r="G193" s="29" t="n"/>
      <c r="H193" s="30" t="n"/>
      <c r="I193" s="30" t="n"/>
      <c r="J193" s="19" t="n"/>
      <c r="K193" s="19" t="n"/>
      <c r="L193" s="26" t="n"/>
      <c r="M193" s="31">
        <f>IF($A193="","",IF($D193="","Not read",IF($Q193=0,"Not counted",IF(MAX($X193,$Y193)=3,"■ Red",IF(MAX($X193,$Y193)=2,"◧ Amber",IF(MAX($X193,$Y193)=1,"□ On track","Not read"))))))</f>
        <v/>
      </c>
      <c r="N193" s="31">
        <f>IF(OR($A193="",$B193&lt;&gt;"Program"),"","■ "&amp;COUNTIFS($C$6:$C$305,$A193,$M$6:$M$305,"■ Red")&amp;" Red, ◧ "&amp;COUNTIFS($C$6:$C$305,$A193,$M$6:$M$305,"◧ Amber")&amp;" Amber")</f>
        <v/>
      </c>
      <c r="O193" s="32">
        <f>IF(OR($A193="",$E193=""),"",COUNTIFS($E$6:$E$305,$E193,$D$6:$D$305,"Active")+COUNTIFS($E$6:$E$305,$E193,$D$6:$D$305,"Paused"))</f>
        <v/>
      </c>
      <c r="P193" s="31">
        <f>IF($A193="","",IF($AE193=0,"○ Clear",IF($AA193=1,"△ No owner",IF($AC193=1,"△ Check Sits under",IF($AC193=2,"△ Outside the portfolio",IF($AB193=1,"△ No sponsor","△ No variance note"))))&amp;IF($AE193&gt;1," (+"&amp;($AE193-1)&amp;" more)","")))</f>
        <v/>
      </c>
      <c r="Q193" s="31">
        <f>IF(AND($A193&lt;&gt;"",OR($D193="Active",$D193="Paused")),1,0)</f>
        <v/>
      </c>
      <c r="R193" s="31">
        <f>IFERROR(INDEX($A$6:$A$305,MATCH(186,$S$6:$S$305,0)),"")</f>
        <v/>
      </c>
      <c r="S193" s="31">
        <f>IF(AND($A193&lt;&gt;"",$B193="Program"),COUNTIFS($B$6:$B193,"Program",$A$6:$A193,"&lt;&gt;"),"")</f>
        <v/>
      </c>
      <c r="T193" s="33">
        <f>IF(AND($A193&lt;&gt;"",$B193="Program"),SUMPRODUCT(MAX(($C$6:$C$305=$A193)*($B$6:$B$305="Project")*($D$6:$D$305&lt;&gt;"Proposed")*$I$6:$I$305)),0)</f>
        <v/>
      </c>
      <c r="U193" s="33">
        <f>IF($I193&lt;&gt;"",$I193,IF($T193&gt;0,$T193,""))</f>
        <v/>
      </c>
      <c r="V193" s="31">
        <f>IF(AND($A193&lt;&gt;"",$B193="Program"),SUMIFS($J$6:$J$305,$C$6:$C$305,$A193,$B$6:$B$305,"Project",$D$6:$D$305,"&lt;&gt;Proposed"),0)</f>
        <v/>
      </c>
      <c r="W193" s="31">
        <f>IF(AND($A193&lt;&gt;"",$B193="Program"),COUNTIFS($C$6:$C$305,$A193,$B$6:$B$305,"Project",$D$6:$D$305,"&lt;&gt;Proposed")-COUNTIFS($C$6:$C$305,$A193,$B$6:$B$305,"Project",$D$6:$D$305,"&lt;&gt;Proposed",$J$6:$J$305,"&gt;=0"),0)</f>
        <v/>
      </c>
      <c r="X193" s="31">
        <f>IF(OR($Q193=0,$H193=""),0,IF(AND($B193="Project",$H193&lt;TODAY()),3,IF($U193="",0,IF($U193&lt;=$H193,1,IF(NETWORKDAYS($H193,$U193)-1&gt;IF($B193="Program",Portfolio!$B$16,Portfolio!$B$15),3,2)))))</f>
        <v/>
      </c>
      <c r="Y193" s="31">
        <f>IF(OR($Q193=0,$K193="",$K193=0),0,IF(AND($B193="Project",$J193=""),0,IF(IF($B193="Program",$V193,$J193)&gt;$K193*(1+Portfolio!$B$17),3,IF(IF($B193="Program",$V193,$J193)&gt;$K193,2,IF(AND($B193="Program",OR($W193&gt;0,$V193=0)),0,1)))))</f>
        <v/>
      </c>
      <c r="Z193" s="31">
        <f>IF($A193="",0,IF($C193="Portfolio",1,IF(AND($B193="Project",$C193&lt;&gt;"",$C193&lt;&gt;"Outside the portfolio"),IFERROR(IF(AND(INDEX($B$6:$B$305,MATCH($C193,$A$6:$A$305,0))="Program",INDEX($C$6:$C$305,MATCH($C193,$A$6:$A$305,0))="Portfolio"),1,0),0),0)))</f>
        <v/>
      </c>
      <c r="AA193" s="31">
        <f>IF(AND($A193&lt;&gt;"",$E193="",OR($Q193=1,$D193="Proposed")),1,0)</f>
        <v/>
      </c>
      <c r="AB193" s="31">
        <f>IF(AND($A193&lt;&gt;"",$B193="Program",$F193="",$Q193=1),1,0)</f>
        <v/>
      </c>
      <c r="AC193" s="31">
        <f>IF(OR($A193="",$D193="Completed",$D193="Terminated"),0,IF($C193="",1,IF($C193="Portfolio",0,IF($C193="Outside the portfolio",IF($Q193=1,2,0),IF($B193="Project",IF(IFERROR(INDEX($B$6:$B$305,MATCH($C193,$A$6:$A$305,0)),"")="Program",0,1),1)))))</f>
        <v/>
      </c>
      <c r="AD193" s="31">
        <f>IF(AND($A193&lt;&gt;"",OR($M193="■ Red",$M193="◧ Amber"),$L193=""),1,0)</f>
        <v/>
      </c>
      <c r="AE193" s="31">
        <f>$AA193+$AB193+IF($AC193&gt;0,1,0)+$AD193</f>
        <v/>
      </c>
      <c r="AJ193" s="14" t="n"/>
      <c r="AK193" s="29" t="n"/>
      <c r="AL193" s="31">
        <f>IF(AND($Q193=1,$Z193=1),1,0)</f>
        <v/>
      </c>
      <c r="AM193" s="31">
        <f>IF(AND($AL193=1,$AJ193&lt;&gt;""),MAX(0,TODAY()-$AJ193),"")</f>
        <v/>
      </c>
      <c r="AN193" s="31">
        <f>IF(OR($AL193=0,COUNT($AJ$6:$AJ$305)=0),0,IF($AJ193="",1,IF(TODAY()-$AJ193&gt;Board!$B$40,1,0)))</f>
        <v/>
      </c>
      <c r="AO193" s="31">
        <f>IF($AL193=0,0,IF($M193="■ Red",3,IF($M193="◧ Amber",2,IF($M193="□ On track",1,0))))</f>
        <v/>
      </c>
      <c r="AP193" s="31">
        <f>IF($AL193=0,0,IF($AK193="Will not hold",3,IF($AK193="At risk",2,IF($AK193="Will hold",1,0))))</f>
        <v/>
      </c>
      <c r="AQ193" s="31">
        <f>IF($AL193=0,"",IF($AO193=3,0,IF($AO193=2,1,IF(AND($AP193&gt;=2,$AP193&gt;$AO193),2,""))))</f>
        <v/>
      </c>
      <c r="AR193" s="31">
        <f>IF($AQ193="","",$AQ193*1000+193)</f>
        <v/>
      </c>
      <c r="AS193" s="31">
        <f>IF(AND($AL193=1,$AO193&gt;=2,$AP193&gt;=1,$AP193&lt;$AO193),1,0)</f>
        <v/>
      </c>
      <c r="AT193" s="31">
        <f>IF(AND($AL193=1,$AO193&gt;=2,$AP193=0),1,0)</f>
        <v/>
      </c>
      <c r="AU193" s="31">
        <f>IF(AND($AL193=1,$U193&lt;&gt;"",$U193&lt;TODAY()),1,0)</f>
        <v/>
      </c>
      <c r="AV193" s="31">
        <f>IF(OR($A193="",$AJ193="",Portfolio!$B$10=""),0,IF($AJ193&lt;=Portfolio!$B$10,0,IF(AND($D193="Completed",$Z193=1),1,IF(AND($D193="Terminated",$Z193=1),2,IF(AND($Q193=1,$Z193=0),3,0)))))</f>
        <v/>
      </c>
      <c r="AW193" s="31">
        <f>IF($AV193&gt;0,COUNTIF($AV$6:$AV193,"&gt;0"),"")</f>
        <v/>
      </c>
      <c r="AX193" s="31">
        <f>IF($AL193=0,"",IF(AND($B193="Project",$H193&lt;&gt;"",$H193&lt;TODAY()),"Planned finish "&amp;TEXT($H193,"d mmm")&amp;" has passed",IF($X193&gt;=2,(NETWORKDAYS($H193,$U193)-1)&amp;" working days past plan","")))</f>
        <v/>
      </c>
      <c r="AY193" s="31">
        <f>IF($AL193=0,"",IF($Y193&gt;=2,"Over budget by "&amp;TEXT(IF($B193="Program",$V193,$J193)-$K193,"#,##0"),""))</f>
        <v/>
      </c>
      <c r="AZ193" s="31">
        <f>IF(AND($AL193=1,$U193&lt;&gt;""),IF(AND(N($U193)&gt;=TODAY(),N($U193)&lt;=TODAY()+Board!$B$41),1,0),0)</f>
        <v/>
      </c>
    </row>
    <row r="194">
      <c r="A194" s="29" t="n"/>
      <c r="B194" s="29" t="n"/>
      <c r="C194" s="29" t="n"/>
      <c r="D194" s="29" t="n"/>
      <c r="E194" s="29" t="n"/>
      <c r="F194" s="29" t="n"/>
      <c r="G194" s="29" t="n"/>
      <c r="H194" s="30" t="n"/>
      <c r="I194" s="30" t="n"/>
      <c r="J194" s="19" t="n"/>
      <c r="K194" s="19" t="n"/>
      <c r="L194" s="26" t="n"/>
      <c r="M194" s="31">
        <f>IF($A194="","",IF($D194="","Not read",IF($Q194=0,"Not counted",IF(MAX($X194,$Y194)=3,"■ Red",IF(MAX($X194,$Y194)=2,"◧ Amber",IF(MAX($X194,$Y194)=1,"□ On track","Not read"))))))</f>
        <v/>
      </c>
      <c r="N194" s="31">
        <f>IF(OR($A194="",$B194&lt;&gt;"Program"),"","■ "&amp;COUNTIFS($C$6:$C$305,$A194,$M$6:$M$305,"■ Red")&amp;" Red, ◧ "&amp;COUNTIFS($C$6:$C$305,$A194,$M$6:$M$305,"◧ Amber")&amp;" Amber")</f>
        <v/>
      </c>
      <c r="O194" s="32">
        <f>IF(OR($A194="",$E194=""),"",COUNTIFS($E$6:$E$305,$E194,$D$6:$D$305,"Active")+COUNTIFS($E$6:$E$305,$E194,$D$6:$D$305,"Paused"))</f>
        <v/>
      </c>
      <c r="P194" s="31">
        <f>IF($A194="","",IF($AE194=0,"○ Clear",IF($AA194=1,"△ No owner",IF($AC194=1,"△ Check Sits under",IF($AC194=2,"△ Outside the portfolio",IF($AB194=1,"△ No sponsor","△ No variance note"))))&amp;IF($AE194&gt;1," (+"&amp;($AE194-1)&amp;" more)","")))</f>
        <v/>
      </c>
      <c r="Q194" s="31">
        <f>IF(AND($A194&lt;&gt;"",OR($D194="Active",$D194="Paused")),1,0)</f>
        <v/>
      </c>
      <c r="R194" s="31">
        <f>IFERROR(INDEX($A$6:$A$305,MATCH(187,$S$6:$S$305,0)),"")</f>
        <v/>
      </c>
      <c r="S194" s="31">
        <f>IF(AND($A194&lt;&gt;"",$B194="Program"),COUNTIFS($B$6:$B194,"Program",$A$6:$A194,"&lt;&gt;"),"")</f>
        <v/>
      </c>
      <c r="T194" s="33">
        <f>IF(AND($A194&lt;&gt;"",$B194="Program"),SUMPRODUCT(MAX(($C$6:$C$305=$A194)*($B$6:$B$305="Project")*($D$6:$D$305&lt;&gt;"Proposed")*$I$6:$I$305)),0)</f>
        <v/>
      </c>
      <c r="U194" s="33">
        <f>IF($I194&lt;&gt;"",$I194,IF($T194&gt;0,$T194,""))</f>
        <v/>
      </c>
      <c r="V194" s="31">
        <f>IF(AND($A194&lt;&gt;"",$B194="Program"),SUMIFS($J$6:$J$305,$C$6:$C$305,$A194,$B$6:$B$305,"Project",$D$6:$D$305,"&lt;&gt;Proposed"),0)</f>
        <v/>
      </c>
      <c r="W194" s="31">
        <f>IF(AND($A194&lt;&gt;"",$B194="Program"),COUNTIFS($C$6:$C$305,$A194,$B$6:$B$305,"Project",$D$6:$D$305,"&lt;&gt;Proposed")-COUNTIFS($C$6:$C$305,$A194,$B$6:$B$305,"Project",$D$6:$D$305,"&lt;&gt;Proposed",$J$6:$J$305,"&gt;=0"),0)</f>
        <v/>
      </c>
      <c r="X194" s="31">
        <f>IF(OR($Q194=0,$H194=""),0,IF(AND($B194="Project",$H194&lt;TODAY()),3,IF($U194="",0,IF($U194&lt;=$H194,1,IF(NETWORKDAYS($H194,$U194)-1&gt;IF($B194="Program",Portfolio!$B$16,Portfolio!$B$15),3,2)))))</f>
        <v/>
      </c>
      <c r="Y194" s="31">
        <f>IF(OR($Q194=0,$K194="",$K194=0),0,IF(AND($B194="Project",$J194=""),0,IF(IF($B194="Program",$V194,$J194)&gt;$K194*(1+Portfolio!$B$17),3,IF(IF($B194="Program",$V194,$J194)&gt;$K194,2,IF(AND($B194="Program",OR($W194&gt;0,$V194=0)),0,1)))))</f>
        <v/>
      </c>
      <c r="Z194" s="31">
        <f>IF($A194="",0,IF($C194="Portfolio",1,IF(AND($B194="Project",$C194&lt;&gt;"",$C194&lt;&gt;"Outside the portfolio"),IFERROR(IF(AND(INDEX($B$6:$B$305,MATCH($C194,$A$6:$A$305,0))="Program",INDEX($C$6:$C$305,MATCH($C194,$A$6:$A$305,0))="Portfolio"),1,0),0),0)))</f>
        <v/>
      </c>
      <c r="AA194" s="31">
        <f>IF(AND($A194&lt;&gt;"",$E194="",OR($Q194=1,$D194="Proposed")),1,0)</f>
        <v/>
      </c>
      <c r="AB194" s="31">
        <f>IF(AND($A194&lt;&gt;"",$B194="Program",$F194="",$Q194=1),1,0)</f>
        <v/>
      </c>
      <c r="AC194" s="31">
        <f>IF(OR($A194="",$D194="Completed",$D194="Terminated"),0,IF($C194="",1,IF($C194="Portfolio",0,IF($C194="Outside the portfolio",IF($Q194=1,2,0),IF($B194="Project",IF(IFERROR(INDEX($B$6:$B$305,MATCH($C194,$A$6:$A$305,0)),"")="Program",0,1),1)))))</f>
        <v/>
      </c>
      <c r="AD194" s="31">
        <f>IF(AND($A194&lt;&gt;"",OR($M194="■ Red",$M194="◧ Amber"),$L194=""),1,0)</f>
        <v/>
      </c>
      <c r="AE194" s="31">
        <f>$AA194+$AB194+IF($AC194&gt;0,1,0)+$AD194</f>
        <v/>
      </c>
      <c r="AJ194" s="14" t="n"/>
      <c r="AK194" s="29" t="n"/>
      <c r="AL194" s="31">
        <f>IF(AND($Q194=1,$Z194=1),1,0)</f>
        <v/>
      </c>
      <c r="AM194" s="31">
        <f>IF(AND($AL194=1,$AJ194&lt;&gt;""),MAX(0,TODAY()-$AJ194),"")</f>
        <v/>
      </c>
      <c r="AN194" s="31">
        <f>IF(OR($AL194=0,COUNT($AJ$6:$AJ$305)=0),0,IF($AJ194="",1,IF(TODAY()-$AJ194&gt;Board!$B$40,1,0)))</f>
        <v/>
      </c>
      <c r="AO194" s="31">
        <f>IF($AL194=0,0,IF($M194="■ Red",3,IF($M194="◧ Amber",2,IF($M194="□ On track",1,0))))</f>
        <v/>
      </c>
      <c r="AP194" s="31">
        <f>IF($AL194=0,0,IF($AK194="Will not hold",3,IF($AK194="At risk",2,IF($AK194="Will hold",1,0))))</f>
        <v/>
      </c>
      <c r="AQ194" s="31">
        <f>IF($AL194=0,"",IF($AO194=3,0,IF($AO194=2,1,IF(AND($AP194&gt;=2,$AP194&gt;$AO194),2,""))))</f>
        <v/>
      </c>
      <c r="AR194" s="31">
        <f>IF($AQ194="","",$AQ194*1000+194)</f>
        <v/>
      </c>
      <c r="AS194" s="31">
        <f>IF(AND($AL194=1,$AO194&gt;=2,$AP194&gt;=1,$AP194&lt;$AO194),1,0)</f>
        <v/>
      </c>
      <c r="AT194" s="31">
        <f>IF(AND($AL194=1,$AO194&gt;=2,$AP194=0),1,0)</f>
        <v/>
      </c>
      <c r="AU194" s="31">
        <f>IF(AND($AL194=1,$U194&lt;&gt;"",$U194&lt;TODAY()),1,0)</f>
        <v/>
      </c>
      <c r="AV194" s="31">
        <f>IF(OR($A194="",$AJ194="",Portfolio!$B$10=""),0,IF($AJ194&lt;=Portfolio!$B$10,0,IF(AND($D194="Completed",$Z194=1),1,IF(AND($D194="Terminated",$Z194=1),2,IF(AND($Q194=1,$Z194=0),3,0)))))</f>
        <v/>
      </c>
      <c r="AW194" s="31">
        <f>IF($AV194&gt;0,COUNTIF($AV$6:$AV194,"&gt;0"),"")</f>
        <v/>
      </c>
      <c r="AX194" s="31">
        <f>IF($AL194=0,"",IF(AND($B194="Project",$H194&lt;&gt;"",$H194&lt;TODAY()),"Planned finish "&amp;TEXT($H194,"d mmm")&amp;" has passed",IF($X194&gt;=2,(NETWORKDAYS($H194,$U194)-1)&amp;" working days past plan","")))</f>
        <v/>
      </c>
      <c r="AY194" s="31">
        <f>IF($AL194=0,"",IF($Y194&gt;=2,"Over budget by "&amp;TEXT(IF($B194="Program",$V194,$J194)-$K194,"#,##0"),""))</f>
        <v/>
      </c>
      <c r="AZ194" s="31">
        <f>IF(AND($AL194=1,$U194&lt;&gt;""),IF(AND(N($U194)&gt;=TODAY(),N($U194)&lt;=TODAY()+Board!$B$41),1,0),0)</f>
        <v/>
      </c>
    </row>
    <row r="195">
      <c r="A195" s="29" t="n"/>
      <c r="B195" s="29" t="n"/>
      <c r="C195" s="29" t="n"/>
      <c r="D195" s="29" t="n"/>
      <c r="E195" s="29" t="n"/>
      <c r="F195" s="29" t="n"/>
      <c r="G195" s="29" t="n"/>
      <c r="H195" s="30" t="n"/>
      <c r="I195" s="30" t="n"/>
      <c r="J195" s="19" t="n"/>
      <c r="K195" s="19" t="n"/>
      <c r="L195" s="26" t="n"/>
      <c r="M195" s="31">
        <f>IF($A195="","",IF($D195="","Not read",IF($Q195=0,"Not counted",IF(MAX($X195,$Y195)=3,"■ Red",IF(MAX($X195,$Y195)=2,"◧ Amber",IF(MAX($X195,$Y195)=1,"□ On track","Not read"))))))</f>
        <v/>
      </c>
      <c r="N195" s="31">
        <f>IF(OR($A195="",$B195&lt;&gt;"Program"),"","■ "&amp;COUNTIFS($C$6:$C$305,$A195,$M$6:$M$305,"■ Red")&amp;" Red, ◧ "&amp;COUNTIFS($C$6:$C$305,$A195,$M$6:$M$305,"◧ Amber")&amp;" Amber")</f>
        <v/>
      </c>
      <c r="O195" s="32">
        <f>IF(OR($A195="",$E195=""),"",COUNTIFS($E$6:$E$305,$E195,$D$6:$D$305,"Active")+COUNTIFS($E$6:$E$305,$E195,$D$6:$D$305,"Paused"))</f>
        <v/>
      </c>
      <c r="P195" s="31">
        <f>IF($A195="","",IF($AE195=0,"○ Clear",IF($AA195=1,"△ No owner",IF($AC195=1,"△ Check Sits under",IF($AC195=2,"△ Outside the portfolio",IF($AB195=1,"△ No sponsor","△ No variance note"))))&amp;IF($AE195&gt;1," (+"&amp;($AE195-1)&amp;" more)","")))</f>
        <v/>
      </c>
      <c r="Q195" s="31">
        <f>IF(AND($A195&lt;&gt;"",OR($D195="Active",$D195="Paused")),1,0)</f>
        <v/>
      </c>
      <c r="R195" s="31">
        <f>IFERROR(INDEX($A$6:$A$305,MATCH(188,$S$6:$S$305,0)),"")</f>
        <v/>
      </c>
      <c r="S195" s="31">
        <f>IF(AND($A195&lt;&gt;"",$B195="Program"),COUNTIFS($B$6:$B195,"Program",$A$6:$A195,"&lt;&gt;"),"")</f>
        <v/>
      </c>
      <c r="T195" s="33">
        <f>IF(AND($A195&lt;&gt;"",$B195="Program"),SUMPRODUCT(MAX(($C$6:$C$305=$A195)*($B$6:$B$305="Project")*($D$6:$D$305&lt;&gt;"Proposed")*$I$6:$I$305)),0)</f>
        <v/>
      </c>
      <c r="U195" s="33">
        <f>IF($I195&lt;&gt;"",$I195,IF($T195&gt;0,$T195,""))</f>
        <v/>
      </c>
      <c r="V195" s="31">
        <f>IF(AND($A195&lt;&gt;"",$B195="Program"),SUMIFS($J$6:$J$305,$C$6:$C$305,$A195,$B$6:$B$305,"Project",$D$6:$D$305,"&lt;&gt;Proposed"),0)</f>
        <v/>
      </c>
      <c r="W195" s="31">
        <f>IF(AND($A195&lt;&gt;"",$B195="Program"),COUNTIFS($C$6:$C$305,$A195,$B$6:$B$305,"Project",$D$6:$D$305,"&lt;&gt;Proposed")-COUNTIFS($C$6:$C$305,$A195,$B$6:$B$305,"Project",$D$6:$D$305,"&lt;&gt;Proposed",$J$6:$J$305,"&gt;=0"),0)</f>
        <v/>
      </c>
      <c r="X195" s="31">
        <f>IF(OR($Q195=0,$H195=""),0,IF(AND($B195="Project",$H195&lt;TODAY()),3,IF($U195="",0,IF($U195&lt;=$H195,1,IF(NETWORKDAYS($H195,$U195)-1&gt;IF($B195="Program",Portfolio!$B$16,Portfolio!$B$15),3,2)))))</f>
        <v/>
      </c>
      <c r="Y195" s="31">
        <f>IF(OR($Q195=0,$K195="",$K195=0),0,IF(AND($B195="Project",$J195=""),0,IF(IF($B195="Program",$V195,$J195)&gt;$K195*(1+Portfolio!$B$17),3,IF(IF($B195="Program",$V195,$J195)&gt;$K195,2,IF(AND($B195="Program",OR($W195&gt;0,$V195=0)),0,1)))))</f>
        <v/>
      </c>
      <c r="Z195" s="31">
        <f>IF($A195="",0,IF($C195="Portfolio",1,IF(AND($B195="Project",$C195&lt;&gt;"",$C195&lt;&gt;"Outside the portfolio"),IFERROR(IF(AND(INDEX($B$6:$B$305,MATCH($C195,$A$6:$A$305,0))="Program",INDEX($C$6:$C$305,MATCH($C195,$A$6:$A$305,0))="Portfolio"),1,0),0),0)))</f>
        <v/>
      </c>
      <c r="AA195" s="31">
        <f>IF(AND($A195&lt;&gt;"",$E195="",OR($Q195=1,$D195="Proposed")),1,0)</f>
        <v/>
      </c>
      <c r="AB195" s="31">
        <f>IF(AND($A195&lt;&gt;"",$B195="Program",$F195="",$Q195=1),1,0)</f>
        <v/>
      </c>
      <c r="AC195" s="31">
        <f>IF(OR($A195="",$D195="Completed",$D195="Terminated"),0,IF($C195="",1,IF($C195="Portfolio",0,IF($C195="Outside the portfolio",IF($Q195=1,2,0),IF($B195="Project",IF(IFERROR(INDEX($B$6:$B$305,MATCH($C195,$A$6:$A$305,0)),"")="Program",0,1),1)))))</f>
        <v/>
      </c>
      <c r="AD195" s="31">
        <f>IF(AND($A195&lt;&gt;"",OR($M195="■ Red",$M195="◧ Amber"),$L195=""),1,0)</f>
        <v/>
      </c>
      <c r="AE195" s="31">
        <f>$AA195+$AB195+IF($AC195&gt;0,1,0)+$AD195</f>
        <v/>
      </c>
      <c r="AJ195" s="14" t="n"/>
      <c r="AK195" s="29" t="n"/>
      <c r="AL195" s="31">
        <f>IF(AND($Q195=1,$Z195=1),1,0)</f>
        <v/>
      </c>
      <c r="AM195" s="31">
        <f>IF(AND($AL195=1,$AJ195&lt;&gt;""),MAX(0,TODAY()-$AJ195),"")</f>
        <v/>
      </c>
      <c r="AN195" s="31">
        <f>IF(OR($AL195=0,COUNT($AJ$6:$AJ$305)=0),0,IF($AJ195="",1,IF(TODAY()-$AJ195&gt;Board!$B$40,1,0)))</f>
        <v/>
      </c>
      <c r="AO195" s="31">
        <f>IF($AL195=0,0,IF($M195="■ Red",3,IF($M195="◧ Amber",2,IF($M195="□ On track",1,0))))</f>
        <v/>
      </c>
      <c r="AP195" s="31">
        <f>IF($AL195=0,0,IF($AK195="Will not hold",3,IF($AK195="At risk",2,IF($AK195="Will hold",1,0))))</f>
        <v/>
      </c>
      <c r="AQ195" s="31">
        <f>IF($AL195=0,"",IF($AO195=3,0,IF($AO195=2,1,IF(AND($AP195&gt;=2,$AP195&gt;$AO195),2,""))))</f>
        <v/>
      </c>
      <c r="AR195" s="31">
        <f>IF($AQ195="","",$AQ195*1000+195)</f>
        <v/>
      </c>
      <c r="AS195" s="31">
        <f>IF(AND($AL195=1,$AO195&gt;=2,$AP195&gt;=1,$AP195&lt;$AO195),1,0)</f>
        <v/>
      </c>
      <c r="AT195" s="31">
        <f>IF(AND($AL195=1,$AO195&gt;=2,$AP195=0),1,0)</f>
        <v/>
      </c>
      <c r="AU195" s="31">
        <f>IF(AND($AL195=1,$U195&lt;&gt;"",$U195&lt;TODAY()),1,0)</f>
        <v/>
      </c>
      <c r="AV195" s="31">
        <f>IF(OR($A195="",$AJ195="",Portfolio!$B$10=""),0,IF($AJ195&lt;=Portfolio!$B$10,0,IF(AND($D195="Completed",$Z195=1),1,IF(AND($D195="Terminated",$Z195=1),2,IF(AND($Q195=1,$Z195=0),3,0)))))</f>
        <v/>
      </c>
      <c r="AW195" s="31">
        <f>IF($AV195&gt;0,COUNTIF($AV$6:$AV195,"&gt;0"),"")</f>
        <v/>
      </c>
      <c r="AX195" s="31">
        <f>IF($AL195=0,"",IF(AND($B195="Project",$H195&lt;&gt;"",$H195&lt;TODAY()),"Planned finish "&amp;TEXT($H195,"d mmm")&amp;" has passed",IF($X195&gt;=2,(NETWORKDAYS($H195,$U195)-1)&amp;" working days past plan","")))</f>
        <v/>
      </c>
      <c r="AY195" s="31">
        <f>IF($AL195=0,"",IF($Y195&gt;=2,"Over budget by "&amp;TEXT(IF($B195="Program",$V195,$J195)-$K195,"#,##0"),""))</f>
        <v/>
      </c>
      <c r="AZ195" s="31">
        <f>IF(AND($AL195=1,$U195&lt;&gt;""),IF(AND(N($U195)&gt;=TODAY(),N($U195)&lt;=TODAY()+Board!$B$41),1,0),0)</f>
        <v/>
      </c>
    </row>
    <row r="196">
      <c r="A196" s="29" t="n"/>
      <c r="B196" s="29" t="n"/>
      <c r="C196" s="29" t="n"/>
      <c r="D196" s="29" t="n"/>
      <c r="E196" s="29" t="n"/>
      <c r="F196" s="29" t="n"/>
      <c r="G196" s="29" t="n"/>
      <c r="H196" s="30" t="n"/>
      <c r="I196" s="30" t="n"/>
      <c r="J196" s="19" t="n"/>
      <c r="K196" s="19" t="n"/>
      <c r="L196" s="26" t="n"/>
      <c r="M196" s="31">
        <f>IF($A196="","",IF($D196="","Not read",IF($Q196=0,"Not counted",IF(MAX($X196,$Y196)=3,"■ Red",IF(MAX($X196,$Y196)=2,"◧ Amber",IF(MAX($X196,$Y196)=1,"□ On track","Not read"))))))</f>
        <v/>
      </c>
      <c r="N196" s="31">
        <f>IF(OR($A196="",$B196&lt;&gt;"Program"),"","■ "&amp;COUNTIFS($C$6:$C$305,$A196,$M$6:$M$305,"■ Red")&amp;" Red, ◧ "&amp;COUNTIFS($C$6:$C$305,$A196,$M$6:$M$305,"◧ Amber")&amp;" Amber")</f>
        <v/>
      </c>
      <c r="O196" s="32">
        <f>IF(OR($A196="",$E196=""),"",COUNTIFS($E$6:$E$305,$E196,$D$6:$D$305,"Active")+COUNTIFS($E$6:$E$305,$E196,$D$6:$D$305,"Paused"))</f>
        <v/>
      </c>
      <c r="P196" s="31">
        <f>IF($A196="","",IF($AE196=0,"○ Clear",IF($AA196=1,"△ No owner",IF($AC196=1,"△ Check Sits under",IF($AC196=2,"△ Outside the portfolio",IF($AB196=1,"△ No sponsor","△ No variance note"))))&amp;IF($AE196&gt;1," (+"&amp;($AE196-1)&amp;" more)","")))</f>
        <v/>
      </c>
      <c r="Q196" s="31">
        <f>IF(AND($A196&lt;&gt;"",OR($D196="Active",$D196="Paused")),1,0)</f>
        <v/>
      </c>
      <c r="R196" s="31">
        <f>IFERROR(INDEX($A$6:$A$305,MATCH(189,$S$6:$S$305,0)),"")</f>
        <v/>
      </c>
      <c r="S196" s="31">
        <f>IF(AND($A196&lt;&gt;"",$B196="Program"),COUNTIFS($B$6:$B196,"Program",$A$6:$A196,"&lt;&gt;"),"")</f>
        <v/>
      </c>
      <c r="T196" s="33">
        <f>IF(AND($A196&lt;&gt;"",$B196="Program"),SUMPRODUCT(MAX(($C$6:$C$305=$A196)*($B$6:$B$305="Project")*($D$6:$D$305&lt;&gt;"Proposed")*$I$6:$I$305)),0)</f>
        <v/>
      </c>
      <c r="U196" s="33">
        <f>IF($I196&lt;&gt;"",$I196,IF($T196&gt;0,$T196,""))</f>
        <v/>
      </c>
      <c r="V196" s="31">
        <f>IF(AND($A196&lt;&gt;"",$B196="Program"),SUMIFS($J$6:$J$305,$C$6:$C$305,$A196,$B$6:$B$305,"Project",$D$6:$D$305,"&lt;&gt;Proposed"),0)</f>
        <v/>
      </c>
      <c r="W196" s="31">
        <f>IF(AND($A196&lt;&gt;"",$B196="Program"),COUNTIFS($C$6:$C$305,$A196,$B$6:$B$305,"Project",$D$6:$D$305,"&lt;&gt;Proposed")-COUNTIFS($C$6:$C$305,$A196,$B$6:$B$305,"Project",$D$6:$D$305,"&lt;&gt;Proposed",$J$6:$J$305,"&gt;=0"),0)</f>
        <v/>
      </c>
      <c r="X196" s="31">
        <f>IF(OR($Q196=0,$H196=""),0,IF(AND($B196="Project",$H196&lt;TODAY()),3,IF($U196="",0,IF($U196&lt;=$H196,1,IF(NETWORKDAYS($H196,$U196)-1&gt;IF($B196="Program",Portfolio!$B$16,Portfolio!$B$15),3,2)))))</f>
        <v/>
      </c>
      <c r="Y196" s="31">
        <f>IF(OR($Q196=0,$K196="",$K196=0),0,IF(AND($B196="Project",$J196=""),0,IF(IF($B196="Program",$V196,$J196)&gt;$K196*(1+Portfolio!$B$17),3,IF(IF($B196="Program",$V196,$J196)&gt;$K196,2,IF(AND($B196="Program",OR($W196&gt;0,$V196=0)),0,1)))))</f>
        <v/>
      </c>
      <c r="Z196" s="31">
        <f>IF($A196="",0,IF($C196="Portfolio",1,IF(AND($B196="Project",$C196&lt;&gt;"",$C196&lt;&gt;"Outside the portfolio"),IFERROR(IF(AND(INDEX($B$6:$B$305,MATCH($C196,$A$6:$A$305,0))="Program",INDEX($C$6:$C$305,MATCH($C196,$A$6:$A$305,0))="Portfolio"),1,0),0),0)))</f>
        <v/>
      </c>
      <c r="AA196" s="31">
        <f>IF(AND($A196&lt;&gt;"",$E196="",OR($Q196=1,$D196="Proposed")),1,0)</f>
        <v/>
      </c>
      <c r="AB196" s="31">
        <f>IF(AND($A196&lt;&gt;"",$B196="Program",$F196="",$Q196=1),1,0)</f>
        <v/>
      </c>
      <c r="AC196" s="31">
        <f>IF(OR($A196="",$D196="Completed",$D196="Terminated"),0,IF($C196="",1,IF($C196="Portfolio",0,IF($C196="Outside the portfolio",IF($Q196=1,2,0),IF($B196="Project",IF(IFERROR(INDEX($B$6:$B$305,MATCH($C196,$A$6:$A$305,0)),"")="Program",0,1),1)))))</f>
        <v/>
      </c>
      <c r="AD196" s="31">
        <f>IF(AND($A196&lt;&gt;"",OR($M196="■ Red",$M196="◧ Amber"),$L196=""),1,0)</f>
        <v/>
      </c>
      <c r="AE196" s="31">
        <f>$AA196+$AB196+IF($AC196&gt;0,1,0)+$AD196</f>
        <v/>
      </c>
      <c r="AJ196" s="14" t="n"/>
      <c r="AK196" s="29" t="n"/>
      <c r="AL196" s="31">
        <f>IF(AND($Q196=1,$Z196=1),1,0)</f>
        <v/>
      </c>
      <c r="AM196" s="31">
        <f>IF(AND($AL196=1,$AJ196&lt;&gt;""),MAX(0,TODAY()-$AJ196),"")</f>
        <v/>
      </c>
      <c r="AN196" s="31">
        <f>IF(OR($AL196=0,COUNT($AJ$6:$AJ$305)=0),0,IF($AJ196="",1,IF(TODAY()-$AJ196&gt;Board!$B$40,1,0)))</f>
        <v/>
      </c>
      <c r="AO196" s="31">
        <f>IF($AL196=0,0,IF($M196="■ Red",3,IF($M196="◧ Amber",2,IF($M196="□ On track",1,0))))</f>
        <v/>
      </c>
      <c r="AP196" s="31">
        <f>IF($AL196=0,0,IF($AK196="Will not hold",3,IF($AK196="At risk",2,IF($AK196="Will hold",1,0))))</f>
        <v/>
      </c>
      <c r="AQ196" s="31">
        <f>IF($AL196=0,"",IF($AO196=3,0,IF($AO196=2,1,IF(AND($AP196&gt;=2,$AP196&gt;$AO196),2,""))))</f>
        <v/>
      </c>
      <c r="AR196" s="31">
        <f>IF($AQ196="","",$AQ196*1000+196)</f>
        <v/>
      </c>
      <c r="AS196" s="31">
        <f>IF(AND($AL196=1,$AO196&gt;=2,$AP196&gt;=1,$AP196&lt;$AO196),1,0)</f>
        <v/>
      </c>
      <c r="AT196" s="31">
        <f>IF(AND($AL196=1,$AO196&gt;=2,$AP196=0),1,0)</f>
        <v/>
      </c>
      <c r="AU196" s="31">
        <f>IF(AND($AL196=1,$U196&lt;&gt;"",$U196&lt;TODAY()),1,0)</f>
        <v/>
      </c>
      <c r="AV196" s="31">
        <f>IF(OR($A196="",$AJ196="",Portfolio!$B$10=""),0,IF($AJ196&lt;=Portfolio!$B$10,0,IF(AND($D196="Completed",$Z196=1),1,IF(AND($D196="Terminated",$Z196=1),2,IF(AND($Q196=1,$Z196=0),3,0)))))</f>
        <v/>
      </c>
      <c r="AW196" s="31">
        <f>IF($AV196&gt;0,COUNTIF($AV$6:$AV196,"&gt;0"),"")</f>
        <v/>
      </c>
      <c r="AX196" s="31">
        <f>IF($AL196=0,"",IF(AND($B196="Project",$H196&lt;&gt;"",$H196&lt;TODAY()),"Planned finish "&amp;TEXT($H196,"d mmm")&amp;" has passed",IF($X196&gt;=2,(NETWORKDAYS($H196,$U196)-1)&amp;" working days past plan","")))</f>
        <v/>
      </c>
      <c r="AY196" s="31">
        <f>IF($AL196=0,"",IF($Y196&gt;=2,"Over budget by "&amp;TEXT(IF($B196="Program",$V196,$J196)-$K196,"#,##0"),""))</f>
        <v/>
      </c>
      <c r="AZ196" s="31">
        <f>IF(AND($AL196=1,$U196&lt;&gt;""),IF(AND(N($U196)&gt;=TODAY(),N($U196)&lt;=TODAY()+Board!$B$41),1,0),0)</f>
        <v/>
      </c>
    </row>
    <row r="197">
      <c r="A197" s="29" t="n"/>
      <c r="B197" s="29" t="n"/>
      <c r="C197" s="29" t="n"/>
      <c r="D197" s="29" t="n"/>
      <c r="E197" s="29" t="n"/>
      <c r="F197" s="29" t="n"/>
      <c r="G197" s="29" t="n"/>
      <c r="H197" s="30" t="n"/>
      <c r="I197" s="30" t="n"/>
      <c r="J197" s="19" t="n"/>
      <c r="K197" s="19" t="n"/>
      <c r="L197" s="26" t="n"/>
      <c r="M197" s="31">
        <f>IF($A197="","",IF($D197="","Not read",IF($Q197=0,"Not counted",IF(MAX($X197,$Y197)=3,"■ Red",IF(MAX($X197,$Y197)=2,"◧ Amber",IF(MAX($X197,$Y197)=1,"□ On track","Not read"))))))</f>
        <v/>
      </c>
      <c r="N197" s="31">
        <f>IF(OR($A197="",$B197&lt;&gt;"Program"),"","■ "&amp;COUNTIFS($C$6:$C$305,$A197,$M$6:$M$305,"■ Red")&amp;" Red, ◧ "&amp;COUNTIFS($C$6:$C$305,$A197,$M$6:$M$305,"◧ Amber")&amp;" Amber")</f>
        <v/>
      </c>
      <c r="O197" s="32">
        <f>IF(OR($A197="",$E197=""),"",COUNTIFS($E$6:$E$305,$E197,$D$6:$D$305,"Active")+COUNTIFS($E$6:$E$305,$E197,$D$6:$D$305,"Paused"))</f>
        <v/>
      </c>
      <c r="P197" s="31">
        <f>IF($A197="","",IF($AE197=0,"○ Clear",IF($AA197=1,"△ No owner",IF($AC197=1,"△ Check Sits under",IF($AC197=2,"△ Outside the portfolio",IF($AB197=1,"△ No sponsor","△ No variance note"))))&amp;IF($AE197&gt;1," (+"&amp;($AE197-1)&amp;" more)","")))</f>
        <v/>
      </c>
      <c r="Q197" s="31">
        <f>IF(AND($A197&lt;&gt;"",OR($D197="Active",$D197="Paused")),1,0)</f>
        <v/>
      </c>
      <c r="R197" s="31">
        <f>IFERROR(INDEX($A$6:$A$305,MATCH(190,$S$6:$S$305,0)),"")</f>
        <v/>
      </c>
      <c r="S197" s="31">
        <f>IF(AND($A197&lt;&gt;"",$B197="Program"),COUNTIFS($B$6:$B197,"Program",$A$6:$A197,"&lt;&gt;"),"")</f>
        <v/>
      </c>
      <c r="T197" s="33">
        <f>IF(AND($A197&lt;&gt;"",$B197="Program"),SUMPRODUCT(MAX(($C$6:$C$305=$A197)*($B$6:$B$305="Project")*($D$6:$D$305&lt;&gt;"Proposed")*$I$6:$I$305)),0)</f>
        <v/>
      </c>
      <c r="U197" s="33">
        <f>IF($I197&lt;&gt;"",$I197,IF($T197&gt;0,$T197,""))</f>
        <v/>
      </c>
      <c r="V197" s="31">
        <f>IF(AND($A197&lt;&gt;"",$B197="Program"),SUMIFS($J$6:$J$305,$C$6:$C$305,$A197,$B$6:$B$305,"Project",$D$6:$D$305,"&lt;&gt;Proposed"),0)</f>
        <v/>
      </c>
      <c r="W197" s="31">
        <f>IF(AND($A197&lt;&gt;"",$B197="Program"),COUNTIFS($C$6:$C$305,$A197,$B$6:$B$305,"Project",$D$6:$D$305,"&lt;&gt;Proposed")-COUNTIFS($C$6:$C$305,$A197,$B$6:$B$305,"Project",$D$6:$D$305,"&lt;&gt;Proposed",$J$6:$J$305,"&gt;=0"),0)</f>
        <v/>
      </c>
      <c r="X197" s="31">
        <f>IF(OR($Q197=0,$H197=""),0,IF(AND($B197="Project",$H197&lt;TODAY()),3,IF($U197="",0,IF($U197&lt;=$H197,1,IF(NETWORKDAYS($H197,$U197)-1&gt;IF($B197="Program",Portfolio!$B$16,Portfolio!$B$15),3,2)))))</f>
        <v/>
      </c>
      <c r="Y197" s="31">
        <f>IF(OR($Q197=0,$K197="",$K197=0),0,IF(AND($B197="Project",$J197=""),0,IF(IF($B197="Program",$V197,$J197)&gt;$K197*(1+Portfolio!$B$17),3,IF(IF($B197="Program",$V197,$J197)&gt;$K197,2,IF(AND($B197="Program",OR($W197&gt;0,$V197=0)),0,1)))))</f>
        <v/>
      </c>
      <c r="Z197" s="31">
        <f>IF($A197="",0,IF($C197="Portfolio",1,IF(AND($B197="Project",$C197&lt;&gt;"",$C197&lt;&gt;"Outside the portfolio"),IFERROR(IF(AND(INDEX($B$6:$B$305,MATCH($C197,$A$6:$A$305,0))="Program",INDEX($C$6:$C$305,MATCH($C197,$A$6:$A$305,0))="Portfolio"),1,0),0),0)))</f>
        <v/>
      </c>
      <c r="AA197" s="31">
        <f>IF(AND($A197&lt;&gt;"",$E197="",OR($Q197=1,$D197="Proposed")),1,0)</f>
        <v/>
      </c>
      <c r="AB197" s="31">
        <f>IF(AND($A197&lt;&gt;"",$B197="Program",$F197="",$Q197=1),1,0)</f>
        <v/>
      </c>
      <c r="AC197" s="31">
        <f>IF(OR($A197="",$D197="Completed",$D197="Terminated"),0,IF($C197="",1,IF($C197="Portfolio",0,IF($C197="Outside the portfolio",IF($Q197=1,2,0),IF($B197="Project",IF(IFERROR(INDEX($B$6:$B$305,MATCH($C197,$A$6:$A$305,0)),"")="Program",0,1),1)))))</f>
        <v/>
      </c>
      <c r="AD197" s="31">
        <f>IF(AND($A197&lt;&gt;"",OR($M197="■ Red",$M197="◧ Amber"),$L197=""),1,0)</f>
        <v/>
      </c>
      <c r="AE197" s="31">
        <f>$AA197+$AB197+IF($AC197&gt;0,1,0)+$AD197</f>
        <v/>
      </c>
      <c r="AJ197" s="14" t="n"/>
      <c r="AK197" s="29" t="n"/>
      <c r="AL197" s="31">
        <f>IF(AND($Q197=1,$Z197=1),1,0)</f>
        <v/>
      </c>
      <c r="AM197" s="31">
        <f>IF(AND($AL197=1,$AJ197&lt;&gt;""),MAX(0,TODAY()-$AJ197),"")</f>
        <v/>
      </c>
      <c r="AN197" s="31">
        <f>IF(OR($AL197=0,COUNT($AJ$6:$AJ$305)=0),0,IF($AJ197="",1,IF(TODAY()-$AJ197&gt;Board!$B$40,1,0)))</f>
        <v/>
      </c>
      <c r="AO197" s="31">
        <f>IF($AL197=0,0,IF($M197="■ Red",3,IF($M197="◧ Amber",2,IF($M197="□ On track",1,0))))</f>
        <v/>
      </c>
      <c r="AP197" s="31">
        <f>IF($AL197=0,0,IF($AK197="Will not hold",3,IF($AK197="At risk",2,IF($AK197="Will hold",1,0))))</f>
        <v/>
      </c>
      <c r="AQ197" s="31">
        <f>IF($AL197=0,"",IF($AO197=3,0,IF($AO197=2,1,IF(AND($AP197&gt;=2,$AP197&gt;$AO197),2,""))))</f>
        <v/>
      </c>
      <c r="AR197" s="31">
        <f>IF($AQ197="","",$AQ197*1000+197)</f>
        <v/>
      </c>
      <c r="AS197" s="31">
        <f>IF(AND($AL197=1,$AO197&gt;=2,$AP197&gt;=1,$AP197&lt;$AO197),1,0)</f>
        <v/>
      </c>
      <c r="AT197" s="31">
        <f>IF(AND($AL197=1,$AO197&gt;=2,$AP197=0),1,0)</f>
        <v/>
      </c>
      <c r="AU197" s="31">
        <f>IF(AND($AL197=1,$U197&lt;&gt;"",$U197&lt;TODAY()),1,0)</f>
        <v/>
      </c>
      <c r="AV197" s="31">
        <f>IF(OR($A197="",$AJ197="",Portfolio!$B$10=""),0,IF($AJ197&lt;=Portfolio!$B$10,0,IF(AND($D197="Completed",$Z197=1),1,IF(AND($D197="Terminated",$Z197=1),2,IF(AND($Q197=1,$Z197=0),3,0)))))</f>
        <v/>
      </c>
      <c r="AW197" s="31">
        <f>IF($AV197&gt;0,COUNTIF($AV$6:$AV197,"&gt;0"),"")</f>
        <v/>
      </c>
      <c r="AX197" s="31">
        <f>IF($AL197=0,"",IF(AND($B197="Project",$H197&lt;&gt;"",$H197&lt;TODAY()),"Planned finish "&amp;TEXT($H197,"d mmm")&amp;" has passed",IF($X197&gt;=2,(NETWORKDAYS($H197,$U197)-1)&amp;" working days past plan","")))</f>
        <v/>
      </c>
      <c r="AY197" s="31">
        <f>IF($AL197=0,"",IF($Y197&gt;=2,"Over budget by "&amp;TEXT(IF($B197="Program",$V197,$J197)-$K197,"#,##0"),""))</f>
        <v/>
      </c>
      <c r="AZ197" s="31">
        <f>IF(AND($AL197=1,$U197&lt;&gt;""),IF(AND(N($U197)&gt;=TODAY(),N($U197)&lt;=TODAY()+Board!$B$41),1,0),0)</f>
        <v/>
      </c>
    </row>
    <row r="198">
      <c r="A198" s="29" t="n"/>
      <c r="B198" s="29" t="n"/>
      <c r="C198" s="29" t="n"/>
      <c r="D198" s="29" t="n"/>
      <c r="E198" s="29" t="n"/>
      <c r="F198" s="29" t="n"/>
      <c r="G198" s="29" t="n"/>
      <c r="H198" s="30" t="n"/>
      <c r="I198" s="30" t="n"/>
      <c r="J198" s="19" t="n"/>
      <c r="K198" s="19" t="n"/>
      <c r="L198" s="26" t="n"/>
      <c r="M198" s="31">
        <f>IF($A198="","",IF($D198="","Not read",IF($Q198=0,"Not counted",IF(MAX($X198,$Y198)=3,"■ Red",IF(MAX($X198,$Y198)=2,"◧ Amber",IF(MAX($X198,$Y198)=1,"□ On track","Not read"))))))</f>
        <v/>
      </c>
      <c r="N198" s="31">
        <f>IF(OR($A198="",$B198&lt;&gt;"Program"),"","■ "&amp;COUNTIFS($C$6:$C$305,$A198,$M$6:$M$305,"■ Red")&amp;" Red, ◧ "&amp;COUNTIFS($C$6:$C$305,$A198,$M$6:$M$305,"◧ Amber")&amp;" Amber")</f>
        <v/>
      </c>
      <c r="O198" s="32">
        <f>IF(OR($A198="",$E198=""),"",COUNTIFS($E$6:$E$305,$E198,$D$6:$D$305,"Active")+COUNTIFS($E$6:$E$305,$E198,$D$6:$D$305,"Paused"))</f>
        <v/>
      </c>
      <c r="P198" s="31">
        <f>IF($A198="","",IF($AE198=0,"○ Clear",IF($AA198=1,"△ No owner",IF($AC198=1,"△ Check Sits under",IF($AC198=2,"△ Outside the portfolio",IF($AB198=1,"△ No sponsor","△ No variance note"))))&amp;IF($AE198&gt;1," (+"&amp;($AE198-1)&amp;" more)","")))</f>
        <v/>
      </c>
      <c r="Q198" s="31">
        <f>IF(AND($A198&lt;&gt;"",OR($D198="Active",$D198="Paused")),1,0)</f>
        <v/>
      </c>
      <c r="R198" s="31">
        <f>IFERROR(INDEX($A$6:$A$305,MATCH(191,$S$6:$S$305,0)),"")</f>
        <v/>
      </c>
      <c r="S198" s="31">
        <f>IF(AND($A198&lt;&gt;"",$B198="Program"),COUNTIFS($B$6:$B198,"Program",$A$6:$A198,"&lt;&gt;"),"")</f>
        <v/>
      </c>
      <c r="T198" s="33">
        <f>IF(AND($A198&lt;&gt;"",$B198="Program"),SUMPRODUCT(MAX(($C$6:$C$305=$A198)*($B$6:$B$305="Project")*($D$6:$D$305&lt;&gt;"Proposed")*$I$6:$I$305)),0)</f>
        <v/>
      </c>
      <c r="U198" s="33">
        <f>IF($I198&lt;&gt;"",$I198,IF($T198&gt;0,$T198,""))</f>
        <v/>
      </c>
      <c r="V198" s="31">
        <f>IF(AND($A198&lt;&gt;"",$B198="Program"),SUMIFS($J$6:$J$305,$C$6:$C$305,$A198,$B$6:$B$305,"Project",$D$6:$D$305,"&lt;&gt;Proposed"),0)</f>
        <v/>
      </c>
      <c r="W198" s="31">
        <f>IF(AND($A198&lt;&gt;"",$B198="Program"),COUNTIFS($C$6:$C$305,$A198,$B$6:$B$305,"Project",$D$6:$D$305,"&lt;&gt;Proposed")-COUNTIFS($C$6:$C$305,$A198,$B$6:$B$305,"Project",$D$6:$D$305,"&lt;&gt;Proposed",$J$6:$J$305,"&gt;=0"),0)</f>
        <v/>
      </c>
      <c r="X198" s="31">
        <f>IF(OR($Q198=0,$H198=""),0,IF(AND($B198="Project",$H198&lt;TODAY()),3,IF($U198="",0,IF($U198&lt;=$H198,1,IF(NETWORKDAYS($H198,$U198)-1&gt;IF($B198="Program",Portfolio!$B$16,Portfolio!$B$15),3,2)))))</f>
        <v/>
      </c>
      <c r="Y198" s="31">
        <f>IF(OR($Q198=0,$K198="",$K198=0),0,IF(AND($B198="Project",$J198=""),0,IF(IF($B198="Program",$V198,$J198)&gt;$K198*(1+Portfolio!$B$17),3,IF(IF($B198="Program",$V198,$J198)&gt;$K198,2,IF(AND($B198="Program",OR($W198&gt;0,$V198=0)),0,1)))))</f>
        <v/>
      </c>
      <c r="Z198" s="31">
        <f>IF($A198="",0,IF($C198="Portfolio",1,IF(AND($B198="Project",$C198&lt;&gt;"",$C198&lt;&gt;"Outside the portfolio"),IFERROR(IF(AND(INDEX($B$6:$B$305,MATCH($C198,$A$6:$A$305,0))="Program",INDEX($C$6:$C$305,MATCH($C198,$A$6:$A$305,0))="Portfolio"),1,0),0),0)))</f>
        <v/>
      </c>
      <c r="AA198" s="31">
        <f>IF(AND($A198&lt;&gt;"",$E198="",OR($Q198=1,$D198="Proposed")),1,0)</f>
        <v/>
      </c>
      <c r="AB198" s="31">
        <f>IF(AND($A198&lt;&gt;"",$B198="Program",$F198="",$Q198=1),1,0)</f>
        <v/>
      </c>
      <c r="AC198" s="31">
        <f>IF(OR($A198="",$D198="Completed",$D198="Terminated"),0,IF($C198="",1,IF($C198="Portfolio",0,IF($C198="Outside the portfolio",IF($Q198=1,2,0),IF($B198="Project",IF(IFERROR(INDEX($B$6:$B$305,MATCH($C198,$A$6:$A$305,0)),"")="Program",0,1),1)))))</f>
        <v/>
      </c>
      <c r="AD198" s="31">
        <f>IF(AND($A198&lt;&gt;"",OR($M198="■ Red",$M198="◧ Amber"),$L198=""),1,0)</f>
        <v/>
      </c>
      <c r="AE198" s="31">
        <f>$AA198+$AB198+IF($AC198&gt;0,1,0)+$AD198</f>
        <v/>
      </c>
      <c r="AJ198" s="14" t="n"/>
      <c r="AK198" s="29" t="n"/>
      <c r="AL198" s="31">
        <f>IF(AND($Q198=1,$Z198=1),1,0)</f>
        <v/>
      </c>
      <c r="AM198" s="31">
        <f>IF(AND($AL198=1,$AJ198&lt;&gt;""),MAX(0,TODAY()-$AJ198),"")</f>
        <v/>
      </c>
      <c r="AN198" s="31">
        <f>IF(OR($AL198=0,COUNT($AJ$6:$AJ$305)=0),0,IF($AJ198="",1,IF(TODAY()-$AJ198&gt;Board!$B$40,1,0)))</f>
        <v/>
      </c>
      <c r="AO198" s="31">
        <f>IF($AL198=0,0,IF($M198="■ Red",3,IF($M198="◧ Amber",2,IF($M198="□ On track",1,0))))</f>
        <v/>
      </c>
      <c r="AP198" s="31">
        <f>IF($AL198=0,0,IF($AK198="Will not hold",3,IF($AK198="At risk",2,IF($AK198="Will hold",1,0))))</f>
        <v/>
      </c>
      <c r="AQ198" s="31">
        <f>IF($AL198=0,"",IF($AO198=3,0,IF($AO198=2,1,IF(AND($AP198&gt;=2,$AP198&gt;$AO198),2,""))))</f>
        <v/>
      </c>
      <c r="AR198" s="31">
        <f>IF($AQ198="","",$AQ198*1000+198)</f>
        <v/>
      </c>
      <c r="AS198" s="31">
        <f>IF(AND($AL198=1,$AO198&gt;=2,$AP198&gt;=1,$AP198&lt;$AO198),1,0)</f>
        <v/>
      </c>
      <c r="AT198" s="31">
        <f>IF(AND($AL198=1,$AO198&gt;=2,$AP198=0),1,0)</f>
        <v/>
      </c>
      <c r="AU198" s="31">
        <f>IF(AND($AL198=1,$U198&lt;&gt;"",$U198&lt;TODAY()),1,0)</f>
        <v/>
      </c>
      <c r="AV198" s="31">
        <f>IF(OR($A198="",$AJ198="",Portfolio!$B$10=""),0,IF($AJ198&lt;=Portfolio!$B$10,0,IF(AND($D198="Completed",$Z198=1),1,IF(AND($D198="Terminated",$Z198=1),2,IF(AND($Q198=1,$Z198=0),3,0)))))</f>
        <v/>
      </c>
      <c r="AW198" s="31">
        <f>IF($AV198&gt;0,COUNTIF($AV$6:$AV198,"&gt;0"),"")</f>
        <v/>
      </c>
      <c r="AX198" s="31">
        <f>IF($AL198=0,"",IF(AND($B198="Project",$H198&lt;&gt;"",$H198&lt;TODAY()),"Planned finish "&amp;TEXT($H198,"d mmm")&amp;" has passed",IF($X198&gt;=2,(NETWORKDAYS($H198,$U198)-1)&amp;" working days past plan","")))</f>
        <v/>
      </c>
      <c r="AY198" s="31">
        <f>IF($AL198=0,"",IF($Y198&gt;=2,"Over budget by "&amp;TEXT(IF($B198="Program",$V198,$J198)-$K198,"#,##0"),""))</f>
        <v/>
      </c>
      <c r="AZ198" s="31">
        <f>IF(AND($AL198=1,$U198&lt;&gt;""),IF(AND(N($U198)&gt;=TODAY(),N($U198)&lt;=TODAY()+Board!$B$41),1,0),0)</f>
        <v/>
      </c>
    </row>
    <row r="199">
      <c r="A199" s="29" t="n"/>
      <c r="B199" s="29" t="n"/>
      <c r="C199" s="29" t="n"/>
      <c r="D199" s="29" t="n"/>
      <c r="E199" s="29" t="n"/>
      <c r="F199" s="29" t="n"/>
      <c r="G199" s="29" t="n"/>
      <c r="H199" s="30" t="n"/>
      <c r="I199" s="30" t="n"/>
      <c r="J199" s="19" t="n"/>
      <c r="K199" s="19" t="n"/>
      <c r="L199" s="26" t="n"/>
      <c r="M199" s="31">
        <f>IF($A199="","",IF($D199="","Not read",IF($Q199=0,"Not counted",IF(MAX($X199,$Y199)=3,"■ Red",IF(MAX($X199,$Y199)=2,"◧ Amber",IF(MAX($X199,$Y199)=1,"□ On track","Not read"))))))</f>
        <v/>
      </c>
      <c r="N199" s="31">
        <f>IF(OR($A199="",$B199&lt;&gt;"Program"),"","■ "&amp;COUNTIFS($C$6:$C$305,$A199,$M$6:$M$305,"■ Red")&amp;" Red, ◧ "&amp;COUNTIFS($C$6:$C$305,$A199,$M$6:$M$305,"◧ Amber")&amp;" Amber")</f>
        <v/>
      </c>
      <c r="O199" s="32">
        <f>IF(OR($A199="",$E199=""),"",COUNTIFS($E$6:$E$305,$E199,$D$6:$D$305,"Active")+COUNTIFS($E$6:$E$305,$E199,$D$6:$D$305,"Paused"))</f>
        <v/>
      </c>
      <c r="P199" s="31">
        <f>IF($A199="","",IF($AE199=0,"○ Clear",IF($AA199=1,"△ No owner",IF($AC199=1,"△ Check Sits under",IF($AC199=2,"△ Outside the portfolio",IF($AB199=1,"△ No sponsor","△ No variance note"))))&amp;IF($AE199&gt;1," (+"&amp;($AE199-1)&amp;" more)","")))</f>
        <v/>
      </c>
      <c r="Q199" s="31">
        <f>IF(AND($A199&lt;&gt;"",OR($D199="Active",$D199="Paused")),1,0)</f>
        <v/>
      </c>
      <c r="R199" s="31">
        <f>IFERROR(INDEX($A$6:$A$305,MATCH(192,$S$6:$S$305,0)),"")</f>
        <v/>
      </c>
      <c r="S199" s="31">
        <f>IF(AND($A199&lt;&gt;"",$B199="Program"),COUNTIFS($B$6:$B199,"Program",$A$6:$A199,"&lt;&gt;"),"")</f>
        <v/>
      </c>
      <c r="T199" s="33">
        <f>IF(AND($A199&lt;&gt;"",$B199="Program"),SUMPRODUCT(MAX(($C$6:$C$305=$A199)*($B$6:$B$305="Project")*($D$6:$D$305&lt;&gt;"Proposed")*$I$6:$I$305)),0)</f>
        <v/>
      </c>
      <c r="U199" s="33">
        <f>IF($I199&lt;&gt;"",$I199,IF($T199&gt;0,$T199,""))</f>
        <v/>
      </c>
      <c r="V199" s="31">
        <f>IF(AND($A199&lt;&gt;"",$B199="Program"),SUMIFS($J$6:$J$305,$C$6:$C$305,$A199,$B$6:$B$305,"Project",$D$6:$D$305,"&lt;&gt;Proposed"),0)</f>
        <v/>
      </c>
      <c r="W199" s="31">
        <f>IF(AND($A199&lt;&gt;"",$B199="Program"),COUNTIFS($C$6:$C$305,$A199,$B$6:$B$305,"Project",$D$6:$D$305,"&lt;&gt;Proposed")-COUNTIFS($C$6:$C$305,$A199,$B$6:$B$305,"Project",$D$6:$D$305,"&lt;&gt;Proposed",$J$6:$J$305,"&gt;=0"),0)</f>
        <v/>
      </c>
      <c r="X199" s="31">
        <f>IF(OR($Q199=0,$H199=""),0,IF(AND($B199="Project",$H199&lt;TODAY()),3,IF($U199="",0,IF($U199&lt;=$H199,1,IF(NETWORKDAYS($H199,$U199)-1&gt;IF($B199="Program",Portfolio!$B$16,Portfolio!$B$15),3,2)))))</f>
        <v/>
      </c>
      <c r="Y199" s="31">
        <f>IF(OR($Q199=0,$K199="",$K199=0),0,IF(AND($B199="Project",$J199=""),0,IF(IF($B199="Program",$V199,$J199)&gt;$K199*(1+Portfolio!$B$17),3,IF(IF($B199="Program",$V199,$J199)&gt;$K199,2,IF(AND($B199="Program",OR($W199&gt;0,$V199=0)),0,1)))))</f>
        <v/>
      </c>
      <c r="Z199" s="31">
        <f>IF($A199="",0,IF($C199="Portfolio",1,IF(AND($B199="Project",$C199&lt;&gt;"",$C199&lt;&gt;"Outside the portfolio"),IFERROR(IF(AND(INDEX($B$6:$B$305,MATCH($C199,$A$6:$A$305,0))="Program",INDEX($C$6:$C$305,MATCH($C199,$A$6:$A$305,0))="Portfolio"),1,0),0),0)))</f>
        <v/>
      </c>
      <c r="AA199" s="31">
        <f>IF(AND($A199&lt;&gt;"",$E199="",OR($Q199=1,$D199="Proposed")),1,0)</f>
        <v/>
      </c>
      <c r="AB199" s="31">
        <f>IF(AND($A199&lt;&gt;"",$B199="Program",$F199="",$Q199=1),1,0)</f>
        <v/>
      </c>
      <c r="AC199" s="31">
        <f>IF(OR($A199="",$D199="Completed",$D199="Terminated"),0,IF($C199="",1,IF($C199="Portfolio",0,IF($C199="Outside the portfolio",IF($Q199=1,2,0),IF($B199="Project",IF(IFERROR(INDEX($B$6:$B$305,MATCH($C199,$A$6:$A$305,0)),"")="Program",0,1),1)))))</f>
        <v/>
      </c>
      <c r="AD199" s="31">
        <f>IF(AND($A199&lt;&gt;"",OR($M199="■ Red",$M199="◧ Amber"),$L199=""),1,0)</f>
        <v/>
      </c>
      <c r="AE199" s="31">
        <f>$AA199+$AB199+IF($AC199&gt;0,1,0)+$AD199</f>
        <v/>
      </c>
      <c r="AJ199" s="14" t="n"/>
      <c r="AK199" s="29" t="n"/>
      <c r="AL199" s="31">
        <f>IF(AND($Q199=1,$Z199=1),1,0)</f>
        <v/>
      </c>
      <c r="AM199" s="31">
        <f>IF(AND($AL199=1,$AJ199&lt;&gt;""),MAX(0,TODAY()-$AJ199),"")</f>
        <v/>
      </c>
      <c r="AN199" s="31">
        <f>IF(OR($AL199=0,COUNT($AJ$6:$AJ$305)=0),0,IF($AJ199="",1,IF(TODAY()-$AJ199&gt;Board!$B$40,1,0)))</f>
        <v/>
      </c>
      <c r="AO199" s="31">
        <f>IF($AL199=0,0,IF($M199="■ Red",3,IF($M199="◧ Amber",2,IF($M199="□ On track",1,0))))</f>
        <v/>
      </c>
      <c r="AP199" s="31">
        <f>IF($AL199=0,0,IF($AK199="Will not hold",3,IF($AK199="At risk",2,IF($AK199="Will hold",1,0))))</f>
        <v/>
      </c>
      <c r="AQ199" s="31">
        <f>IF($AL199=0,"",IF($AO199=3,0,IF($AO199=2,1,IF(AND($AP199&gt;=2,$AP199&gt;$AO199),2,""))))</f>
        <v/>
      </c>
      <c r="AR199" s="31">
        <f>IF($AQ199="","",$AQ199*1000+199)</f>
        <v/>
      </c>
      <c r="AS199" s="31">
        <f>IF(AND($AL199=1,$AO199&gt;=2,$AP199&gt;=1,$AP199&lt;$AO199),1,0)</f>
        <v/>
      </c>
      <c r="AT199" s="31">
        <f>IF(AND($AL199=1,$AO199&gt;=2,$AP199=0),1,0)</f>
        <v/>
      </c>
      <c r="AU199" s="31">
        <f>IF(AND($AL199=1,$U199&lt;&gt;"",$U199&lt;TODAY()),1,0)</f>
        <v/>
      </c>
      <c r="AV199" s="31">
        <f>IF(OR($A199="",$AJ199="",Portfolio!$B$10=""),0,IF($AJ199&lt;=Portfolio!$B$10,0,IF(AND($D199="Completed",$Z199=1),1,IF(AND($D199="Terminated",$Z199=1),2,IF(AND($Q199=1,$Z199=0),3,0)))))</f>
        <v/>
      </c>
      <c r="AW199" s="31">
        <f>IF($AV199&gt;0,COUNTIF($AV$6:$AV199,"&gt;0"),"")</f>
        <v/>
      </c>
      <c r="AX199" s="31">
        <f>IF($AL199=0,"",IF(AND($B199="Project",$H199&lt;&gt;"",$H199&lt;TODAY()),"Planned finish "&amp;TEXT($H199,"d mmm")&amp;" has passed",IF($X199&gt;=2,(NETWORKDAYS($H199,$U199)-1)&amp;" working days past plan","")))</f>
        <v/>
      </c>
      <c r="AY199" s="31">
        <f>IF($AL199=0,"",IF($Y199&gt;=2,"Over budget by "&amp;TEXT(IF($B199="Program",$V199,$J199)-$K199,"#,##0"),""))</f>
        <v/>
      </c>
      <c r="AZ199" s="31">
        <f>IF(AND($AL199=1,$U199&lt;&gt;""),IF(AND(N($U199)&gt;=TODAY(),N($U199)&lt;=TODAY()+Board!$B$41),1,0),0)</f>
        <v/>
      </c>
    </row>
    <row r="200">
      <c r="A200" s="29" t="n"/>
      <c r="B200" s="29" t="n"/>
      <c r="C200" s="29" t="n"/>
      <c r="D200" s="29" t="n"/>
      <c r="E200" s="29" t="n"/>
      <c r="F200" s="29" t="n"/>
      <c r="G200" s="29" t="n"/>
      <c r="H200" s="30" t="n"/>
      <c r="I200" s="30" t="n"/>
      <c r="J200" s="19" t="n"/>
      <c r="K200" s="19" t="n"/>
      <c r="L200" s="26" t="n"/>
      <c r="M200" s="31">
        <f>IF($A200="","",IF($D200="","Not read",IF($Q200=0,"Not counted",IF(MAX($X200,$Y200)=3,"■ Red",IF(MAX($X200,$Y200)=2,"◧ Amber",IF(MAX($X200,$Y200)=1,"□ On track","Not read"))))))</f>
        <v/>
      </c>
      <c r="N200" s="31">
        <f>IF(OR($A200="",$B200&lt;&gt;"Program"),"","■ "&amp;COUNTIFS($C$6:$C$305,$A200,$M$6:$M$305,"■ Red")&amp;" Red, ◧ "&amp;COUNTIFS($C$6:$C$305,$A200,$M$6:$M$305,"◧ Amber")&amp;" Amber")</f>
        <v/>
      </c>
      <c r="O200" s="32">
        <f>IF(OR($A200="",$E200=""),"",COUNTIFS($E$6:$E$305,$E200,$D$6:$D$305,"Active")+COUNTIFS($E$6:$E$305,$E200,$D$6:$D$305,"Paused"))</f>
        <v/>
      </c>
      <c r="P200" s="31">
        <f>IF($A200="","",IF($AE200=0,"○ Clear",IF($AA200=1,"△ No owner",IF($AC200=1,"△ Check Sits under",IF($AC200=2,"△ Outside the portfolio",IF($AB200=1,"△ No sponsor","△ No variance note"))))&amp;IF($AE200&gt;1," (+"&amp;($AE200-1)&amp;" more)","")))</f>
        <v/>
      </c>
      <c r="Q200" s="31">
        <f>IF(AND($A200&lt;&gt;"",OR($D200="Active",$D200="Paused")),1,0)</f>
        <v/>
      </c>
      <c r="R200" s="31">
        <f>IFERROR(INDEX($A$6:$A$305,MATCH(193,$S$6:$S$305,0)),"")</f>
        <v/>
      </c>
      <c r="S200" s="31">
        <f>IF(AND($A200&lt;&gt;"",$B200="Program"),COUNTIFS($B$6:$B200,"Program",$A$6:$A200,"&lt;&gt;"),"")</f>
        <v/>
      </c>
      <c r="T200" s="33">
        <f>IF(AND($A200&lt;&gt;"",$B200="Program"),SUMPRODUCT(MAX(($C$6:$C$305=$A200)*($B$6:$B$305="Project")*($D$6:$D$305&lt;&gt;"Proposed")*$I$6:$I$305)),0)</f>
        <v/>
      </c>
      <c r="U200" s="33">
        <f>IF($I200&lt;&gt;"",$I200,IF($T200&gt;0,$T200,""))</f>
        <v/>
      </c>
      <c r="V200" s="31">
        <f>IF(AND($A200&lt;&gt;"",$B200="Program"),SUMIFS($J$6:$J$305,$C$6:$C$305,$A200,$B$6:$B$305,"Project",$D$6:$D$305,"&lt;&gt;Proposed"),0)</f>
        <v/>
      </c>
      <c r="W200" s="31">
        <f>IF(AND($A200&lt;&gt;"",$B200="Program"),COUNTIFS($C$6:$C$305,$A200,$B$6:$B$305,"Project",$D$6:$D$305,"&lt;&gt;Proposed")-COUNTIFS($C$6:$C$305,$A200,$B$6:$B$305,"Project",$D$6:$D$305,"&lt;&gt;Proposed",$J$6:$J$305,"&gt;=0"),0)</f>
        <v/>
      </c>
      <c r="X200" s="31">
        <f>IF(OR($Q200=0,$H200=""),0,IF(AND($B200="Project",$H200&lt;TODAY()),3,IF($U200="",0,IF($U200&lt;=$H200,1,IF(NETWORKDAYS($H200,$U200)-1&gt;IF($B200="Program",Portfolio!$B$16,Portfolio!$B$15),3,2)))))</f>
        <v/>
      </c>
      <c r="Y200" s="31">
        <f>IF(OR($Q200=0,$K200="",$K200=0),0,IF(AND($B200="Project",$J200=""),0,IF(IF($B200="Program",$V200,$J200)&gt;$K200*(1+Portfolio!$B$17),3,IF(IF($B200="Program",$V200,$J200)&gt;$K200,2,IF(AND($B200="Program",OR($W200&gt;0,$V200=0)),0,1)))))</f>
        <v/>
      </c>
      <c r="Z200" s="31">
        <f>IF($A200="",0,IF($C200="Portfolio",1,IF(AND($B200="Project",$C200&lt;&gt;"",$C200&lt;&gt;"Outside the portfolio"),IFERROR(IF(AND(INDEX($B$6:$B$305,MATCH($C200,$A$6:$A$305,0))="Program",INDEX($C$6:$C$305,MATCH($C200,$A$6:$A$305,0))="Portfolio"),1,0),0),0)))</f>
        <v/>
      </c>
      <c r="AA200" s="31">
        <f>IF(AND($A200&lt;&gt;"",$E200="",OR($Q200=1,$D200="Proposed")),1,0)</f>
        <v/>
      </c>
      <c r="AB200" s="31">
        <f>IF(AND($A200&lt;&gt;"",$B200="Program",$F200="",$Q200=1),1,0)</f>
        <v/>
      </c>
      <c r="AC200" s="31">
        <f>IF(OR($A200="",$D200="Completed",$D200="Terminated"),0,IF($C200="",1,IF($C200="Portfolio",0,IF($C200="Outside the portfolio",IF($Q200=1,2,0),IF($B200="Project",IF(IFERROR(INDEX($B$6:$B$305,MATCH($C200,$A$6:$A$305,0)),"")="Program",0,1),1)))))</f>
        <v/>
      </c>
      <c r="AD200" s="31">
        <f>IF(AND($A200&lt;&gt;"",OR($M200="■ Red",$M200="◧ Amber"),$L200=""),1,0)</f>
        <v/>
      </c>
      <c r="AE200" s="31">
        <f>$AA200+$AB200+IF($AC200&gt;0,1,0)+$AD200</f>
        <v/>
      </c>
      <c r="AJ200" s="14" t="n"/>
      <c r="AK200" s="29" t="n"/>
      <c r="AL200" s="31">
        <f>IF(AND($Q200=1,$Z200=1),1,0)</f>
        <v/>
      </c>
      <c r="AM200" s="31">
        <f>IF(AND($AL200=1,$AJ200&lt;&gt;""),MAX(0,TODAY()-$AJ200),"")</f>
        <v/>
      </c>
      <c r="AN200" s="31">
        <f>IF(OR($AL200=0,COUNT($AJ$6:$AJ$305)=0),0,IF($AJ200="",1,IF(TODAY()-$AJ200&gt;Board!$B$40,1,0)))</f>
        <v/>
      </c>
      <c r="AO200" s="31">
        <f>IF($AL200=0,0,IF($M200="■ Red",3,IF($M200="◧ Amber",2,IF($M200="□ On track",1,0))))</f>
        <v/>
      </c>
      <c r="AP200" s="31">
        <f>IF($AL200=0,0,IF($AK200="Will not hold",3,IF($AK200="At risk",2,IF($AK200="Will hold",1,0))))</f>
        <v/>
      </c>
      <c r="AQ200" s="31">
        <f>IF($AL200=0,"",IF($AO200=3,0,IF($AO200=2,1,IF(AND($AP200&gt;=2,$AP200&gt;$AO200),2,""))))</f>
        <v/>
      </c>
      <c r="AR200" s="31">
        <f>IF($AQ200="","",$AQ200*1000+200)</f>
        <v/>
      </c>
      <c r="AS200" s="31">
        <f>IF(AND($AL200=1,$AO200&gt;=2,$AP200&gt;=1,$AP200&lt;$AO200),1,0)</f>
        <v/>
      </c>
      <c r="AT200" s="31">
        <f>IF(AND($AL200=1,$AO200&gt;=2,$AP200=0),1,0)</f>
        <v/>
      </c>
      <c r="AU200" s="31">
        <f>IF(AND($AL200=1,$U200&lt;&gt;"",$U200&lt;TODAY()),1,0)</f>
        <v/>
      </c>
      <c r="AV200" s="31">
        <f>IF(OR($A200="",$AJ200="",Portfolio!$B$10=""),0,IF($AJ200&lt;=Portfolio!$B$10,0,IF(AND($D200="Completed",$Z200=1),1,IF(AND($D200="Terminated",$Z200=1),2,IF(AND($Q200=1,$Z200=0),3,0)))))</f>
        <v/>
      </c>
      <c r="AW200" s="31">
        <f>IF($AV200&gt;0,COUNTIF($AV$6:$AV200,"&gt;0"),"")</f>
        <v/>
      </c>
      <c r="AX200" s="31">
        <f>IF($AL200=0,"",IF(AND($B200="Project",$H200&lt;&gt;"",$H200&lt;TODAY()),"Planned finish "&amp;TEXT($H200,"d mmm")&amp;" has passed",IF($X200&gt;=2,(NETWORKDAYS($H200,$U200)-1)&amp;" working days past plan","")))</f>
        <v/>
      </c>
      <c r="AY200" s="31">
        <f>IF($AL200=0,"",IF($Y200&gt;=2,"Over budget by "&amp;TEXT(IF($B200="Program",$V200,$J200)-$K200,"#,##0"),""))</f>
        <v/>
      </c>
      <c r="AZ200" s="31">
        <f>IF(AND($AL200=1,$U200&lt;&gt;""),IF(AND(N($U200)&gt;=TODAY(),N($U200)&lt;=TODAY()+Board!$B$41),1,0),0)</f>
        <v/>
      </c>
    </row>
    <row r="201">
      <c r="A201" s="29" t="n"/>
      <c r="B201" s="29" t="n"/>
      <c r="C201" s="29" t="n"/>
      <c r="D201" s="29" t="n"/>
      <c r="E201" s="29" t="n"/>
      <c r="F201" s="29" t="n"/>
      <c r="G201" s="29" t="n"/>
      <c r="H201" s="30" t="n"/>
      <c r="I201" s="30" t="n"/>
      <c r="J201" s="19" t="n"/>
      <c r="K201" s="19" t="n"/>
      <c r="L201" s="26" t="n"/>
      <c r="M201" s="31">
        <f>IF($A201="","",IF($D201="","Not read",IF($Q201=0,"Not counted",IF(MAX($X201,$Y201)=3,"■ Red",IF(MAX($X201,$Y201)=2,"◧ Amber",IF(MAX($X201,$Y201)=1,"□ On track","Not read"))))))</f>
        <v/>
      </c>
      <c r="N201" s="31">
        <f>IF(OR($A201="",$B201&lt;&gt;"Program"),"","■ "&amp;COUNTIFS($C$6:$C$305,$A201,$M$6:$M$305,"■ Red")&amp;" Red, ◧ "&amp;COUNTIFS($C$6:$C$305,$A201,$M$6:$M$305,"◧ Amber")&amp;" Amber")</f>
        <v/>
      </c>
      <c r="O201" s="32">
        <f>IF(OR($A201="",$E201=""),"",COUNTIFS($E$6:$E$305,$E201,$D$6:$D$305,"Active")+COUNTIFS($E$6:$E$305,$E201,$D$6:$D$305,"Paused"))</f>
        <v/>
      </c>
      <c r="P201" s="31">
        <f>IF($A201="","",IF($AE201=0,"○ Clear",IF($AA201=1,"△ No owner",IF($AC201=1,"△ Check Sits under",IF($AC201=2,"△ Outside the portfolio",IF($AB201=1,"△ No sponsor","△ No variance note"))))&amp;IF($AE201&gt;1," (+"&amp;($AE201-1)&amp;" more)","")))</f>
        <v/>
      </c>
      <c r="Q201" s="31">
        <f>IF(AND($A201&lt;&gt;"",OR($D201="Active",$D201="Paused")),1,0)</f>
        <v/>
      </c>
      <c r="R201" s="31">
        <f>IFERROR(INDEX($A$6:$A$305,MATCH(194,$S$6:$S$305,0)),"")</f>
        <v/>
      </c>
      <c r="S201" s="31">
        <f>IF(AND($A201&lt;&gt;"",$B201="Program"),COUNTIFS($B$6:$B201,"Program",$A$6:$A201,"&lt;&gt;"),"")</f>
        <v/>
      </c>
      <c r="T201" s="33">
        <f>IF(AND($A201&lt;&gt;"",$B201="Program"),SUMPRODUCT(MAX(($C$6:$C$305=$A201)*($B$6:$B$305="Project")*($D$6:$D$305&lt;&gt;"Proposed")*$I$6:$I$305)),0)</f>
        <v/>
      </c>
      <c r="U201" s="33">
        <f>IF($I201&lt;&gt;"",$I201,IF($T201&gt;0,$T201,""))</f>
        <v/>
      </c>
      <c r="V201" s="31">
        <f>IF(AND($A201&lt;&gt;"",$B201="Program"),SUMIFS($J$6:$J$305,$C$6:$C$305,$A201,$B$6:$B$305,"Project",$D$6:$D$305,"&lt;&gt;Proposed"),0)</f>
        <v/>
      </c>
      <c r="W201" s="31">
        <f>IF(AND($A201&lt;&gt;"",$B201="Program"),COUNTIFS($C$6:$C$305,$A201,$B$6:$B$305,"Project",$D$6:$D$305,"&lt;&gt;Proposed")-COUNTIFS($C$6:$C$305,$A201,$B$6:$B$305,"Project",$D$6:$D$305,"&lt;&gt;Proposed",$J$6:$J$305,"&gt;=0"),0)</f>
        <v/>
      </c>
      <c r="X201" s="31">
        <f>IF(OR($Q201=0,$H201=""),0,IF(AND($B201="Project",$H201&lt;TODAY()),3,IF($U201="",0,IF($U201&lt;=$H201,1,IF(NETWORKDAYS($H201,$U201)-1&gt;IF($B201="Program",Portfolio!$B$16,Portfolio!$B$15),3,2)))))</f>
        <v/>
      </c>
      <c r="Y201" s="31">
        <f>IF(OR($Q201=0,$K201="",$K201=0),0,IF(AND($B201="Project",$J201=""),0,IF(IF($B201="Program",$V201,$J201)&gt;$K201*(1+Portfolio!$B$17),3,IF(IF($B201="Program",$V201,$J201)&gt;$K201,2,IF(AND($B201="Program",OR($W201&gt;0,$V201=0)),0,1)))))</f>
        <v/>
      </c>
      <c r="Z201" s="31">
        <f>IF($A201="",0,IF($C201="Portfolio",1,IF(AND($B201="Project",$C201&lt;&gt;"",$C201&lt;&gt;"Outside the portfolio"),IFERROR(IF(AND(INDEX($B$6:$B$305,MATCH($C201,$A$6:$A$305,0))="Program",INDEX($C$6:$C$305,MATCH($C201,$A$6:$A$305,0))="Portfolio"),1,0),0),0)))</f>
        <v/>
      </c>
      <c r="AA201" s="31">
        <f>IF(AND($A201&lt;&gt;"",$E201="",OR($Q201=1,$D201="Proposed")),1,0)</f>
        <v/>
      </c>
      <c r="AB201" s="31">
        <f>IF(AND($A201&lt;&gt;"",$B201="Program",$F201="",$Q201=1),1,0)</f>
        <v/>
      </c>
      <c r="AC201" s="31">
        <f>IF(OR($A201="",$D201="Completed",$D201="Terminated"),0,IF($C201="",1,IF($C201="Portfolio",0,IF($C201="Outside the portfolio",IF($Q201=1,2,0),IF($B201="Project",IF(IFERROR(INDEX($B$6:$B$305,MATCH($C201,$A$6:$A$305,0)),"")="Program",0,1),1)))))</f>
        <v/>
      </c>
      <c r="AD201" s="31">
        <f>IF(AND($A201&lt;&gt;"",OR($M201="■ Red",$M201="◧ Amber"),$L201=""),1,0)</f>
        <v/>
      </c>
      <c r="AE201" s="31">
        <f>$AA201+$AB201+IF($AC201&gt;0,1,0)+$AD201</f>
        <v/>
      </c>
      <c r="AJ201" s="14" t="n"/>
      <c r="AK201" s="29" t="n"/>
      <c r="AL201" s="31">
        <f>IF(AND($Q201=1,$Z201=1),1,0)</f>
        <v/>
      </c>
      <c r="AM201" s="31">
        <f>IF(AND($AL201=1,$AJ201&lt;&gt;""),MAX(0,TODAY()-$AJ201),"")</f>
        <v/>
      </c>
      <c r="AN201" s="31">
        <f>IF(OR($AL201=0,COUNT($AJ$6:$AJ$305)=0),0,IF($AJ201="",1,IF(TODAY()-$AJ201&gt;Board!$B$40,1,0)))</f>
        <v/>
      </c>
      <c r="AO201" s="31">
        <f>IF($AL201=0,0,IF($M201="■ Red",3,IF($M201="◧ Amber",2,IF($M201="□ On track",1,0))))</f>
        <v/>
      </c>
      <c r="AP201" s="31">
        <f>IF($AL201=0,0,IF($AK201="Will not hold",3,IF($AK201="At risk",2,IF($AK201="Will hold",1,0))))</f>
        <v/>
      </c>
      <c r="AQ201" s="31">
        <f>IF($AL201=0,"",IF($AO201=3,0,IF($AO201=2,1,IF(AND($AP201&gt;=2,$AP201&gt;$AO201),2,""))))</f>
        <v/>
      </c>
      <c r="AR201" s="31">
        <f>IF($AQ201="","",$AQ201*1000+201)</f>
        <v/>
      </c>
      <c r="AS201" s="31">
        <f>IF(AND($AL201=1,$AO201&gt;=2,$AP201&gt;=1,$AP201&lt;$AO201),1,0)</f>
        <v/>
      </c>
      <c r="AT201" s="31">
        <f>IF(AND($AL201=1,$AO201&gt;=2,$AP201=0),1,0)</f>
        <v/>
      </c>
      <c r="AU201" s="31">
        <f>IF(AND($AL201=1,$U201&lt;&gt;"",$U201&lt;TODAY()),1,0)</f>
        <v/>
      </c>
      <c r="AV201" s="31">
        <f>IF(OR($A201="",$AJ201="",Portfolio!$B$10=""),0,IF($AJ201&lt;=Portfolio!$B$10,0,IF(AND($D201="Completed",$Z201=1),1,IF(AND($D201="Terminated",$Z201=1),2,IF(AND($Q201=1,$Z201=0),3,0)))))</f>
        <v/>
      </c>
      <c r="AW201" s="31">
        <f>IF($AV201&gt;0,COUNTIF($AV$6:$AV201,"&gt;0"),"")</f>
        <v/>
      </c>
      <c r="AX201" s="31">
        <f>IF($AL201=0,"",IF(AND($B201="Project",$H201&lt;&gt;"",$H201&lt;TODAY()),"Planned finish "&amp;TEXT($H201,"d mmm")&amp;" has passed",IF($X201&gt;=2,(NETWORKDAYS($H201,$U201)-1)&amp;" working days past plan","")))</f>
        <v/>
      </c>
      <c r="AY201" s="31">
        <f>IF($AL201=0,"",IF($Y201&gt;=2,"Over budget by "&amp;TEXT(IF($B201="Program",$V201,$J201)-$K201,"#,##0"),""))</f>
        <v/>
      </c>
      <c r="AZ201" s="31">
        <f>IF(AND($AL201=1,$U201&lt;&gt;""),IF(AND(N($U201)&gt;=TODAY(),N($U201)&lt;=TODAY()+Board!$B$41),1,0),0)</f>
        <v/>
      </c>
    </row>
    <row r="202">
      <c r="A202" s="29" t="n"/>
      <c r="B202" s="29" t="n"/>
      <c r="C202" s="29" t="n"/>
      <c r="D202" s="29" t="n"/>
      <c r="E202" s="29" t="n"/>
      <c r="F202" s="29" t="n"/>
      <c r="G202" s="29" t="n"/>
      <c r="H202" s="30" t="n"/>
      <c r="I202" s="30" t="n"/>
      <c r="J202" s="19" t="n"/>
      <c r="K202" s="19" t="n"/>
      <c r="L202" s="26" t="n"/>
      <c r="M202" s="31">
        <f>IF($A202="","",IF($D202="","Not read",IF($Q202=0,"Not counted",IF(MAX($X202,$Y202)=3,"■ Red",IF(MAX($X202,$Y202)=2,"◧ Amber",IF(MAX($X202,$Y202)=1,"□ On track","Not read"))))))</f>
        <v/>
      </c>
      <c r="N202" s="31">
        <f>IF(OR($A202="",$B202&lt;&gt;"Program"),"","■ "&amp;COUNTIFS($C$6:$C$305,$A202,$M$6:$M$305,"■ Red")&amp;" Red, ◧ "&amp;COUNTIFS($C$6:$C$305,$A202,$M$6:$M$305,"◧ Amber")&amp;" Amber")</f>
        <v/>
      </c>
      <c r="O202" s="32">
        <f>IF(OR($A202="",$E202=""),"",COUNTIFS($E$6:$E$305,$E202,$D$6:$D$305,"Active")+COUNTIFS($E$6:$E$305,$E202,$D$6:$D$305,"Paused"))</f>
        <v/>
      </c>
      <c r="P202" s="31">
        <f>IF($A202="","",IF($AE202=0,"○ Clear",IF($AA202=1,"△ No owner",IF($AC202=1,"△ Check Sits under",IF($AC202=2,"△ Outside the portfolio",IF($AB202=1,"△ No sponsor","△ No variance note"))))&amp;IF($AE202&gt;1," (+"&amp;($AE202-1)&amp;" more)","")))</f>
        <v/>
      </c>
      <c r="Q202" s="31">
        <f>IF(AND($A202&lt;&gt;"",OR($D202="Active",$D202="Paused")),1,0)</f>
        <v/>
      </c>
      <c r="R202" s="31">
        <f>IFERROR(INDEX($A$6:$A$305,MATCH(195,$S$6:$S$305,0)),"")</f>
        <v/>
      </c>
      <c r="S202" s="31">
        <f>IF(AND($A202&lt;&gt;"",$B202="Program"),COUNTIFS($B$6:$B202,"Program",$A$6:$A202,"&lt;&gt;"),"")</f>
        <v/>
      </c>
      <c r="T202" s="33">
        <f>IF(AND($A202&lt;&gt;"",$B202="Program"),SUMPRODUCT(MAX(($C$6:$C$305=$A202)*($B$6:$B$305="Project")*($D$6:$D$305&lt;&gt;"Proposed")*$I$6:$I$305)),0)</f>
        <v/>
      </c>
      <c r="U202" s="33">
        <f>IF($I202&lt;&gt;"",$I202,IF($T202&gt;0,$T202,""))</f>
        <v/>
      </c>
      <c r="V202" s="31">
        <f>IF(AND($A202&lt;&gt;"",$B202="Program"),SUMIFS($J$6:$J$305,$C$6:$C$305,$A202,$B$6:$B$305,"Project",$D$6:$D$305,"&lt;&gt;Proposed"),0)</f>
        <v/>
      </c>
      <c r="W202" s="31">
        <f>IF(AND($A202&lt;&gt;"",$B202="Program"),COUNTIFS($C$6:$C$305,$A202,$B$6:$B$305,"Project",$D$6:$D$305,"&lt;&gt;Proposed")-COUNTIFS($C$6:$C$305,$A202,$B$6:$B$305,"Project",$D$6:$D$305,"&lt;&gt;Proposed",$J$6:$J$305,"&gt;=0"),0)</f>
        <v/>
      </c>
      <c r="X202" s="31">
        <f>IF(OR($Q202=0,$H202=""),0,IF(AND($B202="Project",$H202&lt;TODAY()),3,IF($U202="",0,IF($U202&lt;=$H202,1,IF(NETWORKDAYS($H202,$U202)-1&gt;IF($B202="Program",Portfolio!$B$16,Portfolio!$B$15),3,2)))))</f>
        <v/>
      </c>
      <c r="Y202" s="31">
        <f>IF(OR($Q202=0,$K202="",$K202=0),0,IF(AND($B202="Project",$J202=""),0,IF(IF($B202="Program",$V202,$J202)&gt;$K202*(1+Portfolio!$B$17),3,IF(IF($B202="Program",$V202,$J202)&gt;$K202,2,IF(AND($B202="Program",OR($W202&gt;0,$V202=0)),0,1)))))</f>
        <v/>
      </c>
      <c r="Z202" s="31">
        <f>IF($A202="",0,IF($C202="Portfolio",1,IF(AND($B202="Project",$C202&lt;&gt;"",$C202&lt;&gt;"Outside the portfolio"),IFERROR(IF(AND(INDEX($B$6:$B$305,MATCH($C202,$A$6:$A$305,0))="Program",INDEX($C$6:$C$305,MATCH($C202,$A$6:$A$305,0))="Portfolio"),1,0),0),0)))</f>
        <v/>
      </c>
      <c r="AA202" s="31">
        <f>IF(AND($A202&lt;&gt;"",$E202="",OR($Q202=1,$D202="Proposed")),1,0)</f>
        <v/>
      </c>
      <c r="AB202" s="31">
        <f>IF(AND($A202&lt;&gt;"",$B202="Program",$F202="",$Q202=1),1,0)</f>
        <v/>
      </c>
      <c r="AC202" s="31">
        <f>IF(OR($A202="",$D202="Completed",$D202="Terminated"),0,IF($C202="",1,IF($C202="Portfolio",0,IF($C202="Outside the portfolio",IF($Q202=1,2,0),IF($B202="Project",IF(IFERROR(INDEX($B$6:$B$305,MATCH($C202,$A$6:$A$305,0)),"")="Program",0,1),1)))))</f>
        <v/>
      </c>
      <c r="AD202" s="31">
        <f>IF(AND($A202&lt;&gt;"",OR($M202="■ Red",$M202="◧ Amber"),$L202=""),1,0)</f>
        <v/>
      </c>
      <c r="AE202" s="31">
        <f>$AA202+$AB202+IF($AC202&gt;0,1,0)+$AD202</f>
        <v/>
      </c>
      <c r="AJ202" s="14" t="n"/>
      <c r="AK202" s="29" t="n"/>
      <c r="AL202" s="31">
        <f>IF(AND($Q202=1,$Z202=1),1,0)</f>
        <v/>
      </c>
      <c r="AM202" s="31">
        <f>IF(AND($AL202=1,$AJ202&lt;&gt;""),MAX(0,TODAY()-$AJ202),"")</f>
        <v/>
      </c>
      <c r="AN202" s="31">
        <f>IF(OR($AL202=0,COUNT($AJ$6:$AJ$305)=0),0,IF($AJ202="",1,IF(TODAY()-$AJ202&gt;Board!$B$40,1,0)))</f>
        <v/>
      </c>
      <c r="AO202" s="31">
        <f>IF($AL202=0,0,IF($M202="■ Red",3,IF($M202="◧ Amber",2,IF($M202="□ On track",1,0))))</f>
        <v/>
      </c>
      <c r="AP202" s="31">
        <f>IF($AL202=0,0,IF($AK202="Will not hold",3,IF($AK202="At risk",2,IF($AK202="Will hold",1,0))))</f>
        <v/>
      </c>
      <c r="AQ202" s="31">
        <f>IF($AL202=0,"",IF($AO202=3,0,IF($AO202=2,1,IF(AND($AP202&gt;=2,$AP202&gt;$AO202),2,""))))</f>
        <v/>
      </c>
      <c r="AR202" s="31">
        <f>IF($AQ202="","",$AQ202*1000+202)</f>
        <v/>
      </c>
      <c r="AS202" s="31">
        <f>IF(AND($AL202=1,$AO202&gt;=2,$AP202&gt;=1,$AP202&lt;$AO202),1,0)</f>
        <v/>
      </c>
      <c r="AT202" s="31">
        <f>IF(AND($AL202=1,$AO202&gt;=2,$AP202=0),1,0)</f>
        <v/>
      </c>
      <c r="AU202" s="31">
        <f>IF(AND($AL202=1,$U202&lt;&gt;"",$U202&lt;TODAY()),1,0)</f>
        <v/>
      </c>
      <c r="AV202" s="31">
        <f>IF(OR($A202="",$AJ202="",Portfolio!$B$10=""),0,IF($AJ202&lt;=Portfolio!$B$10,0,IF(AND($D202="Completed",$Z202=1),1,IF(AND($D202="Terminated",$Z202=1),2,IF(AND($Q202=1,$Z202=0),3,0)))))</f>
        <v/>
      </c>
      <c r="AW202" s="31">
        <f>IF($AV202&gt;0,COUNTIF($AV$6:$AV202,"&gt;0"),"")</f>
        <v/>
      </c>
      <c r="AX202" s="31">
        <f>IF($AL202=0,"",IF(AND($B202="Project",$H202&lt;&gt;"",$H202&lt;TODAY()),"Planned finish "&amp;TEXT($H202,"d mmm")&amp;" has passed",IF($X202&gt;=2,(NETWORKDAYS($H202,$U202)-1)&amp;" working days past plan","")))</f>
        <v/>
      </c>
      <c r="AY202" s="31">
        <f>IF($AL202=0,"",IF($Y202&gt;=2,"Over budget by "&amp;TEXT(IF($B202="Program",$V202,$J202)-$K202,"#,##0"),""))</f>
        <v/>
      </c>
      <c r="AZ202" s="31">
        <f>IF(AND($AL202=1,$U202&lt;&gt;""),IF(AND(N($U202)&gt;=TODAY(),N($U202)&lt;=TODAY()+Board!$B$41),1,0),0)</f>
        <v/>
      </c>
    </row>
    <row r="203">
      <c r="A203" s="29" t="n"/>
      <c r="B203" s="29" t="n"/>
      <c r="C203" s="29" t="n"/>
      <c r="D203" s="29" t="n"/>
      <c r="E203" s="29" t="n"/>
      <c r="F203" s="29" t="n"/>
      <c r="G203" s="29" t="n"/>
      <c r="H203" s="30" t="n"/>
      <c r="I203" s="30" t="n"/>
      <c r="J203" s="19" t="n"/>
      <c r="K203" s="19" t="n"/>
      <c r="L203" s="26" t="n"/>
      <c r="M203" s="31">
        <f>IF($A203="","",IF($D203="","Not read",IF($Q203=0,"Not counted",IF(MAX($X203,$Y203)=3,"■ Red",IF(MAX($X203,$Y203)=2,"◧ Amber",IF(MAX($X203,$Y203)=1,"□ On track","Not read"))))))</f>
        <v/>
      </c>
      <c r="N203" s="31">
        <f>IF(OR($A203="",$B203&lt;&gt;"Program"),"","■ "&amp;COUNTIFS($C$6:$C$305,$A203,$M$6:$M$305,"■ Red")&amp;" Red, ◧ "&amp;COUNTIFS($C$6:$C$305,$A203,$M$6:$M$305,"◧ Amber")&amp;" Amber")</f>
        <v/>
      </c>
      <c r="O203" s="32">
        <f>IF(OR($A203="",$E203=""),"",COUNTIFS($E$6:$E$305,$E203,$D$6:$D$305,"Active")+COUNTIFS($E$6:$E$305,$E203,$D$6:$D$305,"Paused"))</f>
        <v/>
      </c>
      <c r="P203" s="31">
        <f>IF($A203="","",IF($AE203=0,"○ Clear",IF($AA203=1,"△ No owner",IF($AC203=1,"△ Check Sits under",IF($AC203=2,"△ Outside the portfolio",IF($AB203=1,"△ No sponsor","△ No variance note"))))&amp;IF($AE203&gt;1," (+"&amp;($AE203-1)&amp;" more)","")))</f>
        <v/>
      </c>
      <c r="Q203" s="31">
        <f>IF(AND($A203&lt;&gt;"",OR($D203="Active",$D203="Paused")),1,0)</f>
        <v/>
      </c>
      <c r="R203" s="31">
        <f>IFERROR(INDEX($A$6:$A$305,MATCH(196,$S$6:$S$305,0)),"")</f>
        <v/>
      </c>
      <c r="S203" s="31">
        <f>IF(AND($A203&lt;&gt;"",$B203="Program"),COUNTIFS($B$6:$B203,"Program",$A$6:$A203,"&lt;&gt;"),"")</f>
        <v/>
      </c>
      <c r="T203" s="33">
        <f>IF(AND($A203&lt;&gt;"",$B203="Program"),SUMPRODUCT(MAX(($C$6:$C$305=$A203)*($B$6:$B$305="Project")*($D$6:$D$305&lt;&gt;"Proposed")*$I$6:$I$305)),0)</f>
        <v/>
      </c>
      <c r="U203" s="33">
        <f>IF($I203&lt;&gt;"",$I203,IF($T203&gt;0,$T203,""))</f>
        <v/>
      </c>
      <c r="V203" s="31">
        <f>IF(AND($A203&lt;&gt;"",$B203="Program"),SUMIFS($J$6:$J$305,$C$6:$C$305,$A203,$B$6:$B$305,"Project",$D$6:$D$305,"&lt;&gt;Proposed"),0)</f>
        <v/>
      </c>
      <c r="W203" s="31">
        <f>IF(AND($A203&lt;&gt;"",$B203="Program"),COUNTIFS($C$6:$C$305,$A203,$B$6:$B$305,"Project",$D$6:$D$305,"&lt;&gt;Proposed")-COUNTIFS($C$6:$C$305,$A203,$B$6:$B$305,"Project",$D$6:$D$305,"&lt;&gt;Proposed",$J$6:$J$305,"&gt;=0"),0)</f>
        <v/>
      </c>
      <c r="X203" s="31">
        <f>IF(OR($Q203=0,$H203=""),0,IF(AND($B203="Project",$H203&lt;TODAY()),3,IF($U203="",0,IF($U203&lt;=$H203,1,IF(NETWORKDAYS($H203,$U203)-1&gt;IF($B203="Program",Portfolio!$B$16,Portfolio!$B$15),3,2)))))</f>
        <v/>
      </c>
      <c r="Y203" s="31">
        <f>IF(OR($Q203=0,$K203="",$K203=0),0,IF(AND($B203="Project",$J203=""),0,IF(IF($B203="Program",$V203,$J203)&gt;$K203*(1+Portfolio!$B$17),3,IF(IF($B203="Program",$V203,$J203)&gt;$K203,2,IF(AND($B203="Program",OR($W203&gt;0,$V203=0)),0,1)))))</f>
        <v/>
      </c>
      <c r="Z203" s="31">
        <f>IF($A203="",0,IF($C203="Portfolio",1,IF(AND($B203="Project",$C203&lt;&gt;"",$C203&lt;&gt;"Outside the portfolio"),IFERROR(IF(AND(INDEX($B$6:$B$305,MATCH($C203,$A$6:$A$305,0))="Program",INDEX($C$6:$C$305,MATCH($C203,$A$6:$A$305,0))="Portfolio"),1,0),0),0)))</f>
        <v/>
      </c>
      <c r="AA203" s="31">
        <f>IF(AND($A203&lt;&gt;"",$E203="",OR($Q203=1,$D203="Proposed")),1,0)</f>
        <v/>
      </c>
      <c r="AB203" s="31">
        <f>IF(AND($A203&lt;&gt;"",$B203="Program",$F203="",$Q203=1),1,0)</f>
        <v/>
      </c>
      <c r="AC203" s="31">
        <f>IF(OR($A203="",$D203="Completed",$D203="Terminated"),0,IF($C203="",1,IF($C203="Portfolio",0,IF($C203="Outside the portfolio",IF($Q203=1,2,0),IF($B203="Project",IF(IFERROR(INDEX($B$6:$B$305,MATCH($C203,$A$6:$A$305,0)),"")="Program",0,1),1)))))</f>
        <v/>
      </c>
      <c r="AD203" s="31">
        <f>IF(AND($A203&lt;&gt;"",OR($M203="■ Red",$M203="◧ Amber"),$L203=""),1,0)</f>
        <v/>
      </c>
      <c r="AE203" s="31">
        <f>$AA203+$AB203+IF($AC203&gt;0,1,0)+$AD203</f>
        <v/>
      </c>
      <c r="AJ203" s="14" t="n"/>
      <c r="AK203" s="29" t="n"/>
      <c r="AL203" s="31">
        <f>IF(AND($Q203=1,$Z203=1),1,0)</f>
        <v/>
      </c>
      <c r="AM203" s="31">
        <f>IF(AND($AL203=1,$AJ203&lt;&gt;""),MAX(0,TODAY()-$AJ203),"")</f>
        <v/>
      </c>
      <c r="AN203" s="31">
        <f>IF(OR($AL203=0,COUNT($AJ$6:$AJ$305)=0),0,IF($AJ203="",1,IF(TODAY()-$AJ203&gt;Board!$B$40,1,0)))</f>
        <v/>
      </c>
      <c r="AO203" s="31">
        <f>IF($AL203=0,0,IF($M203="■ Red",3,IF($M203="◧ Amber",2,IF($M203="□ On track",1,0))))</f>
        <v/>
      </c>
      <c r="AP203" s="31">
        <f>IF($AL203=0,0,IF($AK203="Will not hold",3,IF($AK203="At risk",2,IF($AK203="Will hold",1,0))))</f>
        <v/>
      </c>
      <c r="AQ203" s="31">
        <f>IF($AL203=0,"",IF($AO203=3,0,IF($AO203=2,1,IF(AND($AP203&gt;=2,$AP203&gt;$AO203),2,""))))</f>
        <v/>
      </c>
      <c r="AR203" s="31">
        <f>IF($AQ203="","",$AQ203*1000+203)</f>
        <v/>
      </c>
      <c r="AS203" s="31">
        <f>IF(AND($AL203=1,$AO203&gt;=2,$AP203&gt;=1,$AP203&lt;$AO203),1,0)</f>
        <v/>
      </c>
      <c r="AT203" s="31">
        <f>IF(AND($AL203=1,$AO203&gt;=2,$AP203=0),1,0)</f>
        <v/>
      </c>
      <c r="AU203" s="31">
        <f>IF(AND($AL203=1,$U203&lt;&gt;"",$U203&lt;TODAY()),1,0)</f>
        <v/>
      </c>
      <c r="AV203" s="31">
        <f>IF(OR($A203="",$AJ203="",Portfolio!$B$10=""),0,IF($AJ203&lt;=Portfolio!$B$10,0,IF(AND($D203="Completed",$Z203=1),1,IF(AND($D203="Terminated",$Z203=1),2,IF(AND($Q203=1,$Z203=0),3,0)))))</f>
        <v/>
      </c>
      <c r="AW203" s="31">
        <f>IF($AV203&gt;0,COUNTIF($AV$6:$AV203,"&gt;0"),"")</f>
        <v/>
      </c>
      <c r="AX203" s="31">
        <f>IF($AL203=0,"",IF(AND($B203="Project",$H203&lt;&gt;"",$H203&lt;TODAY()),"Planned finish "&amp;TEXT($H203,"d mmm")&amp;" has passed",IF($X203&gt;=2,(NETWORKDAYS($H203,$U203)-1)&amp;" working days past plan","")))</f>
        <v/>
      </c>
      <c r="AY203" s="31">
        <f>IF($AL203=0,"",IF($Y203&gt;=2,"Over budget by "&amp;TEXT(IF($B203="Program",$V203,$J203)-$K203,"#,##0"),""))</f>
        <v/>
      </c>
      <c r="AZ203" s="31">
        <f>IF(AND($AL203=1,$U203&lt;&gt;""),IF(AND(N($U203)&gt;=TODAY(),N($U203)&lt;=TODAY()+Board!$B$41),1,0),0)</f>
        <v/>
      </c>
    </row>
    <row r="204">
      <c r="A204" s="29" t="n"/>
      <c r="B204" s="29" t="n"/>
      <c r="C204" s="29" t="n"/>
      <c r="D204" s="29" t="n"/>
      <c r="E204" s="29" t="n"/>
      <c r="F204" s="29" t="n"/>
      <c r="G204" s="29" t="n"/>
      <c r="H204" s="30" t="n"/>
      <c r="I204" s="30" t="n"/>
      <c r="J204" s="19" t="n"/>
      <c r="K204" s="19" t="n"/>
      <c r="L204" s="26" t="n"/>
      <c r="M204" s="31">
        <f>IF($A204="","",IF($D204="","Not read",IF($Q204=0,"Not counted",IF(MAX($X204,$Y204)=3,"■ Red",IF(MAX($X204,$Y204)=2,"◧ Amber",IF(MAX($X204,$Y204)=1,"□ On track","Not read"))))))</f>
        <v/>
      </c>
      <c r="N204" s="31">
        <f>IF(OR($A204="",$B204&lt;&gt;"Program"),"","■ "&amp;COUNTIFS($C$6:$C$305,$A204,$M$6:$M$305,"■ Red")&amp;" Red, ◧ "&amp;COUNTIFS($C$6:$C$305,$A204,$M$6:$M$305,"◧ Amber")&amp;" Amber")</f>
        <v/>
      </c>
      <c r="O204" s="32">
        <f>IF(OR($A204="",$E204=""),"",COUNTIFS($E$6:$E$305,$E204,$D$6:$D$305,"Active")+COUNTIFS($E$6:$E$305,$E204,$D$6:$D$305,"Paused"))</f>
        <v/>
      </c>
      <c r="P204" s="31">
        <f>IF($A204="","",IF($AE204=0,"○ Clear",IF($AA204=1,"△ No owner",IF($AC204=1,"△ Check Sits under",IF($AC204=2,"△ Outside the portfolio",IF($AB204=1,"△ No sponsor","△ No variance note"))))&amp;IF($AE204&gt;1," (+"&amp;($AE204-1)&amp;" more)","")))</f>
        <v/>
      </c>
      <c r="Q204" s="31">
        <f>IF(AND($A204&lt;&gt;"",OR($D204="Active",$D204="Paused")),1,0)</f>
        <v/>
      </c>
      <c r="R204" s="31">
        <f>IFERROR(INDEX($A$6:$A$305,MATCH(197,$S$6:$S$305,0)),"")</f>
        <v/>
      </c>
      <c r="S204" s="31">
        <f>IF(AND($A204&lt;&gt;"",$B204="Program"),COUNTIFS($B$6:$B204,"Program",$A$6:$A204,"&lt;&gt;"),"")</f>
        <v/>
      </c>
      <c r="T204" s="33">
        <f>IF(AND($A204&lt;&gt;"",$B204="Program"),SUMPRODUCT(MAX(($C$6:$C$305=$A204)*($B$6:$B$305="Project")*($D$6:$D$305&lt;&gt;"Proposed")*$I$6:$I$305)),0)</f>
        <v/>
      </c>
      <c r="U204" s="33">
        <f>IF($I204&lt;&gt;"",$I204,IF($T204&gt;0,$T204,""))</f>
        <v/>
      </c>
      <c r="V204" s="31">
        <f>IF(AND($A204&lt;&gt;"",$B204="Program"),SUMIFS($J$6:$J$305,$C$6:$C$305,$A204,$B$6:$B$305,"Project",$D$6:$D$305,"&lt;&gt;Proposed"),0)</f>
        <v/>
      </c>
      <c r="W204" s="31">
        <f>IF(AND($A204&lt;&gt;"",$B204="Program"),COUNTIFS($C$6:$C$305,$A204,$B$6:$B$305,"Project",$D$6:$D$305,"&lt;&gt;Proposed")-COUNTIFS($C$6:$C$305,$A204,$B$6:$B$305,"Project",$D$6:$D$305,"&lt;&gt;Proposed",$J$6:$J$305,"&gt;=0"),0)</f>
        <v/>
      </c>
      <c r="X204" s="31">
        <f>IF(OR($Q204=0,$H204=""),0,IF(AND($B204="Project",$H204&lt;TODAY()),3,IF($U204="",0,IF($U204&lt;=$H204,1,IF(NETWORKDAYS($H204,$U204)-1&gt;IF($B204="Program",Portfolio!$B$16,Portfolio!$B$15),3,2)))))</f>
        <v/>
      </c>
      <c r="Y204" s="31">
        <f>IF(OR($Q204=0,$K204="",$K204=0),0,IF(AND($B204="Project",$J204=""),0,IF(IF($B204="Program",$V204,$J204)&gt;$K204*(1+Portfolio!$B$17),3,IF(IF($B204="Program",$V204,$J204)&gt;$K204,2,IF(AND($B204="Program",OR($W204&gt;0,$V204=0)),0,1)))))</f>
        <v/>
      </c>
      <c r="Z204" s="31">
        <f>IF($A204="",0,IF($C204="Portfolio",1,IF(AND($B204="Project",$C204&lt;&gt;"",$C204&lt;&gt;"Outside the portfolio"),IFERROR(IF(AND(INDEX($B$6:$B$305,MATCH($C204,$A$6:$A$305,0))="Program",INDEX($C$6:$C$305,MATCH($C204,$A$6:$A$305,0))="Portfolio"),1,0),0),0)))</f>
        <v/>
      </c>
      <c r="AA204" s="31">
        <f>IF(AND($A204&lt;&gt;"",$E204="",OR($Q204=1,$D204="Proposed")),1,0)</f>
        <v/>
      </c>
      <c r="AB204" s="31">
        <f>IF(AND($A204&lt;&gt;"",$B204="Program",$F204="",$Q204=1),1,0)</f>
        <v/>
      </c>
      <c r="AC204" s="31">
        <f>IF(OR($A204="",$D204="Completed",$D204="Terminated"),0,IF($C204="",1,IF($C204="Portfolio",0,IF($C204="Outside the portfolio",IF($Q204=1,2,0),IF($B204="Project",IF(IFERROR(INDEX($B$6:$B$305,MATCH($C204,$A$6:$A$305,0)),"")="Program",0,1),1)))))</f>
        <v/>
      </c>
      <c r="AD204" s="31">
        <f>IF(AND($A204&lt;&gt;"",OR($M204="■ Red",$M204="◧ Amber"),$L204=""),1,0)</f>
        <v/>
      </c>
      <c r="AE204" s="31">
        <f>$AA204+$AB204+IF($AC204&gt;0,1,0)+$AD204</f>
        <v/>
      </c>
      <c r="AJ204" s="14" t="n"/>
      <c r="AK204" s="29" t="n"/>
      <c r="AL204" s="31">
        <f>IF(AND($Q204=1,$Z204=1),1,0)</f>
        <v/>
      </c>
      <c r="AM204" s="31">
        <f>IF(AND($AL204=1,$AJ204&lt;&gt;""),MAX(0,TODAY()-$AJ204),"")</f>
        <v/>
      </c>
      <c r="AN204" s="31">
        <f>IF(OR($AL204=0,COUNT($AJ$6:$AJ$305)=0),0,IF($AJ204="",1,IF(TODAY()-$AJ204&gt;Board!$B$40,1,0)))</f>
        <v/>
      </c>
      <c r="AO204" s="31">
        <f>IF($AL204=0,0,IF($M204="■ Red",3,IF($M204="◧ Amber",2,IF($M204="□ On track",1,0))))</f>
        <v/>
      </c>
      <c r="AP204" s="31">
        <f>IF($AL204=0,0,IF($AK204="Will not hold",3,IF($AK204="At risk",2,IF($AK204="Will hold",1,0))))</f>
        <v/>
      </c>
      <c r="AQ204" s="31">
        <f>IF($AL204=0,"",IF($AO204=3,0,IF($AO204=2,1,IF(AND($AP204&gt;=2,$AP204&gt;$AO204),2,""))))</f>
        <v/>
      </c>
      <c r="AR204" s="31">
        <f>IF($AQ204="","",$AQ204*1000+204)</f>
        <v/>
      </c>
      <c r="AS204" s="31">
        <f>IF(AND($AL204=1,$AO204&gt;=2,$AP204&gt;=1,$AP204&lt;$AO204),1,0)</f>
        <v/>
      </c>
      <c r="AT204" s="31">
        <f>IF(AND($AL204=1,$AO204&gt;=2,$AP204=0),1,0)</f>
        <v/>
      </c>
      <c r="AU204" s="31">
        <f>IF(AND($AL204=1,$U204&lt;&gt;"",$U204&lt;TODAY()),1,0)</f>
        <v/>
      </c>
      <c r="AV204" s="31">
        <f>IF(OR($A204="",$AJ204="",Portfolio!$B$10=""),0,IF($AJ204&lt;=Portfolio!$B$10,0,IF(AND($D204="Completed",$Z204=1),1,IF(AND($D204="Terminated",$Z204=1),2,IF(AND($Q204=1,$Z204=0),3,0)))))</f>
        <v/>
      </c>
      <c r="AW204" s="31">
        <f>IF($AV204&gt;0,COUNTIF($AV$6:$AV204,"&gt;0"),"")</f>
        <v/>
      </c>
      <c r="AX204" s="31">
        <f>IF($AL204=0,"",IF(AND($B204="Project",$H204&lt;&gt;"",$H204&lt;TODAY()),"Planned finish "&amp;TEXT($H204,"d mmm")&amp;" has passed",IF($X204&gt;=2,(NETWORKDAYS($H204,$U204)-1)&amp;" working days past plan","")))</f>
        <v/>
      </c>
      <c r="AY204" s="31">
        <f>IF($AL204=0,"",IF($Y204&gt;=2,"Over budget by "&amp;TEXT(IF($B204="Program",$V204,$J204)-$K204,"#,##0"),""))</f>
        <v/>
      </c>
      <c r="AZ204" s="31">
        <f>IF(AND($AL204=1,$U204&lt;&gt;""),IF(AND(N($U204)&gt;=TODAY(),N($U204)&lt;=TODAY()+Board!$B$41),1,0),0)</f>
        <v/>
      </c>
    </row>
    <row r="205">
      <c r="A205" s="29" t="n"/>
      <c r="B205" s="29" t="n"/>
      <c r="C205" s="29" t="n"/>
      <c r="D205" s="29" t="n"/>
      <c r="E205" s="29" t="n"/>
      <c r="F205" s="29" t="n"/>
      <c r="G205" s="29" t="n"/>
      <c r="H205" s="30" t="n"/>
      <c r="I205" s="30" t="n"/>
      <c r="J205" s="19" t="n"/>
      <c r="K205" s="19" t="n"/>
      <c r="L205" s="26" t="n"/>
      <c r="M205" s="31">
        <f>IF($A205="","",IF($D205="","Not read",IF($Q205=0,"Not counted",IF(MAX($X205,$Y205)=3,"■ Red",IF(MAX($X205,$Y205)=2,"◧ Amber",IF(MAX($X205,$Y205)=1,"□ On track","Not read"))))))</f>
        <v/>
      </c>
      <c r="N205" s="31">
        <f>IF(OR($A205="",$B205&lt;&gt;"Program"),"","■ "&amp;COUNTIFS($C$6:$C$305,$A205,$M$6:$M$305,"■ Red")&amp;" Red, ◧ "&amp;COUNTIFS($C$6:$C$305,$A205,$M$6:$M$305,"◧ Amber")&amp;" Amber")</f>
        <v/>
      </c>
      <c r="O205" s="32">
        <f>IF(OR($A205="",$E205=""),"",COUNTIFS($E$6:$E$305,$E205,$D$6:$D$305,"Active")+COUNTIFS($E$6:$E$305,$E205,$D$6:$D$305,"Paused"))</f>
        <v/>
      </c>
      <c r="P205" s="31">
        <f>IF($A205="","",IF($AE205=0,"○ Clear",IF($AA205=1,"△ No owner",IF($AC205=1,"△ Check Sits under",IF($AC205=2,"△ Outside the portfolio",IF($AB205=1,"△ No sponsor","△ No variance note"))))&amp;IF($AE205&gt;1," (+"&amp;($AE205-1)&amp;" more)","")))</f>
        <v/>
      </c>
      <c r="Q205" s="31">
        <f>IF(AND($A205&lt;&gt;"",OR($D205="Active",$D205="Paused")),1,0)</f>
        <v/>
      </c>
      <c r="R205" s="31">
        <f>IFERROR(INDEX($A$6:$A$305,MATCH(198,$S$6:$S$305,0)),"")</f>
        <v/>
      </c>
      <c r="S205" s="31">
        <f>IF(AND($A205&lt;&gt;"",$B205="Program"),COUNTIFS($B$6:$B205,"Program",$A$6:$A205,"&lt;&gt;"),"")</f>
        <v/>
      </c>
      <c r="T205" s="33">
        <f>IF(AND($A205&lt;&gt;"",$B205="Program"),SUMPRODUCT(MAX(($C$6:$C$305=$A205)*($B$6:$B$305="Project")*($D$6:$D$305&lt;&gt;"Proposed")*$I$6:$I$305)),0)</f>
        <v/>
      </c>
      <c r="U205" s="33">
        <f>IF($I205&lt;&gt;"",$I205,IF($T205&gt;0,$T205,""))</f>
        <v/>
      </c>
      <c r="V205" s="31">
        <f>IF(AND($A205&lt;&gt;"",$B205="Program"),SUMIFS($J$6:$J$305,$C$6:$C$305,$A205,$B$6:$B$305,"Project",$D$6:$D$305,"&lt;&gt;Proposed"),0)</f>
        <v/>
      </c>
      <c r="W205" s="31">
        <f>IF(AND($A205&lt;&gt;"",$B205="Program"),COUNTIFS($C$6:$C$305,$A205,$B$6:$B$305,"Project",$D$6:$D$305,"&lt;&gt;Proposed")-COUNTIFS($C$6:$C$305,$A205,$B$6:$B$305,"Project",$D$6:$D$305,"&lt;&gt;Proposed",$J$6:$J$305,"&gt;=0"),0)</f>
        <v/>
      </c>
      <c r="X205" s="31">
        <f>IF(OR($Q205=0,$H205=""),0,IF(AND($B205="Project",$H205&lt;TODAY()),3,IF($U205="",0,IF($U205&lt;=$H205,1,IF(NETWORKDAYS($H205,$U205)-1&gt;IF($B205="Program",Portfolio!$B$16,Portfolio!$B$15),3,2)))))</f>
        <v/>
      </c>
      <c r="Y205" s="31">
        <f>IF(OR($Q205=0,$K205="",$K205=0),0,IF(AND($B205="Project",$J205=""),0,IF(IF($B205="Program",$V205,$J205)&gt;$K205*(1+Portfolio!$B$17),3,IF(IF($B205="Program",$V205,$J205)&gt;$K205,2,IF(AND($B205="Program",OR($W205&gt;0,$V205=0)),0,1)))))</f>
        <v/>
      </c>
      <c r="Z205" s="31">
        <f>IF($A205="",0,IF($C205="Portfolio",1,IF(AND($B205="Project",$C205&lt;&gt;"",$C205&lt;&gt;"Outside the portfolio"),IFERROR(IF(AND(INDEX($B$6:$B$305,MATCH($C205,$A$6:$A$305,0))="Program",INDEX($C$6:$C$305,MATCH($C205,$A$6:$A$305,0))="Portfolio"),1,0),0),0)))</f>
        <v/>
      </c>
      <c r="AA205" s="31">
        <f>IF(AND($A205&lt;&gt;"",$E205="",OR($Q205=1,$D205="Proposed")),1,0)</f>
        <v/>
      </c>
      <c r="AB205" s="31">
        <f>IF(AND($A205&lt;&gt;"",$B205="Program",$F205="",$Q205=1),1,0)</f>
        <v/>
      </c>
      <c r="AC205" s="31">
        <f>IF(OR($A205="",$D205="Completed",$D205="Terminated"),0,IF($C205="",1,IF($C205="Portfolio",0,IF($C205="Outside the portfolio",IF($Q205=1,2,0),IF($B205="Project",IF(IFERROR(INDEX($B$6:$B$305,MATCH($C205,$A$6:$A$305,0)),"")="Program",0,1),1)))))</f>
        <v/>
      </c>
      <c r="AD205" s="31">
        <f>IF(AND($A205&lt;&gt;"",OR($M205="■ Red",$M205="◧ Amber"),$L205=""),1,0)</f>
        <v/>
      </c>
      <c r="AE205" s="31">
        <f>$AA205+$AB205+IF($AC205&gt;0,1,0)+$AD205</f>
        <v/>
      </c>
      <c r="AJ205" s="14" t="n"/>
      <c r="AK205" s="29" t="n"/>
      <c r="AL205" s="31">
        <f>IF(AND($Q205=1,$Z205=1),1,0)</f>
        <v/>
      </c>
      <c r="AM205" s="31">
        <f>IF(AND($AL205=1,$AJ205&lt;&gt;""),MAX(0,TODAY()-$AJ205),"")</f>
        <v/>
      </c>
      <c r="AN205" s="31">
        <f>IF(OR($AL205=0,COUNT($AJ$6:$AJ$305)=0),0,IF($AJ205="",1,IF(TODAY()-$AJ205&gt;Board!$B$40,1,0)))</f>
        <v/>
      </c>
      <c r="AO205" s="31">
        <f>IF($AL205=0,0,IF($M205="■ Red",3,IF($M205="◧ Amber",2,IF($M205="□ On track",1,0))))</f>
        <v/>
      </c>
      <c r="AP205" s="31">
        <f>IF($AL205=0,0,IF($AK205="Will not hold",3,IF($AK205="At risk",2,IF($AK205="Will hold",1,0))))</f>
        <v/>
      </c>
      <c r="AQ205" s="31">
        <f>IF($AL205=0,"",IF($AO205=3,0,IF($AO205=2,1,IF(AND($AP205&gt;=2,$AP205&gt;$AO205),2,""))))</f>
        <v/>
      </c>
      <c r="AR205" s="31">
        <f>IF($AQ205="","",$AQ205*1000+205)</f>
        <v/>
      </c>
      <c r="AS205" s="31">
        <f>IF(AND($AL205=1,$AO205&gt;=2,$AP205&gt;=1,$AP205&lt;$AO205),1,0)</f>
        <v/>
      </c>
      <c r="AT205" s="31">
        <f>IF(AND($AL205=1,$AO205&gt;=2,$AP205=0),1,0)</f>
        <v/>
      </c>
      <c r="AU205" s="31">
        <f>IF(AND($AL205=1,$U205&lt;&gt;"",$U205&lt;TODAY()),1,0)</f>
        <v/>
      </c>
      <c r="AV205" s="31">
        <f>IF(OR($A205="",$AJ205="",Portfolio!$B$10=""),0,IF($AJ205&lt;=Portfolio!$B$10,0,IF(AND($D205="Completed",$Z205=1),1,IF(AND($D205="Terminated",$Z205=1),2,IF(AND($Q205=1,$Z205=0),3,0)))))</f>
        <v/>
      </c>
      <c r="AW205" s="31">
        <f>IF($AV205&gt;0,COUNTIF($AV$6:$AV205,"&gt;0"),"")</f>
        <v/>
      </c>
      <c r="AX205" s="31">
        <f>IF($AL205=0,"",IF(AND($B205="Project",$H205&lt;&gt;"",$H205&lt;TODAY()),"Planned finish "&amp;TEXT($H205,"d mmm")&amp;" has passed",IF($X205&gt;=2,(NETWORKDAYS($H205,$U205)-1)&amp;" working days past plan","")))</f>
        <v/>
      </c>
      <c r="AY205" s="31">
        <f>IF($AL205=0,"",IF($Y205&gt;=2,"Over budget by "&amp;TEXT(IF($B205="Program",$V205,$J205)-$K205,"#,##0"),""))</f>
        <v/>
      </c>
      <c r="AZ205" s="31">
        <f>IF(AND($AL205=1,$U205&lt;&gt;""),IF(AND(N($U205)&gt;=TODAY(),N($U205)&lt;=TODAY()+Board!$B$41),1,0),0)</f>
        <v/>
      </c>
    </row>
    <row r="206">
      <c r="A206" s="29" t="n"/>
      <c r="B206" s="29" t="n"/>
      <c r="C206" s="29" t="n"/>
      <c r="D206" s="29" t="n"/>
      <c r="E206" s="29" t="n"/>
      <c r="F206" s="29" t="n"/>
      <c r="G206" s="29" t="n"/>
      <c r="H206" s="30" t="n"/>
      <c r="I206" s="30" t="n"/>
      <c r="J206" s="19" t="n"/>
      <c r="K206" s="19" t="n"/>
      <c r="L206" s="26" t="n"/>
      <c r="M206" s="31">
        <f>IF($A206="","",IF($D206="","Not read",IF($Q206=0,"Not counted",IF(MAX($X206,$Y206)=3,"■ Red",IF(MAX($X206,$Y206)=2,"◧ Amber",IF(MAX($X206,$Y206)=1,"□ On track","Not read"))))))</f>
        <v/>
      </c>
      <c r="N206" s="31">
        <f>IF(OR($A206="",$B206&lt;&gt;"Program"),"","■ "&amp;COUNTIFS($C$6:$C$305,$A206,$M$6:$M$305,"■ Red")&amp;" Red, ◧ "&amp;COUNTIFS($C$6:$C$305,$A206,$M$6:$M$305,"◧ Amber")&amp;" Amber")</f>
        <v/>
      </c>
      <c r="O206" s="32">
        <f>IF(OR($A206="",$E206=""),"",COUNTIFS($E$6:$E$305,$E206,$D$6:$D$305,"Active")+COUNTIFS($E$6:$E$305,$E206,$D$6:$D$305,"Paused"))</f>
        <v/>
      </c>
      <c r="P206" s="31">
        <f>IF($A206="","",IF($AE206=0,"○ Clear",IF($AA206=1,"△ No owner",IF($AC206=1,"△ Check Sits under",IF($AC206=2,"△ Outside the portfolio",IF($AB206=1,"△ No sponsor","△ No variance note"))))&amp;IF($AE206&gt;1," (+"&amp;($AE206-1)&amp;" more)","")))</f>
        <v/>
      </c>
      <c r="Q206" s="31">
        <f>IF(AND($A206&lt;&gt;"",OR($D206="Active",$D206="Paused")),1,0)</f>
        <v/>
      </c>
      <c r="R206" s="31">
        <f>IFERROR(INDEX($A$6:$A$305,MATCH(199,$S$6:$S$305,0)),"")</f>
        <v/>
      </c>
      <c r="S206" s="31">
        <f>IF(AND($A206&lt;&gt;"",$B206="Program"),COUNTIFS($B$6:$B206,"Program",$A$6:$A206,"&lt;&gt;"),"")</f>
        <v/>
      </c>
      <c r="T206" s="33">
        <f>IF(AND($A206&lt;&gt;"",$B206="Program"),SUMPRODUCT(MAX(($C$6:$C$305=$A206)*($B$6:$B$305="Project")*($D$6:$D$305&lt;&gt;"Proposed")*$I$6:$I$305)),0)</f>
        <v/>
      </c>
      <c r="U206" s="33">
        <f>IF($I206&lt;&gt;"",$I206,IF($T206&gt;0,$T206,""))</f>
        <v/>
      </c>
      <c r="V206" s="31">
        <f>IF(AND($A206&lt;&gt;"",$B206="Program"),SUMIFS($J$6:$J$305,$C$6:$C$305,$A206,$B$6:$B$305,"Project",$D$6:$D$305,"&lt;&gt;Proposed"),0)</f>
        <v/>
      </c>
      <c r="W206" s="31">
        <f>IF(AND($A206&lt;&gt;"",$B206="Program"),COUNTIFS($C$6:$C$305,$A206,$B$6:$B$305,"Project",$D$6:$D$305,"&lt;&gt;Proposed")-COUNTIFS($C$6:$C$305,$A206,$B$6:$B$305,"Project",$D$6:$D$305,"&lt;&gt;Proposed",$J$6:$J$305,"&gt;=0"),0)</f>
        <v/>
      </c>
      <c r="X206" s="31">
        <f>IF(OR($Q206=0,$H206=""),0,IF(AND($B206="Project",$H206&lt;TODAY()),3,IF($U206="",0,IF($U206&lt;=$H206,1,IF(NETWORKDAYS($H206,$U206)-1&gt;IF($B206="Program",Portfolio!$B$16,Portfolio!$B$15),3,2)))))</f>
        <v/>
      </c>
      <c r="Y206" s="31">
        <f>IF(OR($Q206=0,$K206="",$K206=0),0,IF(AND($B206="Project",$J206=""),0,IF(IF($B206="Program",$V206,$J206)&gt;$K206*(1+Portfolio!$B$17),3,IF(IF($B206="Program",$V206,$J206)&gt;$K206,2,IF(AND($B206="Program",OR($W206&gt;0,$V206=0)),0,1)))))</f>
        <v/>
      </c>
      <c r="Z206" s="31">
        <f>IF($A206="",0,IF($C206="Portfolio",1,IF(AND($B206="Project",$C206&lt;&gt;"",$C206&lt;&gt;"Outside the portfolio"),IFERROR(IF(AND(INDEX($B$6:$B$305,MATCH($C206,$A$6:$A$305,0))="Program",INDEX($C$6:$C$305,MATCH($C206,$A$6:$A$305,0))="Portfolio"),1,0),0),0)))</f>
        <v/>
      </c>
      <c r="AA206" s="31">
        <f>IF(AND($A206&lt;&gt;"",$E206="",OR($Q206=1,$D206="Proposed")),1,0)</f>
        <v/>
      </c>
      <c r="AB206" s="31">
        <f>IF(AND($A206&lt;&gt;"",$B206="Program",$F206="",$Q206=1),1,0)</f>
        <v/>
      </c>
      <c r="AC206" s="31">
        <f>IF(OR($A206="",$D206="Completed",$D206="Terminated"),0,IF($C206="",1,IF($C206="Portfolio",0,IF($C206="Outside the portfolio",IF($Q206=1,2,0),IF($B206="Project",IF(IFERROR(INDEX($B$6:$B$305,MATCH($C206,$A$6:$A$305,0)),"")="Program",0,1),1)))))</f>
        <v/>
      </c>
      <c r="AD206" s="31">
        <f>IF(AND($A206&lt;&gt;"",OR($M206="■ Red",$M206="◧ Amber"),$L206=""),1,0)</f>
        <v/>
      </c>
      <c r="AE206" s="31">
        <f>$AA206+$AB206+IF($AC206&gt;0,1,0)+$AD206</f>
        <v/>
      </c>
      <c r="AJ206" s="14" t="n"/>
      <c r="AK206" s="29" t="n"/>
      <c r="AL206" s="31">
        <f>IF(AND($Q206=1,$Z206=1),1,0)</f>
        <v/>
      </c>
      <c r="AM206" s="31">
        <f>IF(AND($AL206=1,$AJ206&lt;&gt;""),MAX(0,TODAY()-$AJ206),"")</f>
        <v/>
      </c>
      <c r="AN206" s="31">
        <f>IF(OR($AL206=0,COUNT($AJ$6:$AJ$305)=0),0,IF($AJ206="",1,IF(TODAY()-$AJ206&gt;Board!$B$40,1,0)))</f>
        <v/>
      </c>
      <c r="AO206" s="31">
        <f>IF($AL206=0,0,IF($M206="■ Red",3,IF($M206="◧ Amber",2,IF($M206="□ On track",1,0))))</f>
        <v/>
      </c>
      <c r="AP206" s="31">
        <f>IF($AL206=0,0,IF($AK206="Will not hold",3,IF($AK206="At risk",2,IF($AK206="Will hold",1,0))))</f>
        <v/>
      </c>
      <c r="AQ206" s="31">
        <f>IF($AL206=0,"",IF($AO206=3,0,IF($AO206=2,1,IF(AND($AP206&gt;=2,$AP206&gt;$AO206),2,""))))</f>
        <v/>
      </c>
      <c r="AR206" s="31">
        <f>IF($AQ206="","",$AQ206*1000+206)</f>
        <v/>
      </c>
      <c r="AS206" s="31">
        <f>IF(AND($AL206=1,$AO206&gt;=2,$AP206&gt;=1,$AP206&lt;$AO206),1,0)</f>
        <v/>
      </c>
      <c r="AT206" s="31">
        <f>IF(AND($AL206=1,$AO206&gt;=2,$AP206=0),1,0)</f>
        <v/>
      </c>
      <c r="AU206" s="31">
        <f>IF(AND($AL206=1,$U206&lt;&gt;"",$U206&lt;TODAY()),1,0)</f>
        <v/>
      </c>
      <c r="AV206" s="31">
        <f>IF(OR($A206="",$AJ206="",Portfolio!$B$10=""),0,IF($AJ206&lt;=Portfolio!$B$10,0,IF(AND($D206="Completed",$Z206=1),1,IF(AND($D206="Terminated",$Z206=1),2,IF(AND($Q206=1,$Z206=0),3,0)))))</f>
        <v/>
      </c>
      <c r="AW206" s="31">
        <f>IF($AV206&gt;0,COUNTIF($AV$6:$AV206,"&gt;0"),"")</f>
        <v/>
      </c>
      <c r="AX206" s="31">
        <f>IF($AL206=0,"",IF(AND($B206="Project",$H206&lt;&gt;"",$H206&lt;TODAY()),"Planned finish "&amp;TEXT($H206,"d mmm")&amp;" has passed",IF($X206&gt;=2,(NETWORKDAYS($H206,$U206)-1)&amp;" working days past plan","")))</f>
        <v/>
      </c>
      <c r="AY206" s="31">
        <f>IF($AL206=0,"",IF($Y206&gt;=2,"Over budget by "&amp;TEXT(IF($B206="Program",$V206,$J206)-$K206,"#,##0"),""))</f>
        <v/>
      </c>
      <c r="AZ206" s="31">
        <f>IF(AND($AL206=1,$U206&lt;&gt;""),IF(AND(N($U206)&gt;=TODAY(),N($U206)&lt;=TODAY()+Board!$B$41),1,0),0)</f>
        <v/>
      </c>
    </row>
    <row r="207">
      <c r="A207" s="29" t="n"/>
      <c r="B207" s="29" t="n"/>
      <c r="C207" s="29" t="n"/>
      <c r="D207" s="29" t="n"/>
      <c r="E207" s="29" t="n"/>
      <c r="F207" s="29" t="n"/>
      <c r="G207" s="29" t="n"/>
      <c r="H207" s="30" t="n"/>
      <c r="I207" s="30" t="n"/>
      <c r="J207" s="19" t="n"/>
      <c r="K207" s="19" t="n"/>
      <c r="L207" s="26" t="n"/>
      <c r="M207" s="31">
        <f>IF($A207="","",IF($D207="","Not read",IF($Q207=0,"Not counted",IF(MAX($X207,$Y207)=3,"■ Red",IF(MAX($X207,$Y207)=2,"◧ Amber",IF(MAX($X207,$Y207)=1,"□ On track","Not read"))))))</f>
        <v/>
      </c>
      <c r="N207" s="31">
        <f>IF(OR($A207="",$B207&lt;&gt;"Program"),"","■ "&amp;COUNTIFS($C$6:$C$305,$A207,$M$6:$M$305,"■ Red")&amp;" Red, ◧ "&amp;COUNTIFS($C$6:$C$305,$A207,$M$6:$M$305,"◧ Amber")&amp;" Amber")</f>
        <v/>
      </c>
      <c r="O207" s="32">
        <f>IF(OR($A207="",$E207=""),"",COUNTIFS($E$6:$E$305,$E207,$D$6:$D$305,"Active")+COUNTIFS($E$6:$E$305,$E207,$D$6:$D$305,"Paused"))</f>
        <v/>
      </c>
      <c r="P207" s="31">
        <f>IF($A207="","",IF($AE207=0,"○ Clear",IF($AA207=1,"△ No owner",IF($AC207=1,"△ Check Sits under",IF($AC207=2,"△ Outside the portfolio",IF($AB207=1,"△ No sponsor","△ No variance note"))))&amp;IF($AE207&gt;1," (+"&amp;($AE207-1)&amp;" more)","")))</f>
        <v/>
      </c>
      <c r="Q207" s="31">
        <f>IF(AND($A207&lt;&gt;"",OR($D207="Active",$D207="Paused")),1,0)</f>
        <v/>
      </c>
      <c r="R207" s="31">
        <f>IFERROR(INDEX($A$6:$A$305,MATCH(200,$S$6:$S$305,0)),"")</f>
        <v/>
      </c>
      <c r="S207" s="31">
        <f>IF(AND($A207&lt;&gt;"",$B207="Program"),COUNTIFS($B$6:$B207,"Program",$A$6:$A207,"&lt;&gt;"),"")</f>
        <v/>
      </c>
      <c r="T207" s="33">
        <f>IF(AND($A207&lt;&gt;"",$B207="Program"),SUMPRODUCT(MAX(($C$6:$C$305=$A207)*($B$6:$B$305="Project")*($D$6:$D$305&lt;&gt;"Proposed")*$I$6:$I$305)),0)</f>
        <v/>
      </c>
      <c r="U207" s="33">
        <f>IF($I207&lt;&gt;"",$I207,IF($T207&gt;0,$T207,""))</f>
        <v/>
      </c>
      <c r="V207" s="31">
        <f>IF(AND($A207&lt;&gt;"",$B207="Program"),SUMIFS($J$6:$J$305,$C$6:$C$305,$A207,$B$6:$B$305,"Project",$D$6:$D$305,"&lt;&gt;Proposed"),0)</f>
        <v/>
      </c>
      <c r="W207" s="31">
        <f>IF(AND($A207&lt;&gt;"",$B207="Program"),COUNTIFS($C$6:$C$305,$A207,$B$6:$B$305,"Project",$D$6:$D$305,"&lt;&gt;Proposed")-COUNTIFS($C$6:$C$305,$A207,$B$6:$B$305,"Project",$D$6:$D$305,"&lt;&gt;Proposed",$J$6:$J$305,"&gt;=0"),0)</f>
        <v/>
      </c>
      <c r="X207" s="31">
        <f>IF(OR($Q207=0,$H207=""),0,IF(AND($B207="Project",$H207&lt;TODAY()),3,IF($U207="",0,IF($U207&lt;=$H207,1,IF(NETWORKDAYS($H207,$U207)-1&gt;IF($B207="Program",Portfolio!$B$16,Portfolio!$B$15),3,2)))))</f>
        <v/>
      </c>
      <c r="Y207" s="31">
        <f>IF(OR($Q207=0,$K207="",$K207=0),0,IF(AND($B207="Project",$J207=""),0,IF(IF($B207="Program",$V207,$J207)&gt;$K207*(1+Portfolio!$B$17),3,IF(IF($B207="Program",$V207,$J207)&gt;$K207,2,IF(AND($B207="Program",OR($W207&gt;0,$V207=0)),0,1)))))</f>
        <v/>
      </c>
      <c r="Z207" s="31">
        <f>IF($A207="",0,IF($C207="Portfolio",1,IF(AND($B207="Project",$C207&lt;&gt;"",$C207&lt;&gt;"Outside the portfolio"),IFERROR(IF(AND(INDEX($B$6:$B$305,MATCH($C207,$A$6:$A$305,0))="Program",INDEX($C$6:$C$305,MATCH($C207,$A$6:$A$305,0))="Portfolio"),1,0),0),0)))</f>
        <v/>
      </c>
      <c r="AA207" s="31">
        <f>IF(AND($A207&lt;&gt;"",$E207="",OR($Q207=1,$D207="Proposed")),1,0)</f>
        <v/>
      </c>
      <c r="AB207" s="31">
        <f>IF(AND($A207&lt;&gt;"",$B207="Program",$F207="",$Q207=1),1,0)</f>
        <v/>
      </c>
      <c r="AC207" s="31">
        <f>IF(OR($A207="",$D207="Completed",$D207="Terminated"),0,IF($C207="",1,IF($C207="Portfolio",0,IF($C207="Outside the portfolio",IF($Q207=1,2,0),IF($B207="Project",IF(IFERROR(INDEX($B$6:$B$305,MATCH($C207,$A$6:$A$305,0)),"")="Program",0,1),1)))))</f>
        <v/>
      </c>
      <c r="AD207" s="31">
        <f>IF(AND($A207&lt;&gt;"",OR($M207="■ Red",$M207="◧ Amber"),$L207=""),1,0)</f>
        <v/>
      </c>
      <c r="AE207" s="31">
        <f>$AA207+$AB207+IF($AC207&gt;0,1,0)+$AD207</f>
        <v/>
      </c>
      <c r="AJ207" s="14" t="n"/>
      <c r="AK207" s="29" t="n"/>
      <c r="AL207" s="31">
        <f>IF(AND($Q207=1,$Z207=1),1,0)</f>
        <v/>
      </c>
      <c r="AM207" s="31">
        <f>IF(AND($AL207=1,$AJ207&lt;&gt;""),MAX(0,TODAY()-$AJ207),"")</f>
        <v/>
      </c>
      <c r="AN207" s="31">
        <f>IF(OR($AL207=0,COUNT($AJ$6:$AJ$305)=0),0,IF($AJ207="",1,IF(TODAY()-$AJ207&gt;Board!$B$40,1,0)))</f>
        <v/>
      </c>
      <c r="AO207" s="31">
        <f>IF($AL207=0,0,IF($M207="■ Red",3,IF($M207="◧ Amber",2,IF($M207="□ On track",1,0))))</f>
        <v/>
      </c>
      <c r="AP207" s="31">
        <f>IF($AL207=0,0,IF($AK207="Will not hold",3,IF($AK207="At risk",2,IF($AK207="Will hold",1,0))))</f>
        <v/>
      </c>
      <c r="AQ207" s="31">
        <f>IF($AL207=0,"",IF($AO207=3,0,IF($AO207=2,1,IF(AND($AP207&gt;=2,$AP207&gt;$AO207),2,""))))</f>
        <v/>
      </c>
      <c r="AR207" s="31">
        <f>IF($AQ207="","",$AQ207*1000+207)</f>
        <v/>
      </c>
      <c r="AS207" s="31">
        <f>IF(AND($AL207=1,$AO207&gt;=2,$AP207&gt;=1,$AP207&lt;$AO207),1,0)</f>
        <v/>
      </c>
      <c r="AT207" s="31">
        <f>IF(AND($AL207=1,$AO207&gt;=2,$AP207=0),1,0)</f>
        <v/>
      </c>
      <c r="AU207" s="31">
        <f>IF(AND($AL207=1,$U207&lt;&gt;"",$U207&lt;TODAY()),1,0)</f>
        <v/>
      </c>
      <c r="AV207" s="31">
        <f>IF(OR($A207="",$AJ207="",Portfolio!$B$10=""),0,IF($AJ207&lt;=Portfolio!$B$10,0,IF(AND($D207="Completed",$Z207=1),1,IF(AND($D207="Terminated",$Z207=1),2,IF(AND($Q207=1,$Z207=0),3,0)))))</f>
        <v/>
      </c>
      <c r="AW207" s="31">
        <f>IF($AV207&gt;0,COUNTIF($AV$6:$AV207,"&gt;0"),"")</f>
        <v/>
      </c>
      <c r="AX207" s="31">
        <f>IF($AL207=0,"",IF(AND($B207="Project",$H207&lt;&gt;"",$H207&lt;TODAY()),"Planned finish "&amp;TEXT($H207,"d mmm")&amp;" has passed",IF($X207&gt;=2,(NETWORKDAYS($H207,$U207)-1)&amp;" working days past plan","")))</f>
        <v/>
      </c>
      <c r="AY207" s="31">
        <f>IF($AL207=0,"",IF($Y207&gt;=2,"Over budget by "&amp;TEXT(IF($B207="Program",$V207,$J207)-$K207,"#,##0"),""))</f>
        <v/>
      </c>
      <c r="AZ207" s="31">
        <f>IF(AND($AL207=1,$U207&lt;&gt;""),IF(AND(N($U207)&gt;=TODAY(),N($U207)&lt;=TODAY()+Board!$B$41),1,0),0)</f>
        <v/>
      </c>
    </row>
    <row r="208">
      <c r="A208" s="29" t="n"/>
      <c r="B208" s="29" t="n"/>
      <c r="C208" s="29" t="n"/>
      <c r="D208" s="29" t="n"/>
      <c r="E208" s="29" t="n"/>
      <c r="F208" s="29" t="n"/>
      <c r="G208" s="29" t="n"/>
      <c r="H208" s="30" t="n"/>
      <c r="I208" s="30" t="n"/>
      <c r="J208" s="19" t="n"/>
      <c r="K208" s="19" t="n"/>
      <c r="L208" s="26" t="n"/>
      <c r="M208" s="31">
        <f>IF($A208="","",IF($D208="","Not read",IF($Q208=0,"Not counted",IF(MAX($X208,$Y208)=3,"■ Red",IF(MAX($X208,$Y208)=2,"◧ Amber",IF(MAX($X208,$Y208)=1,"□ On track","Not read"))))))</f>
        <v/>
      </c>
      <c r="N208" s="31">
        <f>IF(OR($A208="",$B208&lt;&gt;"Program"),"","■ "&amp;COUNTIFS($C$6:$C$305,$A208,$M$6:$M$305,"■ Red")&amp;" Red, ◧ "&amp;COUNTIFS($C$6:$C$305,$A208,$M$6:$M$305,"◧ Amber")&amp;" Amber")</f>
        <v/>
      </c>
      <c r="O208" s="32">
        <f>IF(OR($A208="",$E208=""),"",COUNTIFS($E$6:$E$305,$E208,$D$6:$D$305,"Active")+COUNTIFS($E$6:$E$305,$E208,$D$6:$D$305,"Paused"))</f>
        <v/>
      </c>
      <c r="P208" s="31">
        <f>IF($A208="","",IF($AE208=0,"○ Clear",IF($AA208=1,"△ No owner",IF($AC208=1,"△ Check Sits under",IF($AC208=2,"△ Outside the portfolio",IF($AB208=1,"△ No sponsor","△ No variance note"))))&amp;IF($AE208&gt;1," (+"&amp;($AE208-1)&amp;" more)","")))</f>
        <v/>
      </c>
      <c r="Q208" s="31">
        <f>IF(AND($A208&lt;&gt;"",OR($D208="Active",$D208="Paused")),1,0)</f>
        <v/>
      </c>
      <c r="R208" s="31">
        <f>IFERROR(INDEX($A$6:$A$305,MATCH(201,$S$6:$S$305,0)),"")</f>
        <v/>
      </c>
      <c r="S208" s="31">
        <f>IF(AND($A208&lt;&gt;"",$B208="Program"),COUNTIFS($B$6:$B208,"Program",$A$6:$A208,"&lt;&gt;"),"")</f>
        <v/>
      </c>
      <c r="T208" s="33">
        <f>IF(AND($A208&lt;&gt;"",$B208="Program"),SUMPRODUCT(MAX(($C$6:$C$305=$A208)*($B$6:$B$305="Project")*($D$6:$D$305&lt;&gt;"Proposed")*$I$6:$I$305)),0)</f>
        <v/>
      </c>
      <c r="U208" s="33">
        <f>IF($I208&lt;&gt;"",$I208,IF($T208&gt;0,$T208,""))</f>
        <v/>
      </c>
      <c r="V208" s="31">
        <f>IF(AND($A208&lt;&gt;"",$B208="Program"),SUMIFS($J$6:$J$305,$C$6:$C$305,$A208,$B$6:$B$305,"Project",$D$6:$D$305,"&lt;&gt;Proposed"),0)</f>
        <v/>
      </c>
      <c r="W208" s="31">
        <f>IF(AND($A208&lt;&gt;"",$B208="Program"),COUNTIFS($C$6:$C$305,$A208,$B$6:$B$305,"Project",$D$6:$D$305,"&lt;&gt;Proposed")-COUNTIFS($C$6:$C$305,$A208,$B$6:$B$305,"Project",$D$6:$D$305,"&lt;&gt;Proposed",$J$6:$J$305,"&gt;=0"),0)</f>
        <v/>
      </c>
      <c r="X208" s="31">
        <f>IF(OR($Q208=0,$H208=""),0,IF(AND($B208="Project",$H208&lt;TODAY()),3,IF($U208="",0,IF($U208&lt;=$H208,1,IF(NETWORKDAYS($H208,$U208)-1&gt;IF($B208="Program",Portfolio!$B$16,Portfolio!$B$15),3,2)))))</f>
        <v/>
      </c>
      <c r="Y208" s="31">
        <f>IF(OR($Q208=0,$K208="",$K208=0),0,IF(AND($B208="Project",$J208=""),0,IF(IF($B208="Program",$V208,$J208)&gt;$K208*(1+Portfolio!$B$17),3,IF(IF($B208="Program",$V208,$J208)&gt;$K208,2,IF(AND($B208="Program",OR($W208&gt;0,$V208=0)),0,1)))))</f>
        <v/>
      </c>
      <c r="Z208" s="31">
        <f>IF($A208="",0,IF($C208="Portfolio",1,IF(AND($B208="Project",$C208&lt;&gt;"",$C208&lt;&gt;"Outside the portfolio"),IFERROR(IF(AND(INDEX($B$6:$B$305,MATCH($C208,$A$6:$A$305,0))="Program",INDEX($C$6:$C$305,MATCH($C208,$A$6:$A$305,0))="Portfolio"),1,0),0),0)))</f>
        <v/>
      </c>
      <c r="AA208" s="31">
        <f>IF(AND($A208&lt;&gt;"",$E208="",OR($Q208=1,$D208="Proposed")),1,0)</f>
        <v/>
      </c>
      <c r="AB208" s="31">
        <f>IF(AND($A208&lt;&gt;"",$B208="Program",$F208="",$Q208=1),1,0)</f>
        <v/>
      </c>
      <c r="AC208" s="31">
        <f>IF(OR($A208="",$D208="Completed",$D208="Terminated"),0,IF($C208="",1,IF($C208="Portfolio",0,IF($C208="Outside the portfolio",IF($Q208=1,2,0),IF($B208="Project",IF(IFERROR(INDEX($B$6:$B$305,MATCH($C208,$A$6:$A$305,0)),"")="Program",0,1),1)))))</f>
        <v/>
      </c>
      <c r="AD208" s="31">
        <f>IF(AND($A208&lt;&gt;"",OR($M208="■ Red",$M208="◧ Amber"),$L208=""),1,0)</f>
        <v/>
      </c>
      <c r="AE208" s="31">
        <f>$AA208+$AB208+IF($AC208&gt;0,1,0)+$AD208</f>
        <v/>
      </c>
      <c r="AJ208" s="14" t="n"/>
      <c r="AK208" s="29" t="n"/>
      <c r="AL208" s="31">
        <f>IF(AND($Q208=1,$Z208=1),1,0)</f>
        <v/>
      </c>
      <c r="AM208" s="31">
        <f>IF(AND($AL208=1,$AJ208&lt;&gt;""),MAX(0,TODAY()-$AJ208),"")</f>
        <v/>
      </c>
      <c r="AN208" s="31">
        <f>IF(OR($AL208=0,COUNT($AJ$6:$AJ$305)=0),0,IF($AJ208="",1,IF(TODAY()-$AJ208&gt;Board!$B$40,1,0)))</f>
        <v/>
      </c>
      <c r="AO208" s="31">
        <f>IF($AL208=0,0,IF($M208="■ Red",3,IF($M208="◧ Amber",2,IF($M208="□ On track",1,0))))</f>
        <v/>
      </c>
      <c r="AP208" s="31">
        <f>IF($AL208=0,0,IF($AK208="Will not hold",3,IF($AK208="At risk",2,IF($AK208="Will hold",1,0))))</f>
        <v/>
      </c>
      <c r="AQ208" s="31">
        <f>IF($AL208=0,"",IF($AO208=3,0,IF($AO208=2,1,IF(AND($AP208&gt;=2,$AP208&gt;$AO208),2,""))))</f>
        <v/>
      </c>
      <c r="AR208" s="31">
        <f>IF($AQ208="","",$AQ208*1000+208)</f>
        <v/>
      </c>
      <c r="AS208" s="31">
        <f>IF(AND($AL208=1,$AO208&gt;=2,$AP208&gt;=1,$AP208&lt;$AO208),1,0)</f>
        <v/>
      </c>
      <c r="AT208" s="31">
        <f>IF(AND($AL208=1,$AO208&gt;=2,$AP208=0),1,0)</f>
        <v/>
      </c>
      <c r="AU208" s="31">
        <f>IF(AND($AL208=1,$U208&lt;&gt;"",$U208&lt;TODAY()),1,0)</f>
        <v/>
      </c>
      <c r="AV208" s="31">
        <f>IF(OR($A208="",$AJ208="",Portfolio!$B$10=""),0,IF($AJ208&lt;=Portfolio!$B$10,0,IF(AND($D208="Completed",$Z208=1),1,IF(AND($D208="Terminated",$Z208=1),2,IF(AND($Q208=1,$Z208=0),3,0)))))</f>
        <v/>
      </c>
      <c r="AW208" s="31">
        <f>IF($AV208&gt;0,COUNTIF($AV$6:$AV208,"&gt;0"),"")</f>
        <v/>
      </c>
      <c r="AX208" s="31">
        <f>IF($AL208=0,"",IF(AND($B208="Project",$H208&lt;&gt;"",$H208&lt;TODAY()),"Planned finish "&amp;TEXT($H208,"d mmm")&amp;" has passed",IF($X208&gt;=2,(NETWORKDAYS($H208,$U208)-1)&amp;" working days past plan","")))</f>
        <v/>
      </c>
      <c r="AY208" s="31">
        <f>IF($AL208=0,"",IF($Y208&gt;=2,"Over budget by "&amp;TEXT(IF($B208="Program",$V208,$J208)-$K208,"#,##0"),""))</f>
        <v/>
      </c>
      <c r="AZ208" s="31">
        <f>IF(AND($AL208=1,$U208&lt;&gt;""),IF(AND(N($U208)&gt;=TODAY(),N($U208)&lt;=TODAY()+Board!$B$41),1,0),0)</f>
        <v/>
      </c>
    </row>
    <row r="209">
      <c r="A209" s="29" t="n"/>
      <c r="B209" s="29" t="n"/>
      <c r="C209" s="29" t="n"/>
      <c r="D209" s="29" t="n"/>
      <c r="E209" s="29" t="n"/>
      <c r="F209" s="29" t="n"/>
      <c r="G209" s="29" t="n"/>
      <c r="H209" s="30" t="n"/>
      <c r="I209" s="30" t="n"/>
      <c r="J209" s="19" t="n"/>
      <c r="K209" s="19" t="n"/>
      <c r="L209" s="26" t="n"/>
      <c r="M209" s="31">
        <f>IF($A209="","",IF($D209="","Not read",IF($Q209=0,"Not counted",IF(MAX($X209,$Y209)=3,"■ Red",IF(MAX($X209,$Y209)=2,"◧ Amber",IF(MAX($X209,$Y209)=1,"□ On track","Not read"))))))</f>
        <v/>
      </c>
      <c r="N209" s="31">
        <f>IF(OR($A209="",$B209&lt;&gt;"Program"),"","■ "&amp;COUNTIFS($C$6:$C$305,$A209,$M$6:$M$305,"■ Red")&amp;" Red, ◧ "&amp;COUNTIFS($C$6:$C$305,$A209,$M$6:$M$305,"◧ Amber")&amp;" Amber")</f>
        <v/>
      </c>
      <c r="O209" s="32">
        <f>IF(OR($A209="",$E209=""),"",COUNTIFS($E$6:$E$305,$E209,$D$6:$D$305,"Active")+COUNTIFS($E$6:$E$305,$E209,$D$6:$D$305,"Paused"))</f>
        <v/>
      </c>
      <c r="P209" s="31">
        <f>IF($A209="","",IF($AE209=0,"○ Clear",IF($AA209=1,"△ No owner",IF($AC209=1,"△ Check Sits under",IF($AC209=2,"△ Outside the portfolio",IF($AB209=1,"△ No sponsor","△ No variance note"))))&amp;IF($AE209&gt;1," (+"&amp;($AE209-1)&amp;" more)","")))</f>
        <v/>
      </c>
      <c r="Q209" s="31">
        <f>IF(AND($A209&lt;&gt;"",OR($D209="Active",$D209="Paused")),1,0)</f>
        <v/>
      </c>
      <c r="R209" s="31">
        <f>IFERROR(INDEX($A$6:$A$305,MATCH(202,$S$6:$S$305,0)),"")</f>
        <v/>
      </c>
      <c r="S209" s="31">
        <f>IF(AND($A209&lt;&gt;"",$B209="Program"),COUNTIFS($B$6:$B209,"Program",$A$6:$A209,"&lt;&gt;"),"")</f>
        <v/>
      </c>
      <c r="T209" s="33">
        <f>IF(AND($A209&lt;&gt;"",$B209="Program"),SUMPRODUCT(MAX(($C$6:$C$305=$A209)*($B$6:$B$305="Project")*($D$6:$D$305&lt;&gt;"Proposed")*$I$6:$I$305)),0)</f>
        <v/>
      </c>
      <c r="U209" s="33">
        <f>IF($I209&lt;&gt;"",$I209,IF($T209&gt;0,$T209,""))</f>
        <v/>
      </c>
      <c r="V209" s="31">
        <f>IF(AND($A209&lt;&gt;"",$B209="Program"),SUMIFS($J$6:$J$305,$C$6:$C$305,$A209,$B$6:$B$305,"Project",$D$6:$D$305,"&lt;&gt;Proposed"),0)</f>
        <v/>
      </c>
      <c r="W209" s="31">
        <f>IF(AND($A209&lt;&gt;"",$B209="Program"),COUNTIFS($C$6:$C$305,$A209,$B$6:$B$305,"Project",$D$6:$D$305,"&lt;&gt;Proposed")-COUNTIFS($C$6:$C$305,$A209,$B$6:$B$305,"Project",$D$6:$D$305,"&lt;&gt;Proposed",$J$6:$J$305,"&gt;=0"),0)</f>
        <v/>
      </c>
      <c r="X209" s="31">
        <f>IF(OR($Q209=0,$H209=""),0,IF(AND($B209="Project",$H209&lt;TODAY()),3,IF($U209="",0,IF($U209&lt;=$H209,1,IF(NETWORKDAYS($H209,$U209)-1&gt;IF($B209="Program",Portfolio!$B$16,Portfolio!$B$15),3,2)))))</f>
        <v/>
      </c>
      <c r="Y209" s="31">
        <f>IF(OR($Q209=0,$K209="",$K209=0),0,IF(AND($B209="Project",$J209=""),0,IF(IF($B209="Program",$V209,$J209)&gt;$K209*(1+Portfolio!$B$17),3,IF(IF($B209="Program",$V209,$J209)&gt;$K209,2,IF(AND($B209="Program",OR($W209&gt;0,$V209=0)),0,1)))))</f>
        <v/>
      </c>
      <c r="Z209" s="31">
        <f>IF($A209="",0,IF($C209="Portfolio",1,IF(AND($B209="Project",$C209&lt;&gt;"",$C209&lt;&gt;"Outside the portfolio"),IFERROR(IF(AND(INDEX($B$6:$B$305,MATCH($C209,$A$6:$A$305,0))="Program",INDEX($C$6:$C$305,MATCH($C209,$A$6:$A$305,0))="Portfolio"),1,0),0),0)))</f>
        <v/>
      </c>
      <c r="AA209" s="31">
        <f>IF(AND($A209&lt;&gt;"",$E209="",OR($Q209=1,$D209="Proposed")),1,0)</f>
        <v/>
      </c>
      <c r="AB209" s="31">
        <f>IF(AND($A209&lt;&gt;"",$B209="Program",$F209="",$Q209=1),1,0)</f>
        <v/>
      </c>
      <c r="AC209" s="31">
        <f>IF(OR($A209="",$D209="Completed",$D209="Terminated"),0,IF($C209="",1,IF($C209="Portfolio",0,IF($C209="Outside the portfolio",IF($Q209=1,2,0),IF($B209="Project",IF(IFERROR(INDEX($B$6:$B$305,MATCH($C209,$A$6:$A$305,0)),"")="Program",0,1),1)))))</f>
        <v/>
      </c>
      <c r="AD209" s="31">
        <f>IF(AND($A209&lt;&gt;"",OR($M209="■ Red",$M209="◧ Amber"),$L209=""),1,0)</f>
        <v/>
      </c>
      <c r="AE209" s="31">
        <f>$AA209+$AB209+IF($AC209&gt;0,1,0)+$AD209</f>
        <v/>
      </c>
      <c r="AJ209" s="14" t="n"/>
      <c r="AK209" s="29" t="n"/>
      <c r="AL209" s="31">
        <f>IF(AND($Q209=1,$Z209=1),1,0)</f>
        <v/>
      </c>
      <c r="AM209" s="31">
        <f>IF(AND($AL209=1,$AJ209&lt;&gt;""),MAX(0,TODAY()-$AJ209),"")</f>
        <v/>
      </c>
      <c r="AN209" s="31">
        <f>IF(OR($AL209=0,COUNT($AJ$6:$AJ$305)=0),0,IF($AJ209="",1,IF(TODAY()-$AJ209&gt;Board!$B$40,1,0)))</f>
        <v/>
      </c>
      <c r="AO209" s="31">
        <f>IF($AL209=0,0,IF($M209="■ Red",3,IF($M209="◧ Amber",2,IF($M209="□ On track",1,0))))</f>
        <v/>
      </c>
      <c r="AP209" s="31">
        <f>IF($AL209=0,0,IF($AK209="Will not hold",3,IF($AK209="At risk",2,IF($AK209="Will hold",1,0))))</f>
        <v/>
      </c>
      <c r="AQ209" s="31">
        <f>IF($AL209=0,"",IF($AO209=3,0,IF($AO209=2,1,IF(AND($AP209&gt;=2,$AP209&gt;$AO209),2,""))))</f>
        <v/>
      </c>
      <c r="AR209" s="31">
        <f>IF($AQ209="","",$AQ209*1000+209)</f>
        <v/>
      </c>
      <c r="AS209" s="31">
        <f>IF(AND($AL209=1,$AO209&gt;=2,$AP209&gt;=1,$AP209&lt;$AO209),1,0)</f>
        <v/>
      </c>
      <c r="AT209" s="31">
        <f>IF(AND($AL209=1,$AO209&gt;=2,$AP209=0),1,0)</f>
        <v/>
      </c>
      <c r="AU209" s="31">
        <f>IF(AND($AL209=1,$U209&lt;&gt;"",$U209&lt;TODAY()),1,0)</f>
        <v/>
      </c>
      <c r="AV209" s="31">
        <f>IF(OR($A209="",$AJ209="",Portfolio!$B$10=""),0,IF($AJ209&lt;=Portfolio!$B$10,0,IF(AND($D209="Completed",$Z209=1),1,IF(AND($D209="Terminated",$Z209=1),2,IF(AND($Q209=1,$Z209=0),3,0)))))</f>
        <v/>
      </c>
      <c r="AW209" s="31">
        <f>IF($AV209&gt;0,COUNTIF($AV$6:$AV209,"&gt;0"),"")</f>
        <v/>
      </c>
      <c r="AX209" s="31">
        <f>IF($AL209=0,"",IF(AND($B209="Project",$H209&lt;&gt;"",$H209&lt;TODAY()),"Planned finish "&amp;TEXT($H209,"d mmm")&amp;" has passed",IF($X209&gt;=2,(NETWORKDAYS($H209,$U209)-1)&amp;" working days past plan","")))</f>
        <v/>
      </c>
      <c r="AY209" s="31">
        <f>IF($AL209=0,"",IF($Y209&gt;=2,"Over budget by "&amp;TEXT(IF($B209="Program",$V209,$J209)-$K209,"#,##0"),""))</f>
        <v/>
      </c>
      <c r="AZ209" s="31">
        <f>IF(AND($AL209=1,$U209&lt;&gt;""),IF(AND(N($U209)&gt;=TODAY(),N($U209)&lt;=TODAY()+Board!$B$41),1,0),0)</f>
        <v/>
      </c>
    </row>
    <row r="210">
      <c r="A210" s="29" t="n"/>
      <c r="B210" s="29" t="n"/>
      <c r="C210" s="29" t="n"/>
      <c r="D210" s="29" t="n"/>
      <c r="E210" s="29" t="n"/>
      <c r="F210" s="29" t="n"/>
      <c r="G210" s="29" t="n"/>
      <c r="H210" s="30" t="n"/>
      <c r="I210" s="30" t="n"/>
      <c r="J210" s="19" t="n"/>
      <c r="K210" s="19" t="n"/>
      <c r="L210" s="26" t="n"/>
      <c r="M210" s="31">
        <f>IF($A210="","",IF($D210="","Not read",IF($Q210=0,"Not counted",IF(MAX($X210,$Y210)=3,"■ Red",IF(MAX($X210,$Y210)=2,"◧ Amber",IF(MAX($X210,$Y210)=1,"□ On track","Not read"))))))</f>
        <v/>
      </c>
      <c r="N210" s="31">
        <f>IF(OR($A210="",$B210&lt;&gt;"Program"),"","■ "&amp;COUNTIFS($C$6:$C$305,$A210,$M$6:$M$305,"■ Red")&amp;" Red, ◧ "&amp;COUNTIFS($C$6:$C$305,$A210,$M$6:$M$305,"◧ Amber")&amp;" Amber")</f>
        <v/>
      </c>
      <c r="O210" s="32">
        <f>IF(OR($A210="",$E210=""),"",COUNTIFS($E$6:$E$305,$E210,$D$6:$D$305,"Active")+COUNTIFS($E$6:$E$305,$E210,$D$6:$D$305,"Paused"))</f>
        <v/>
      </c>
      <c r="P210" s="31">
        <f>IF($A210="","",IF($AE210=0,"○ Clear",IF($AA210=1,"△ No owner",IF($AC210=1,"△ Check Sits under",IF($AC210=2,"△ Outside the portfolio",IF($AB210=1,"△ No sponsor","△ No variance note"))))&amp;IF($AE210&gt;1," (+"&amp;($AE210-1)&amp;" more)","")))</f>
        <v/>
      </c>
      <c r="Q210" s="31">
        <f>IF(AND($A210&lt;&gt;"",OR($D210="Active",$D210="Paused")),1,0)</f>
        <v/>
      </c>
      <c r="R210" s="31">
        <f>IFERROR(INDEX($A$6:$A$305,MATCH(203,$S$6:$S$305,0)),"")</f>
        <v/>
      </c>
      <c r="S210" s="31">
        <f>IF(AND($A210&lt;&gt;"",$B210="Program"),COUNTIFS($B$6:$B210,"Program",$A$6:$A210,"&lt;&gt;"),"")</f>
        <v/>
      </c>
      <c r="T210" s="33">
        <f>IF(AND($A210&lt;&gt;"",$B210="Program"),SUMPRODUCT(MAX(($C$6:$C$305=$A210)*($B$6:$B$305="Project")*($D$6:$D$305&lt;&gt;"Proposed")*$I$6:$I$305)),0)</f>
        <v/>
      </c>
      <c r="U210" s="33">
        <f>IF($I210&lt;&gt;"",$I210,IF($T210&gt;0,$T210,""))</f>
        <v/>
      </c>
      <c r="V210" s="31">
        <f>IF(AND($A210&lt;&gt;"",$B210="Program"),SUMIFS($J$6:$J$305,$C$6:$C$305,$A210,$B$6:$B$305,"Project",$D$6:$D$305,"&lt;&gt;Proposed"),0)</f>
        <v/>
      </c>
      <c r="W210" s="31">
        <f>IF(AND($A210&lt;&gt;"",$B210="Program"),COUNTIFS($C$6:$C$305,$A210,$B$6:$B$305,"Project",$D$6:$D$305,"&lt;&gt;Proposed")-COUNTIFS($C$6:$C$305,$A210,$B$6:$B$305,"Project",$D$6:$D$305,"&lt;&gt;Proposed",$J$6:$J$305,"&gt;=0"),0)</f>
        <v/>
      </c>
      <c r="X210" s="31">
        <f>IF(OR($Q210=0,$H210=""),0,IF(AND($B210="Project",$H210&lt;TODAY()),3,IF($U210="",0,IF($U210&lt;=$H210,1,IF(NETWORKDAYS($H210,$U210)-1&gt;IF($B210="Program",Portfolio!$B$16,Portfolio!$B$15),3,2)))))</f>
        <v/>
      </c>
      <c r="Y210" s="31">
        <f>IF(OR($Q210=0,$K210="",$K210=0),0,IF(AND($B210="Project",$J210=""),0,IF(IF($B210="Program",$V210,$J210)&gt;$K210*(1+Portfolio!$B$17),3,IF(IF($B210="Program",$V210,$J210)&gt;$K210,2,IF(AND($B210="Program",OR($W210&gt;0,$V210=0)),0,1)))))</f>
        <v/>
      </c>
      <c r="Z210" s="31">
        <f>IF($A210="",0,IF($C210="Portfolio",1,IF(AND($B210="Project",$C210&lt;&gt;"",$C210&lt;&gt;"Outside the portfolio"),IFERROR(IF(AND(INDEX($B$6:$B$305,MATCH($C210,$A$6:$A$305,0))="Program",INDEX($C$6:$C$305,MATCH($C210,$A$6:$A$305,0))="Portfolio"),1,0),0),0)))</f>
        <v/>
      </c>
      <c r="AA210" s="31">
        <f>IF(AND($A210&lt;&gt;"",$E210="",OR($Q210=1,$D210="Proposed")),1,0)</f>
        <v/>
      </c>
      <c r="AB210" s="31">
        <f>IF(AND($A210&lt;&gt;"",$B210="Program",$F210="",$Q210=1),1,0)</f>
        <v/>
      </c>
      <c r="AC210" s="31">
        <f>IF(OR($A210="",$D210="Completed",$D210="Terminated"),0,IF($C210="",1,IF($C210="Portfolio",0,IF($C210="Outside the portfolio",IF($Q210=1,2,0),IF($B210="Project",IF(IFERROR(INDEX($B$6:$B$305,MATCH($C210,$A$6:$A$305,0)),"")="Program",0,1),1)))))</f>
        <v/>
      </c>
      <c r="AD210" s="31">
        <f>IF(AND($A210&lt;&gt;"",OR($M210="■ Red",$M210="◧ Amber"),$L210=""),1,0)</f>
        <v/>
      </c>
      <c r="AE210" s="31">
        <f>$AA210+$AB210+IF($AC210&gt;0,1,0)+$AD210</f>
        <v/>
      </c>
      <c r="AJ210" s="14" t="n"/>
      <c r="AK210" s="29" t="n"/>
      <c r="AL210" s="31">
        <f>IF(AND($Q210=1,$Z210=1),1,0)</f>
        <v/>
      </c>
      <c r="AM210" s="31">
        <f>IF(AND($AL210=1,$AJ210&lt;&gt;""),MAX(0,TODAY()-$AJ210),"")</f>
        <v/>
      </c>
      <c r="AN210" s="31">
        <f>IF(OR($AL210=0,COUNT($AJ$6:$AJ$305)=0),0,IF($AJ210="",1,IF(TODAY()-$AJ210&gt;Board!$B$40,1,0)))</f>
        <v/>
      </c>
      <c r="AO210" s="31">
        <f>IF($AL210=0,0,IF($M210="■ Red",3,IF($M210="◧ Amber",2,IF($M210="□ On track",1,0))))</f>
        <v/>
      </c>
      <c r="AP210" s="31">
        <f>IF($AL210=0,0,IF($AK210="Will not hold",3,IF($AK210="At risk",2,IF($AK210="Will hold",1,0))))</f>
        <v/>
      </c>
      <c r="AQ210" s="31">
        <f>IF($AL210=0,"",IF($AO210=3,0,IF($AO210=2,1,IF(AND($AP210&gt;=2,$AP210&gt;$AO210),2,""))))</f>
        <v/>
      </c>
      <c r="AR210" s="31">
        <f>IF($AQ210="","",$AQ210*1000+210)</f>
        <v/>
      </c>
      <c r="AS210" s="31">
        <f>IF(AND($AL210=1,$AO210&gt;=2,$AP210&gt;=1,$AP210&lt;$AO210),1,0)</f>
        <v/>
      </c>
      <c r="AT210" s="31">
        <f>IF(AND($AL210=1,$AO210&gt;=2,$AP210=0),1,0)</f>
        <v/>
      </c>
      <c r="AU210" s="31">
        <f>IF(AND($AL210=1,$U210&lt;&gt;"",$U210&lt;TODAY()),1,0)</f>
        <v/>
      </c>
      <c r="AV210" s="31">
        <f>IF(OR($A210="",$AJ210="",Portfolio!$B$10=""),0,IF($AJ210&lt;=Portfolio!$B$10,0,IF(AND($D210="Completed",$Z210=1),1,IF(AND($D210="Terminated",$Z210=1),2,IF(AND($Q210=1,$Z210=0),3,0)))))</f>
        <v/>
      </c>
      <c r="AW210" s="31">
        <f>IF($AV210&gt;0,COUNTIF($AV$6:$AV210,"&gt;0"),"")</f>
        <v/>
      </c>
      <c r="AX210" s="31">
        <f>IF($AL210=0,"",IF(AND($B210="Project",$H210&lt;&gt;"",$H210&lt;TODAY()),"Planned finish "&amp;TEXT($H210,"d mmm")&amp;" has passed",IF($X210&gt;=2,(NETWORKDAYS($H210,$U210)-1)&amp;" working days past plan","")))</f>
        <v/>
      </c>
      <c r="AY210" s="31">
        <f>IF($AL210=0,"",IF($Y210&gt;=2,"Over budget by "&amp;TEXT(IF($B210="Program",$V210,$J210)-$K210,"#,##0"),""))</f>
        <v/>
      </c>
      <c r="AZ210" s="31">
        <f>IF(AND($AL210=1,$U210&lt;&gt;""),IF(AND(N($U210)&gt;=TODAY(),N($U210)&lt;=TODAY()+Board!$B$41),1,0),0)</f>
        <v/>
      </c>
    </row>
    <row r="211">
      <c r="A211" s="29" t="n"/>
      <c r="B211" s="29" t="n"/>
      <c r="C211" s="29" t="n"/>
      <c r="D211" s="29" t="n"/>
      <c r="E211" s="29" t="n"/>
      <c r="F211" s="29" t="n"/>
      <c r="G211" s="29" t="n"/>
      <c r="H211" s="30" t="n"/>
      <c r="I211" s="30" t="n"/>
      <c r="J211" s="19" t="n"/>
      <c r="K211" s="19" t="n"/>
      <c r="L211" s="26" t="n"/>
      <c r="M211" s="31">
        <f>IF($A211="","",IF($D211="","Not read",IF($Q211=0,"Not counted",IF(MAX($X211,$Y211)=3,"■ Red",IF(MAX($X211,$Y211)=2,"◧ Amber",IF(MAX($X211,$Y211)=1,"□ On track","Not read"))))))</f>
        <v/>
      </c>
      <c r="N211" s="31">
        <f>IF(OR($A211="",$B211&lt;&gt;"Program"),"","■ "&amp;COUNTIFS($C$6:$C$305,$A211,$M$6:$M$305,"■ Red")&amp;" Red, ◧ "&amp;COUNTIFS($C$6:$C$305,$A211,$M$6:$M$305,"◧ Amber")&amp;" Amber")</f>
        <v/>
      </c>
      <c r="O211" s="32">
        <f>IF(OR($A211="",$E211=""),"",COUNTIFS($E$6:$E$305,$E211,$D$6:$D$305,"Active")+COUNTIFS($E$6:$E$305,$E211,$D$6:$D$305,"Paused"))</f>
        <v/>
      </c>
      <c r="P211" s="31">
        <f>IF($A211="","",IF($AE211=0,"○ Clear",IF($AA211=1,"△ No owner",IF($AC211=1,"△ Check Sits under",IF($AC211=2,"△ Outside the portfolio",IF($AB211=1,"△ No sponsor","△ No variance note"))))&amp;IF($AE211&gt;1," (+"&amp;($AE211-1)&amp;" more)","")))</f>
        <v/>
      </c>
      <c r="Q211" s="31">
        <f>IF(AND($A211&lt;&gt;"",OR($D211="Active",$D211="Paused")),1,0)</f>
        <v/>
      </c>
      <c r="R211" s="31">
        <f>IFERROR(INDEX($A$6:$A$305,MATCH(204,$S$6:$S$305,0)),"")</f>
        <v/>
      </c>
      <c r="S211" s="31">
        <f>IF(AND($A211&lt;&gt;"",$B211="Program"),COUNTIFS($B$6:$B211,"Program",$A$6:$A211,"&lt;&gt;"),"")</f>
        <v/>
      </c>
      <c r="T211" s="33">
        <f>IF(AND($A211&lt;&gt;"",$B211="Program"),SUMPRODUCT(MAX(($C$6:$C$305=$A211)*($B$6:$B$305="Project")*($D$6:$D$305&lt;&gt;"Proposed")*$I$6:$I$305)),0)</f>
        <v/>
      </c>
      <c r="U211" s="33">
        <f>IF($I211&lt;&gt;"",$I211,IF($T211&gt;0,$T211,""))</f>
        <v/>
      </c>
      <c r="V211" s="31">
        <f>IF(AND($A211&lt;&gt;"",$B211="Program"),SUMIFS($J$6:$J$305,$C$6:$C$305,$A211,$B$6:$B$305,"Project",$D$6:$D$305,"&lt;&gt;Proposed"),0)</f>
        <v/>
      </c>
      <c r="W211" s="31">
        <f>IF(AND($A211&lt;&gt;"",$B211="Program"),COUNTIFS($C$6:$C$305,$A211,$B$6:$B$305,"Project",$D$6:$D$305,"&lt;&gt;Proposed")-COUNTIFS($C$6:$C$305,$A211,$B$6:$B$305,"Project",$D$6:$D$305,"&lt;&gt;Proposed",$J$6:$J$305,"&gt;=0"),0)</f>
        <v/>
      </c>
      <c r="X211" s="31">
        <f>IF(OR($Q211=0,$H211=""),0,IF(AND($B211="Project",$H211&lt;TODAY()),3,IF($U211="",0,IF($U211&lt;=$H211,1,IF(NETWORKDAYS($H211,$U211)-1&gt;IF($B211="Program",Portfolio!$B$16,Portfolio!$B$15),3,2)))))</f>
        <v/>
      </c>
      <c r="Y211" s="31">
        <f>IF(OR($Q211=0,$K211="",$K211=0),0,IF(AND($B211="Project",$J211=""),0,IF(IF($B211="Program",$V211,$J211)&gt;$K211*(1+Portfolio!$B$17),3,IF(IF($B211="Program",$V211,$J211)&gt;$K211,2,IF(AND($B211="Program",OR($W211&gt;0,$V211=0)),0,1)))))</f>
        <v/>
      </c>
      <c r="Z211" s="31">
        <f>IF($A211="",0,IF($C211="Portfolio",1,IF(AND($B211="Project",$C211&lt;&gt;"",$C211&lt;&gt;"Outside the portfolio"),IFERROR(IF(AND(INDEX($B$6:$B$305,MATCH($C211,$A$6:$A$305,0))="Program",INDEX($C$6:$C$305,MATCH($C211,$A$6:$A$305,0))="Portfolio"),1,0),0),0)))</f>
        <v/>
      </c>
      <c r="AA211" s="31">
        <f>IF(AND($A211&lt;&gt;"",$E211="",OR($Q211=1,$D211="Proposed")),1,0)</f>
        <v/>
      </c>
      <c r="AB211" s="31">
        <f>IF(AND($A211&lt;&gt;"",$B211="Program",$F211="",$Q211=1),1,0)</f>
        <v/>
      </c>
      <c r="AC211" s="31">
        <f>IF(OR($A211="",$D211="Completed",$D211="Terminated"),0,IF($C211="",1,IF($C211="Portfolio",0,IF($C211="Outside the portfolio",IF($Q211=1,2,0),IF($B211="Project",IF(IFERROR(INDEX($B$6:$B$305,MATCH($C211,$A$6:$A$305,0)),"")="Program",0,1),1)))))</f>
        <v/>
      </c>
      <c r="AD211" s="31">
        <f>IF(AND($A211&lt;&gt;"",OR($M211="■ Red",$M211="◧ Amber"),$L211=""),1,0)</f>
        <v/>
      </c>
      <c r="AE211" s="31">
        <f>$AA211+$AB211+IF($AC211&gt;0,1,0)+$AD211</f>
        <v/>
      </c>
      <c r="AJ211" s="14" t="n"/>
      <c r="AK211" s="29" t="n"/>
      <c r="AL211" s="31">
        <f>IF(AND($Q211=1,$Z211=1),1,0)</f>
        <v/>
      </c>
      <c r="AM211" s="31">
        <f>IF(AND($AL211=1,$AJ211&lt;&gt;""),MAX(0,TODAY()-$AJ211),"")</f>
        <v/>
      </c>
      <c r="AN211" s="31">
        <f>IF(OR($AL211=0,COUNT($AJ$6:$AJ$305)=0),0,IF($AJ211="",1,IF(TODAY()-$AJ211&gt;Board!$B$40,1,0)))</f>
        <v/>
      </c>
      <c r="AO211" s="31">
        <f>IF($AL211=0,0,IF($M211="■ Red",3,IF($M211="◧ Amber",2,IF($M211="□ On track",1,0))))</f>
        <v/>
      </c>
      <c r="AP211" s="31">
        <f>IF($AL211=0,0,IF($AK211="Will not hold",3,IF($AK211="At risk",2,IF($AK211="Will hold",1,0))))</f>
        <v/>
      </c>
      <c r="AQ211" s="31">
        <f>IF($AL211=0,"",IF($AO211=3,0,IF($AO211=2,1,IF(AND($AP211&gt;=2,$AP211&gt;$AO211),2,""))))</f>
        <v/>
      </c>
      <c r="AR211" s="31">
        <f>IF($AQ211="","",$AQ211*1000+211)</f>
        <v/>
      </c>
      <c r="AS211" s="31">
        <f>IF(AND($AL211=1,$AO211&gt;=2,$AP211&gt;=1,$AP211&lt;$AO211),1,0)</f>
        <v/>
      </c>
      <c r="AT211" s="31">
        <f>IF(AND($AL211=1,$AO211&gt;=2,$AP211=0),1,0)</f>
        <v/>
      </c>
      <c r="AU211" s="31">
        <f>IF(AND($AL211=1,$U211&lt;&gt;"",$U211&lt;TODAY()),1,0)</f>
        <v/>
      </c>
      <c r="AV211" s="31">
        <f>IF(OR($A211="",$AJ211="",Portfolio!$B$10=""),0,IF($AJ211&lt;=Portfolio!$B$10,0,IF(AND($D211="Completed",$Z211=1),1,IF(AND($D211="Terminated",$Z211=1),2,IF(AND($Q211=1,$Z211=0),3,0)))))</f>
        <v/>
      </c>
      <c r="AW211" s="31">
        <f>IF($AV211&gt;0,COUNTIF($AV$6:$AV211,"&gt;0"),"")</f>
        <v/>
      </c>
      <c r="AX211" s="31">
        <f>IF($AL211=0,"",IF(AND($B211="Project",$H211&lt;&gt;"",$H211&lt;TODAY()),"Planned finish "&amp;TEXT($H211,"d mmm")&amp;" has passed",IF($X211&gt;=2,(NETWORKDAYS($H211,$U211)-1)&amp;" working days past plan","")))</f>
        <v/>
      </c>
      <c r="AY211" s="31">
        <f>IF($AL211=0,"",IF($Y211&gt;=2,"Over budget by "&amp;TEXT(IF($B211="Program",$V211,$J211)-$K211,"#,##0"),""))</f>
        <v/>
      </c>
      <c r="AZ211" s="31">
        <f>IF(AND($AL211=1,$U211&lt;&gt;""),IF(AND(N($U211)&gt;=TODAY(),N($U211)&lt;=TODAY()+Board!$B$41),1,0),0)</f>
        <v/>
      </c>
    </row>
    <row r="212">
      <c r="A212" s="29" t="n"/>
      <c r="B212" s="29" t="n"/>
      <c r="C212" s="29" t="n"/>
      <c r="D212" s="29" t="n"/>
      <c r="E212" s="29" t="n"/>
      <c r="F212" s="29" t="n"/>
      <c r="G212" s="29" t="n"/>
      <c r="H212" s="30" t="n"/>
      <c r="I212" s="30" t="n"/>
      <c r="J212" s="19" t="n"/>
      <c r="K212" s="19" t="n"/>
      <c r="L212" s="26" t="n"/>
      <c r="M212" s="31">
        <f>IF($A212="","",IF($D212="","Not read",IF($Q212=0,"Not counted",IF(MAX($X212,$Y212)=3,"■ Red",IF(MAX($X212,$Y212)=2,"◧ Amber",IF(MAX($X212,$Y212)=1,"□ On track","Not read"))))))</f>
        <v/>
      </c>
      <c r="N212" s="31">
        <f>IF(OR($A212="",$B212&lt;&gt;"Program"),"","■ "&amp;COUNTIFS($C$6:$C$305,$A212,$M$6:$M$305,"■ Red")&amp;" Red, ◧ "&amp;COUNTIFS($C$6:$C$305,$A212,$M$6:$M$305,"◧ Amber")&amp;" Amber")</f>
        <v/>
      </c>
      <c r="O212" s="32">
        <f>IF(OR($A212="",$E212=""),"",COUNTIFS($E$6:$E$305,$E212,$D$6:$D$305,"Active")+COUNTIFS($E$6:$E$305,$E212,$D$6:$D$305,"Paused"))</f>
        <v/>
      </c>
      <c r="P212" s="31">
        <f>IF($A212="","",IF($AE212=0,"○ Clear",IF($AA212=1,"△ No owner",IF($AC212=1,"△ Check Sits under",IF($AC212=2,"△ Outside the portfolio",IF($AB212=1,"△ No sponsor","△ No variance note"))))&amp;IF($AE212&gt;1," (+"&amp;($AE212-1)&amp;" more)","")))</f>
        <v/>
      </c>
      <c r="Q212" s="31">
        <f>IF(AND($A212&lt;&gt;"",OR($D212="Active",$D212="Paused")),1,0)</f>
        <v/>
      </c>
      <c r="R212" s="31">
        <f>IFERROR(INDEX($A$6:$A$305,MATCH(205,$S$6:$S$305,0)),"")</f>
        <v/>
      </c>
      <c r="S212" s="31">
        <f>IF(AND($A212&lt;&gt;"",$B212="Program"),COUNTIFS($B$6:$B212,"Program",$A$6:$A212,"&lt;&gt;"),"")</f>
        <v/>
      </c>
      <c r="T212" s="33">
        <f>IF(AND($A212&lt;&gt;"",$B212="Program"),SUMPRODUCT(MAX(($C$6:$C$305=$A212)*($B$6:$B$305="Project")*($D$6:$D$305&lt;&gt;"Proposed")*$I$6:$I$305)),0)</f>
        <v/>
      </c>
      <c r="U212" s="33">
        <f>IF($I212&lt;&gt;"",$I212,IF($T212&gt;0,$T212,""))</f>
        <v/>
      </c>
      <c r="V212" s="31">
        <f>IF(AND($A212&lt;&gt;"",$B212="Program"),SUMIFS($J$6:$J$305,$C$6:$C$305,$A212,$B$6:$B$305,"Project",$D$6:$D$305,"&lt;&gt;Proposed"),0)</f>
        <v/>
      </c>
      <c r="W212" s="31">
        <f>IF(AND($A212&lt;&gt;"",$B212="Program"),COUNTIFS($C$6:$C$305,$A212,$B$6:$B$305,"Project",$D$6:$D$305,"&lt;&gt;Proposed")-COUNTIFS($C$6:$C$305,$A212,$B$6:$B$305,"Project",$D$6:$D$305,"&lt;&gt;Proposed",$J$6:$J$305,"&gt;=0"),0)</f>
        <v/>
      </c>
      <c r="X212" s="31">
        <f>IF(OR($Q212=0,$H212=""),0,IF(AND($B212="Project",$H212&lt;TODAY()),3,IF($U212="",0,IF($U212&lt;=$H212,1,IF(NETWORKDAYS($H212,$U212)-1&gt;IF($B212="Program",Portfolio!$B$16,Portfolio!$B$15),3,2)))))</f>
        <v/>
      </c>
      <c r="Y212" s="31">
        <f>IF(OR($Q212=0,$K212="",$K212=0),0,IF(AND($B212="Project",$J212=""),0,IF(IF($B212="Program",$V212,$J212)&gt;$K212*(1+Portfolio!$B$17),3,IF(IF($B212="Program",$V212,$J212)&gt;$K212,2,IF(AND($B212="Program",OR($W212&gt;0,$V212=0)),0,1)))))</f>
        <v/>
      </c>
      <c r="Z212" s="31">
        <f>IF($A212="",0,IF($C212="Portfolio",1,IF(AND($B212="Project",$C212&lt;&gt;"",$C212&lt;&gt;"Outside the portfolio"),IFERROR(IF(AND(INDEX($B$6:$B$305,MATCH($C212,$A$6:$A$305,0))="Program",INDEX($C$6:$C$305,MATCH($C212,$A$6:$A$305,0))="Portfolio"),1,0),0),0)))</f>
        <v/>
      </c>
      <c r="AA212" s="31">
        <f>IF(AND($A212&lt;&gt;"",$E212="",OR($Q212=1,$D212="Proposed")),1,0)</f>
        <v/>
      </c>
      <c r="AB212" s="31">
        <f>IF(AND($A212&lt;&gt;"",$B212="Program",$F212="",$Q212=1),1,0)</f>
        <v/>
      </c>
      <c r="AC212" s="31">
        <f>IF(OR($A212="",$D212="Completed",$D212="Terminated"),0,IF($C212="",1,IF($C212="Portfolio",0,IF($C212="Outside the portfolio",IF($Q212=1,2,0),IF($B212="Project",IF(IFERROR(INDEX($B$6:$B$305,MATCH($C212,$A$6:$A$305,0)),"")="Program",0,1),1)))))</f>
        <v/>
      </c>
      <c r="AD212" s="31">
        <f>IF(AND($A212&lt;&gt;"",OR($M212="■ Red",$M212="◧ Amber"),$L212=""),1,0)</f>
        <v/>
      </c>
      <c r="AE212" s="31">
        <f>$AA212+$AB212+IF($AC212&gt;0,1,0)+$AD212</f>
        <v/>
      </c>
      <c r="AJ212" s="14" t="n"/>
      <c r="AK212" s="29" t="n"/>
      <c r="AL212" s="31">
        <f>IF(AND($Q212=1,$Z212=1),1,0)</f>
        <v/>
      </c>
      <c r="AM212" s="31">
        <f>IF(AND($AL212=1,$AJ212&lt;&gt;""),MAX(0,TODAY()-$AJ212),"")</f>
        <v/>
      </c>
      <c r="AN212" s="31">
        <f>IF(OR($AL212=0,COUNT($AJ$6:$AJ$305)=0),0,IF($AJ212="",1,IF(TODAY()-$AJ212&gt;Board!$B$40,1,0)))</f>
        <v/>
      </c>
      <c r="AO212" s="31">
        <f>IF($AL212=0,0,IF($M212="■ Red",3,IF($M212="◧ Amber",2,IF($M212="□ On track",1,0))))</f>
        <v/>
      </c>
      <c r="AP212" s="31">
        <f>IF($AL212=0,0,IF($AK212="Will not hold",3,IF($AK212="At risk",2,IF($AK212="Will hold",1,0))))</f>
        <v/>
      </c>
      <c r="AQ212" s="31">
        <f>IF($AL212=0,"",IF($AO212=3,0,IF($AO212=2,1,IF(AND($AP212&gt;=2,$AP212&gt;$AO212),2,""))))</f>
        <v/>
      </c>
      <c r="AR212" s="31">
        <f>IF($AQ212="","",$AQ212*1000+212)</f>
        <v/>
      </c>
      <c r="AS212" s="31">
        <f>IF(AND($AL212=1,$AO212&gt;=2,$AP212&gt;=1,$AP212&lt;$AO212),1,0)</f>
        <v/>
      </c>
      <c r="AT212" s="31">
        <f>IF(AND($AL212=1,$AO212&gt;=2,$AP212=0),1,0)</f>
        <v/>
      </c>
      <c r="AU212" s="31">
        <f>IF(AND($AL212=1,$U212&lt;&gt;"",$U212&lt;TODAY()),1,0)</f>
        <v/>
      </c>
      <c r="AV212" s="31">
        <f>IF(OR($A212="",$AJ212="",Portfolio!$B$10=""),0,IF($AJ212&lt;=Portfolio!$B$10,0,IF(AND($D212="Completed",$Z212=1),1,IF(AND($D212="Terminated",$Z212=1),2,IF(AND($Q212=1,$Z212=0),3,0)))))</f>
        <v/>
      </c>
      <c r="AW212" s="31">
        <f>IF($AV212&gt;0,COUNTIF($AV$6:$AV212,"&gt;0"),"")</f>
        <v/>
      </c>
      <c r="AX212" s="31">
        <f>IF($AL212=0,"",IF(AND($B212="Project",$H212&lt;&gt;"",$H212&lt;TODAY()),"Planned finish "&amp;TEXT($H212,"d mmm")&amp;" has passed",IF($X212&gt;=2,(NETWORKDAYS($H212,$U212)-1)&amp;" working days past plan","")))</f>
        <v/>
      </c>
      <c r="AY212" s="31">
        <f>IF($AL212=0,"",IF($Y212&gt;=2,"Over budget by "&amp;TEXT(IF($B212="Program",$V212,$J212)-$K212,"#,##0"),""))</f>
        <v/>
      </c>
      <c r="AZ212" s="31">
        <f>IF(AND($AL212=1,$U212&lt;&gt;""),IF(AND(N($U212)&gt;=TODAY(),N($U212)&lt;=TODAY()+Board!$B$41),1,0),0)</f>
        <v/>
      </c>
    </row>
    <row r="213">
      <c r="A213" s="29" t="n"/>
      <c r="B213" s="29" t="n"/>
      <c r="C213" s="29" t="n"/>
      <c r="D213" s="29" t="n"/>
      <c r="E213" s="29" t="n"/>
      <c r="F213" s="29" t="n"/>
      <c r="G213" s="29" t="n"/>
      <c r="H213" s="30" t="n"/>
      <c r="I213" s="30" t="n"/>
      <c r="J213" s="19" t="n"/>
      <c r="K213" s="19" t="n"/>
      <c r="L213" s="26" t="n"/>
      <c r="M213" s="31">
        <f>IF($A213="","",IF($D213="","Not read",IF($Q213=0,"Not counted",IF(MAX($X213,$Y213)=3,"■ Red",IF(MAX($X213,$Y213)=2,"◧ Amber",IF(MAX($X213,$Y213)=1,"□ On track","Not read"))))))</f>
        <v/>
      </c>
      <c r="N213" s="31">
        <f>IF(OR($A213="",$B213&lt;&gt;"Program"),"","■ "&amp;COUNTIFS($C$6:$C$305,$A213,$M$6:$M$305,"■ Red")&amp;" Red, ◧ "&amp;COUNTIFS($C$6:$C$305,$A213,$M$6:$M$305,"◧ Amber")&amp;" Amber")</f>
        <v/>
      </c>
      <c r="O213" s="32">
        <f>IF(OR($A213="",$E213=""),"",COUNTIFS($E$6:$E$305,$E213,$D$6:$D$305,"Active")+COUNTIFS($E$6:$E$305,$E213,$D$6:$D$305,"Paused"))</f>
        <v/>
      </c>
      <c r="P213" s="31">
        <f>IF($A213="","",IF($AE213=0,"○ Clear",IF($AA213=1,"△ No owner",IF($AC213=1,"△ Check Sits under",IF($AC213=2,"△ Outside the portfolio",IF($AB213=1,"△ No sponsor","△ No variance note"))))&amp;IF($AE213&gt;1," (+"&amp;($AE213-1)&amp;" more)","")))</f>
        <v/>
      </c>
      <c r="Q213" s="31">
        <f>IF(AND($A213&lt;&gt;"",OR($D213="Active",$D213="Paused")),1,0)</f>
        <v/>
      </c>
      <c r="R213" s="31">
        <f>IFERROR(INDEX($A$6:$A$305,MATCH(206,$S$6:$S$305,0)),"")</f>
        <v/>
      </c>
      <c r="S213" s="31">
        <f>IF(AND($A213&lt;&gt;"",$B213="Program"),COUNTIFS($B$6:$B213,"Program",$A$6:$A213,"&lt;&gt;"),"")</f>
        <v/>
      </c>
      <c r="T213" s="33">
        <f>IF(AND($A213&lt;&gt;"",$B213="Program"),SUMPRODUCT(MAX(($C$6:$C$305=$A213)*($B$6:$B$305="Project")*($D$6:$D$305&lt;&gt;"Proposed")*$I$6:$I$305)),0)</f>
        <v/>
      </c>
      <c r="U213" s="33">
        <f>IF($I213&lt;&gt;"",$I213,IF($T213&gt;0,$T213,""))</f>
        <v/>
      </c>
      <c r="V213" s="31">
        <f>IF(AND($A213&lt;&gt;"",$B213="Program"),SUMIFS($J$6:$J$305,$C$6:$C$305,$A213,$B$6:$B$305,"Project",$D$6:$D$305,"&lt;&gt;Proposed"),0)</f>
        <v/>
      </c>
      <c r="W213" s="31">
        <f>IF(AND($A213&lt;&gt;"",$B213="Program"),COUNTIFS($C$6:$C$305,$A213,$B$6:$B$305,"Project",$D$6:$D$305,"&lt;&gt;Proposed")-COUNTIFS($C$6:$C$305,$A213,$B$6:$B$305,"Project",$D$6:$D$305,"&lt;&gt;Proposed",$J$6:$J$305,"&gt;=0"),0)</f>
        <v/>
      </c>
      <c r="X213" s="31">
        <f>IF(OR($Q213=0,$H213=""),0,IF(AND($B213="Project",$H213&lt;TODAY()),3,IF($U213="",0,IF($U213&lt;=$H213,1,IF(NETWORKDAYS($H213,$U213)-1&gt;IF($B213="Program",Portfolio!$B$16,Portfolio!$B$15),3,2)))))</f>
        <v/>
      </c>
      <c r="Y213" s="31">
        <f>IF(OR($Q213=0,$K213="",$K213=0),0,IF(AND($B213="Project",$J213=""),0,IF(IF($B213="Program",$V213,$J213)&gt;$K213*(1+Portfolio!$B$17),3,IF(IF($B213="Program",$V213,$J213)&gt;$K213,2,IF(AND($B213="Program",OR($W213&gt;0,$V213=0)),0,1)))))</f>
        <v/>
      </c>
      <c r="Z213" s="31">
        <f>IF($A213="",0,IF($C213="Portfolio",1,IF(AND($B213="Project",$C213&lt;&gt;"",$C213&lt;&gt;"Outside the portfolio"),IFERROR(IF(AND(INDEX($B$6:$B$305,MATCH($C213,$A$6:$A$305,0))="Program",INDEX($C$6:$C$305,MATCH($C213,$A$6:$A$305,0))="Portfolio"),1,0),0),0)))</f>
        <v/>
      </c>
      <c r="AA213" s="31">
        <f>IF(AND($A213&lt;&gt;"",$E213="",OR($Q213=1,$D213="Proposed")),1,0)</f>
        <v/>
      </c>
      <c r="AB213" s="31">
        <f>IF(AND($A213&lt;&gt;"",$B213="Program",$F213="",$Q213=1),1,0)</f>
        <v/>
      </c>
      <c r="AC213" s="31">
        <f>IF(OR($A213="",$D213="Completed",$D213="Terminated"),0,IF($C213="",1,IF($C213="Portfolio",0,IF($C213="Outside the portfolio",IF($Q213=1,2,0),IF($B213="Project",IF(IFERROR(INDEX($B$6:$B$305,MATCH($C213,$A$6:$A$305,0)),"")="Program",0,1),1)))))</f>
        <v/>
      </c>
      <c r="AD213" s="31">
        <f>IF(AND($A213&lt;&gt;"",OR($M213="■ Red",$M213="◧ Amber"),$L213=""),1,0)</f>
        <v/>
      </c>
      <c r="AE213" s="31">
        <f>$AA213+$AB213+IF($AC213&gt;0,1,0)+$AD213</f>
        <v/>
      </c>
      <c r="AJ213" s="14" t="n"/>
      <c r="AK213" s="29" t="n"/>
      <c r="AL213" s="31">
        <f>IF(AND($Q213=1,$Z213=1),1,0)</f>
        <v/>
      </c>
      <c r="AM213" s="31">
        <f>IF(AND($AL213=1,$AJ213&lt;&gt;""),MAX(0,TODAY()-$AJ213),"")</f>
        <v/>
      </c>
      <c r="AN213" s="31">
        <f>IF(OR($AL213=0,COUNT($AJ$6:$AJ$305)=0),0,IF($AJ213="",1,IF(TODAY()-$AJ213&gt;Board!$B$40,1,0)))</f>
        <v/>
      </c>
      <c r="AO213" s="31">
        <f>IF($AL213=0,0,IF($M213="■ Red",3,IF($M213="◧ Amber",2,IF($M213="□ On track",1,0))))</f>
        <v/>
      </c>
      <c r="AP213" s="31">
        <f>IF($AL213=0,0,IF($AK213="Will not hold",3,IF($AK213="At risk",2,IF($AK213="Will hold",1,0))))</f>
        <v/>
      </c>
      <c r="AQ213" s="31">
        <f>IF($AL213=0,"",IF($AO213=3,0,IF($AO213=2,1,IF(AND($AP213&gt;=2,$AP213&gt;$AO213),2,""))))</f>
        <v/>
      </c>
      <c r="AR213" s="31">
        <f>IF($AQ213="","",$AQ213*1000+213)</f>
        <v/>
      </c>
      <c r="AS213" s="31">
        <f>IF(AND($AL213=1,$AO213&gt;=2,$AP213&gt;=1,$AP213&lt;$AO213),1,0)</f>
        <v/>
      </c>
      <c r="AT213" s="31">
        <f>IF(AND($AL213=1,$AO213&gt;=2,$AP213=0),1,0)</f>
        <v/>
      </c>
      <c r="AU213" s="31">
        <f>IF(AND($AL213=1,$U213&lt;&gt;"",$U213&lt;TODAY()),1,0)</f>
        <v/>
      </c>
      <c r="AV213" s="31">
        <f>IF(OR($A213="",$AJ213="",Portfolio!$B$10=""),0,IF($AJ213&lt;=Portfolio!$B$10,0,IF(AND($D213="Completed",$Z213=1),1,IF(AND($D213="Terminated",$Z213=1),2,IF(AND($Q213=1,$Z213=0),3,0)))))</f>
        <v/>
      </c>
      <c r="AW213" s="31">
        <f>IF($AV213&gt;0,COUNTIF($AV$6:$AV213,"&gt;0"),"")</f>
        <v/>
      </c>
      <c r="AX213" s="31">
        <f>IF($AL213=0,"",IF(AND($B213="Project",$H213&lt;&gt;"",$H213&lt;TODAY()),"Planned finish "&amp;TEXT($H213,"d mmm")&amp;" has passed",IF($X213&gt;=2,(NETWORKDAYS($H213,$U213)-1)&amp;" working days past plan","")))</f>
        <v/>
      </c>
      <c r="AY213" s="31">
        <f>IF($AL213=0,"",IF($Y213&gt;=2,"Over budget by "&amp;TEXT(IF($B213="Program",$V213,$J213)-$K213,"#,##0"),""))</f>
        <v/>
      </c>
      <c r="AZ213" s="31">
        <f>IF(AND($AL213=1,$U213&lt;&gt;""),IF(AND(N($U213)&gt;=TODAY(),N($U213)&lt;=TODAY()+Board!$B$41),1,0),0)</f>
        <v/>
      </c>
    </row>
    <row r="214">
      <c r="A214" s="29" t="n"/>
      <c r="B214" s="29" t="n"/>
      <c r="C214" s="29" t="n"/>
      <c r="D214" s="29" t="n"/>
      <c r="E214" s="29" t="n"/>
      <c r="F214" s="29" t="n"/>
      <c r="G214" s="29" t="n"/>
      <c r="H214" s="30" t="n"/>
      <c r="I214" s="30" t="n"/>
      <c r="J214" s="19" t="n"/>
      <c r="K214" s="19" t="n"/>
      <c r="L214" s="26" t="n"/>
      <c r="M214" s="31">
        <f>IF($A214="","",IF($D214="","Not read",IF($Q214=0,"Not counted",IF(MAX($X214,$Y214)=3,"■ Red",IF(MAX($X214,$Y214)=2,"◧ Amber",IF(MAX($X214,$Y214)=1,"□ On track","Not read"))))))</f>
        <v/>
      </c>
      <c r="N214" s="31">
        <f>IF(OR($A214="",$B214&lt;&gt;"Program"),"","■ "&amp;COUNTIFS($C$6:$C$305,$A214,$M$6:$M$305,"■ Red")&amp;" Red, ◧ "&amp;COUNTIFS($C$6:$C$305,$A214,$M$6:$M$305,"◧ Amber")&amp;" Amber")</f>
        <v/>
      </c>
      <c r="O214" s="32">
        <f>IF(OR($A214="",$E214=""),"",COUNTIFS($E$6:$E$305,$E214,$D$6:$D$305,"Active")+COUNTIFS($E$6:$E$305,$E214,$D$6:$D$305,"Paused"))</f>
        <v/>
      </c>
      <c r="P214" s="31">
        <f>IF($A214="","",IF($AE214=0,"○ Clear",IF($AA214=1,"△ No owner",IF($AC214=1,"△ Check Sits under",IF($AC214=2,"△ Outside the portfolio",IF($AB214=1,"△ No sponsor","△ No variance note"))))&amp;IF($AE214&gt;1," (+"&amp;($AE214-1)&amp;" more)","")))</f>
        <v/>
      </c>
      <c r="Q214" s="31">
        <f>IF(AND($A214&lt;&gt;"",OR($D214="Active",$D214="Paused")),1,0)</f>
        <v/>
      </c>
      <c r="R214" s="31">
        <f>IFERROR(INDEX($A$6:$A$305,MATCH(207,$S$6:$S$305,0)),"")</f>
        <v/>
      </c>
      <c r="S214" s="31">
        <f>IF(AND($A214&lt;&gt;"",$B214="Program"),COUNTIFS($B$6:$B214,"Program",$A$6:$A214,"&lt;&gt;"),"")</f>
        <v/>
      </c>
      <c r="T214" s="33">
        <f>IF(AND($A214&lt;&gt;"",$B214="Program"),SUMPRODUCT(MAX(($C$6:$C$305=$A214)*($B$6:$B$305="Project")*($D$6:$D$305&lt;&gt;"Proposed")*$I$6:$I$305)),0)</f>
        <v/>
      </c>
      <c r="U214" s="33">
        <f>IF($I214&lt;&gt;"",$I214,IF($T214&gt;0,$T214,""))</f>
        <v/>
      </c>
      <c r="V214" s="31">
        <f>IF(AND($A214&lt;&gt;"",$B214="Program"),SUMIFS($J$6:$J$305,$C$6:$C$305,$A214,$B$6:$B$305,"Project",$D$6:$D$305,"&lt;&gt;Proposed"),0)</f>
        <v/>
      </c>
      <c r="W214" s="31">
        <f>IF(AND($A214&lt;&gt;"",$B214="Program"),COUNTIFS($C$6:$C$305,$A214,$B$6:$B$305,"Project",$D$6:$D$305,"&lt;&gt;Proposed")-COUNTIFS($C$6:$C$305,$A214,$B$6:$B$305,"Project",$D$6:$D$305,"&lt;&gt;Proposed",$J$6:$J$305,"&gt;=0"),0)</f>
        <v/>
      </c>
      <c r="X214" s="31">
        <f>IF(OR($Q214=0,$H214=""),0,IF(AND($B214="Project",$H214&lt;TODAY()),3,IF($U214="",0,IF($U214&lt;=$H214,1,IF(NETWORKDAYS($H214,$U214)-1&gt;IF($B214="Program",Portfolio!$B$16,Portfolio!$B$15),3,2)))))</f>
        <v/>
      </c>
      <c r="Y214" s="31">
        <f>IF(OR($Q214=0,$K214="",$K214=0),0,IF(AND($B214="Project",$J214=""),0,IF(IF($B214="Program",$V214,$J214)&gt;$K214*(1+Portfolio!$B$17),3,IF(IF($B214="Program",$V214,$J214)&gt;$K214,2,IF(AND($B214="Program",OR($W214&gt;0,$V214=0)),0,1)))))</f>
        <v/>
      </c>
      <c r="Z214" s="31">
        <f>IF($A214="",0,IF($C214="Portfolio",1,IF(AND($B214="Project",$C214&lt;&gt;"",$C214&lt;&gt;"Outside the portfolio"),IFERROR(IF(AND(INDEX($B$6:$B$305,MATCH($C214,$A$6:$A$305,0))="Program",INDEX($C$6:$C$305,MATCH($C214,$A$6:$A$305,0))="Portfolio"),1,0),0),0)))</f>
        <v/>
      </c>
      <c r="AA214" s="31">
        <f>IF(AND($A214&lt;&gt;"",$E214="",OR($Q214=1,$D214="Proposed")),1,0)</f>
        <v/>
      </c>
      <c r="AB214" s="31">
        <f>IF(AND($A214&lt;&gt;"",$B214="Program",$F214="",$Q214=1),1,0)</f>
        <v/>
      </c>
      <c r="AC214" s="31">
        <f>IF(OR($A214="",$D214="Completed",$D214="Terminated"),0,IF($C214="",1,IF($C214="Portfolio",0,IF($C214="Outside the portfolio",IF($Q214=1,2,0),IF($B214="Project",IF(IFERROR(INDEX($B$6:$B$305,MATCH($C214,$A$6:$A$305,0)),"")="Program",0,1),1)))))</f>
        <v/>
      </c>
      <c r="AD214" s="31">
        <f>IF(AND($A214&lt;&gt;"",OR($M214="■ Red",$M214="◧ Amber"),$L214=""),1,0)</f>
        <v/>
      </c>
      <c r="AE214" s="31">
        <f>$AA214+$AB214+IF($AC214&gt;0,1,0)+$AD214</f>
        <v/>
      </c>
      <c r="AJ214" s="14" t="n"/>
      <c r="AK214" s="29" t="n"/>
      <c r="AL214" s="31">
        <f>IF(AND($Q214=1,$Z214=1),1,0)</f>
        <v/>
      </c>
      <c r="AM214" s="31">
        <f>IF(AND($AL214=1,$AJ214&lt;&gt;""),MAX(0,TODAY()-$AJ214),"")</f>
        <v/>
      </c>
      <c r="AN214" s="31">
        <f>IF(OR($AL214=0,COUNT($AJ$6:$AJ$305)=0),0,IF($AJ214="",1,IF(TODAY()-$AJ214&gt;Board!$B$40,1,0)))</f>
        <v/>
      </c>
      <c r="AO214" s="31">
        <f>IF($AL214=0,0,IF($M214="■ Red",3,IF($M214="◧ Amber",2,IF($M214="□ On track",1,0))))</f>
        <v/>
      </c>
      <c r="AP214" s="31">
        <f>IF($AL214=0,0,IF($AK214="Will not hold",3,IF($AK214="At risk",2,IF($AK214="Will hold",1,0))))</f>
        <v/>
      </c>
      <c r="AQ214" s="31">
        <f>IF($AL214=0,"",IF($AO214=3,0,IF($AO214=2,1,IF(AND($AP214&gt;=2,$AP214&gt;$AO214),2,""))))</f>
        <v/>
      </c>
      <c r="AR214" s="31">
        <f>IF($AQ214="","",$AQ214*1000+214)</f>
        <v/>
      </c>
      <c r="AS214" s="31">
        <f>IF(AND($AL214=1,$AO214&gt;=2,$AP214&gt;=1,$AP214&lt;$AO214),1,0)</f>
        <v/>
      </c>
      <c r="AT214" s="31">
        <f>IF(AND($AL214=1,$AO214&gt;=2,$AP214=0),1,0)</f>
        <v/>
      </c>
      <c r="AU214" s="31">
        <f>IF(AND($AL214=1,$U214&lt;&gt;"",$U214&lt;TODAY()),1,0)</f>
        <v/>
      </c>
      <c r="AV214" s="31">
        <f>IF(OR($A214="",$AJ214="",Portfolio!$B$10=""),0,IF($AJ214&lt;=Portfolio!$B$10,0,IF(AND($D214="Completed",$Z214=1),1,IF(AND($D214="Terminated",$Z214=1),2,IF(AND($Q214=1,$Z214=0),3,0)))))</f>
        <v/>
      </c>
      <c r="AW214" s="31">
        <f>IF($AV214&gt;0,COUNTIF($AV$6:$AV214,"&gt;0"),"")</f>
        <v/>
      </c>
      <c r="AX214" s="31">
        <f>IF($AL214=0,"",IF(AND($B214="Project",$H214&lt;&gt;"",$H214&lt;TODAY()),"Planned finish "&amp;TEXT($H214,"d mmm")&amp;" has passed",IF($X214&gt;=2,(NETWORKDAYS($H214,$U214)-1)&amp;" working days past plan","")))</f>
        <v/>
      </c>
      <c r="AY214" s="31">
        <f>IF($AL214=0,"",IF($Y214&gt;=2,"Over budget by "&amp;TEXT(IF($B214="Program",$V214,$J214)-$K214,"#,##0"),""))</f>
        <v/>
      </c>
      <c r="AZ214" s="31">
        <f>IF(AND($AL214=1,$U214&lt;&gt;""),IF(AND(N($U214)&gt;=TODAY(),N($U214)&lt;=TODAY()+Board!$B$41),1,0),0)</f>
        <v/>
      </c>
    </row>
    <row r="215">
      <c r="A215" s="29" t="n"/>
      <c r="B215" s="29" t="n"/>
      <c r="C215" s="29" t="n"/>
      <c r="D215" s="29" t="n"/>
      <c r="E215" s="29" t="n"/>
      <c r="F215" s="29" t="n"/>
      <c r="G215" s="29" t="n"/>
      <c r="H215" s="30" t="n"/>
      <c r="I215" s="30" t="n"/>
      <c r="J215" s="19" t="n"/>
      <c r="K215" s="19" t="n"/>
      <c r="L215" s="26" t="n"/>
      <c r="M215" s="31">
        <f>IF($A215="","",IF($D215="","Not read",IF($Q215=0,"Not counted",IF(MAX($X215,$Y215)=3,"■ Red",IF(MAX($X215,$Y215)=2,"◧ Amber",IF(MAX($X215,$Y215)=1,"□ On track","Not read"))))))</f>
        <v/>
      </c>
      <c r="N215" s="31">
        <f>IF(OR($A215="",$B215&lt;&gt;"Program"),"","■ "&amp;COUNTIFS($C$6:$C$305,$A215,$M$6:$M$305,"■ Red")&amp;" Red, ◧ "&amp;COUNTIFS($C$6:$C$305,$A215,$M$6:$M$305,"◧ Amber")&amp;" Amber")</f>
        <v/>
      </c>
      <c r="O215" s="32">
        <f>IF(OR($A215="",$E215=""),"",COUNTIFS($E$6:$E$305,$E215,$D$6:$D$305,"Active")+COUNTIFS($E$6:$E$305,$E215,$D$6:$D$305,"Paused"))</f>
        <v/>
      </c>
      <c r="P215" s="31">
        <f>IF($A215="","",IF($AE215=0,"○ Clear",IF($AA215=1,"△ No owner",IF($AC215=1,"△ Check Sits under",IF($AC215=2,"△ Outside the portfolio",IF($AB215=1,"△ No sponsor","△ No variance note"))))&amp;IF($AE215&gt;1," (+"&amp;($AE215-1)&amp;" more)","")))</f>
        <v/>
      </c>
      <c r="Q215" s="31">
        <f>IF(AND($A215&lt;&gt;"",OR($D215="Active",$D215="Paused")),1,0)</f>
        <v/>
      </c>
      <c r="R215" s="31">
        <f>IFERROR(INDEX($A$6:$A$305,MATCH(208,$S$6:$S$305,0)),"")</f>
        <v/>
      </c>
      <c r="S215" s="31">
        <f>IF(AND($A215&lt;&gt;"",$B215="Program"),COUNTIFS($B$6:$B215,"Program",$A$6:$A215,"&lt;&gt;"),"")</f>
        <v/>
      </c>
      <c r="T215" s="33">
        <f>IF(AND($A215&lt;&gt;"",$B215="Program"),SUMPRODUCT(MAX(($C$6:$C$305=$A215)*($B$6:$B$305="Project")*($D$6:$D$305&lt;&gt;"Proposed")*$I$6:$I$305)),0)</f>
        <v/>
      </c>
      <c r="U215" s="33">
        <f>IF($I215&lt;&gt;"",$I215,IF($T215&gt;0,$T215,""))</f>
        <v/>
      </c>
      <c r="V215" s="31">
        <f>IF(AND($A215&lt;&gt;"",$B215="Program"),SUMIFS($J$6:$J$305,$C$6:$C$305,$A215,$B$6:$B$305,"Project",$D$6:$D$305,"&lt;&gt;Proposed"),0)</f>
        <v/>
      </c>
      <c r="W215" s="31">
        <f>IF(AND($A215&lt;&gt;"",$B215="Program"),COUNTIFS($C$6:$C$305,$A215,$B$6:$B$305,"Project",$D$6:$D$305,"&lt;&gt;Proposed")-COUNTIFS($C$6:$C$305,$A215,$B$6:$B$305,"Project",$D$6:$D$305,"&lt;&gt;Proposed",$J$6:$J$305,"&gt;=0"),0)</f>
        <v/>
      </c>
      <c r="X215" s="31">
        <f>IF(OR($Q215=0,$H215=""),0,IF(AND($B215="Project",$H215&lt;TODAY()),3,IF($U215="",0,IF($U215&lt;=$H215,1,IF(NETWORKDAYS($H215,$U215)-1&gt;IF($B215="Program",Portfolio!$B$16,Portfolio!$B$15),3,2)))))</f>
        <v/>
      </c>
      <c r="Y215" s="31">
        <f>IF(OR($Q215=0,$K215="",$K215=0),0,IF(AND($B215="Project",$J215=""),0,IF(IF($B215="Program",$V215,$J215)&gt;$K215*(1+Portfolio!$B$17),3,IF(IF($B215="Program",$V215,$J215)&gt;$K215,2,IF(AND($B215="Program",OR($W215&gt;0,$V215=0)),0,1)))))</f>
        <v/>
      </c>
      <c r="Z215" s="31">
        <f>IF($A215="",0,IF($C215="Portfolio",1,IF(AND($B215="Project",$C215&lt;&gt;"",$C215&lt;&gt;"Outside the portfolio"),IFERROR(IF(AND(INDEX($B$6:$B$305,MATCH($C215,$A$6:$A$305,0))="Program",INDEX($C$6:$C$305,MATCH($C215,$A$6:$A$305,0))="Portfolio"),1,0),0),0)))</f>
        <v/>
      </c>
      <c r="AA215" s="31">
        <f>IF(AND($A215&lt;&gt;"",$E215="",OR($Q215=1,$D215="Proposed")),1,0)</f>
        <v/>
      </c>
      <c r="AB215" s="31">
        <f>IF(AND($A215&lt;&gt;"",$B215="Program",$F215="",$Q215=1),1,0)</f>
        <v/>
      </c>
      <c r="AC215" s="31">
        <f>IF(OR($A215="",$D215="Completed",$D215="Terminated"),0,IF($C215="",1,IF($C215="Portfolio",0,IF($C215="Outside the portfolio",IF($Q215=1,2,0),IF($B215="Project",IF(IFERROR(INDEX($B$6:$B$305,MATCH($C215,$A$6:$A$305,0)),"")="Program",0,1),1)))))</f>
        <v/>
      </c>
      <c r="AD215" s="31">
        <f>IF(AND($A215&lt;&gt;"",OR($M215="■ Red",$M215="◧ Amber"),$L215=""),1,0)</f>
        <v/>
      </c>
      <c r="AE215" s="31">
        <f>$AA215+$AB215+IF($AC215&gt;0,1,0)+$AD215</f>
        <v/>
      </c>
      <c r="AJ215" s="14" t="n"/>
      <c r="AK215" s="29" t="n"/>
      <c r="AL215" s="31">
        <f>IF(AND($Q215=1,$Z215=1),1,0)</f>
        <v/>
      </c>
      <c r="AM215" s="31">
        <f>IF(AND($AL215=1,$AJ215&lt;&gt;""),MAX(0,TODAY()-$AJ215),"")</f>
        <v/>
      </c>
      <c r="AN215" s="31">
        <f>IF(OR($AL215=0,COUNT($AJ$6:$AJ$305)=0),0,IF($AJ215="",1,IF(TODAY()-$AJ215&gt;Board!$B$40,1,0)))</f>
        <v/>
      </c>
      <c r="AO215" s="31">
        <f>IF($AL215=0,0,IF($M215="■ Red",3,IF($M215="◧ Amber",2,IF($M215="□ On track",1,0))))</f>
        <v/>
      </c>
      <c r="AP215" s="31">
        <f>IF($AL215=0,0,IF($AK215="Will not hold",3,IF($AK215="At risk",2,IF($AK215="Will hold",1,0))))</f>
        <v/>
      </c>
      <c r="AQ215" s="31">
        <f>IF($AL215=0,"",IF($AO215=3,0,IF($AO215=2,1,IF(AND($AP215&gt;=2,$AP215&gt;$AO215),2,""))))</f>
        <v/>
      </c>
      <c r="AR215" s="31">
        <f>IF($AQ215="","",$AQ215*1000+215)</f>
        <v/>
      </c>
      <c r="AS215" s="31">
        <f>IF(AND($AL215=1,$AO215&gt;=2,$AP215&gt;=1,$AP215&lt;$AO215),1,0)</f>
        <v/>
      </c>
      <c r="AT215" s="31">
        <f>IF(AND($AL215=1,$AO215&gt;=2,$AP215=0),1,0)</f>
        <v/>
      </c>
      <c r="AU215" s="31">
        <f>IF(AND($AL215=1,$U215&lt;&gt;"",$U215&lt;TODAY()),1,0)</f>
        <v/>
      </c>
      <c r="AV215" s="31">
        <f>IF(OR($A215="",$AJ215="",Portfolio!$B$10=""),0,IF($AJ215&lt;=Portfolio!$B$10,0,IF(AND($D215="Completed",$Z215=1),1,IF(AND($D215="Terminated",$Z215=1),2,IF(AND($Q215=1,$Z215=0),3,0)))))</f>
        <v/>
      </c>
      <c r="AW215" s="31">
        <f>IF($AV215&gt;0,COUNTIF($AV$6:$AV215,"&gt;0"),"")</f>
        <v/>
      </c>
      <c r="AX215" s="31">
        <f>IF($AL215=0,"",IF(AND($B215="Project",$H215&lt;&gt;"",$H215&lt;TODAY()),"Planned finish "&amp;TEXT($H215,"d mmm")&amp;" has passed",IF($X215&gt;=2,(NETWORKDAYS($H215,$U215)-1)&amp;" working days past plan","")))</f>
        <v/>
      </c>
      <c r="AY215" s="31">
        <f>IF($AL215=0,"",IF($Y215&gt;=2,"Over budget by "&amp;TEXT(IF($B215="Program",$V215,$J215)-$K215,"#,##0"),""))</f>
        <v/>
      </c>
      <c r="AZ215" s="31">
        <f>IF(AND($AL215=1,$U215&lt;&gt;""),IF(AND(N($U215)&gt;=TODAY(),N($U215)&lt;=TODAY()+Board!$B$41),1,0),0)</f>
        <v/>
      </c>
    </row>
    <row r="216">
      <c r="A216" s="29" t="n"/>
      <c r="B216" s="29" t="n"/>
      <c r="C216" s="29" t="n"/>
      <c r="D216" s="29" t="n"/>
      <c r="E216" s="29" t="n"/>
      <c r="F216" s="29" t="n"/>
      <c r="G216" s="29" t="n"/>
      <c r="H216" s="30" t="n"/>
      <c r="I216" s="30" t="n"/>
      <c r="J216" s="19" t="n"/>
      <c r="K216" s="19" t="n"/>
      <c r="L216" s="26" t="n"/>
      <c r="M216" s="31">
        <f>IF($A216="","",IF($D216="","Not read",IF($Q216=0,"Not counted",IF(MAX($X216,$Y216)=3,"■ Red",IF(MAX($X216,$Y216)=2,"◧ Amber",IF(MAX($X216,$Y216)=1,"□ On track","Not read"))))))</f>
        <v/>
      </c>
      <c r="N216" s="31">
        <f>IF(OR($A216="",$B216&lt;&gt;"Program"),"","■ "&amp;COUNTIFS($C$6:$C$305,$A216,$M$6:$M$305,"■ Red")&amp;" Red, ◧ "&amp;COUNTIFS($C$6:$C$305,$A216,$M$6:$M$305,"◧ Amber")&amp;" Amber")</f>
        <v/>
      </c>
      <c r="O216" s="32">
        <f>IF(OR($A216="",$E216=""),"",COUNTIFS($E$6:$E$305,$E216,$D$6:$D$305,"Active")+COUNTIFS($E$6:$E$305,$E216,$D$6:$D$305,"Paused"))</f>
        <v/>
      </c>
      <c r="P216" s="31">
        <f>IF($A216="","",IF($AE216=0,"○ Clear",IF($AA216=1,"△ No owner",IF($AC216=1,"△ Check Sits under",IF($AC216=2,"△ Outside the portfolio",IF($AB216=1,"△ No sponsor","△ No variance note"))))&amp;IF($AE216&gt;1," (+"&amp;($AE216-1)&amp;" more)","")))</f>
        <v/>
      </c>
      <c r="Q216" s="31">
        <f>IF(AND($A216&lt;&gt;"",OR($D216="Active",$D216="Paused")),1,0)</f>
        <v/>
      </c>
      <c r="R216" s="31">
        <f>IFERROR(INDEX($A$6:$A$305,MATCH(209,$S$6:$S$305,0)),"")</f>
        <v/>
      </c>
      <c r="S216" s="31">
        <f>IF(AND($A216&lt;&gt;"",$B216="Program"),COUNTIFS($B$6:$B216,"Program",$A$6:$A216,"&lt;&gt;"),"")</f>
        <v/>
      </c>
      <c r="T216" s="33">
        <f>IF(AND($A216&lt;&gt;"",$B216="Program"),SUMPRODUCT(MAX(($C$6:$C$305=$A216)*($B$6:$B$305="Project")*($D$6:$D$305&lt;&gt;"Proposed")*$I$6:$I$305)),0)</f>
        <v/>
      </c>
      <c r="U216" s="33">
        <f>IF($I216&lt;&gt;"",$I216,IF($T216&gt;0,$T216,""))</f>
        <v/>
      </c>
      <c r="V216" s="31">
        <f>IF(AND($A216&lt;&gt;"",$B216="Program"),SUMIFS($J$6:$J$305,$C$6:$C$305,$A216,$B$6:$B$305,"Project",$D$6:$D$305,"&lt;&gt;Proposed"),0)</f>
        <v/>
      </c>
      <c r="W216" s="31">
        <f>IF(AND($A216&lt;&gt;"",$B216="Program"),COUNTIFS($C$6:$C$305,$A216,$B$6:$B$305,"Project",$D$6:$D$305,"&lt;&gt;Proposed")-COUNTIFS($C$6:$C$305,$A216,$B$6:$B$305,"Project",$D$6:$D$305,"&lt;&gt;Proposed",$J$6:$J$305,"&gt;=0"),0)</f>
        <v/>
      </c>
      <c r="X216" s="31">
        <f>IF(OR($Q216=0,$H216=""),0,IF(AND($B216="Project",$H216&lt;TODAY()),3,IF($U216="",0,IF($U216&lt;=$H216,1,IF(NETWORKDAYS($H216,$U216)-1&gt;IF($B216="Program",Portfolio!$B$16,Portfolio!$B$15),3,2)))))</f>
        <v/>
      </c>
      <c r="Y216" s="31">
        <f>IF(OR($Q216=0,$K216="",$K216=0),0,IF(AND($B216="Project",$J216=""),0,IF(IF($B216="Program",$V216,$J216)&gt;$K216*(1+Portfolio!$B$17),3,IF(IF($B216="Program",$V216,$J216)&gt;$K216,2,IF(AND($B216="Program",OR($W216&gt;0,$V216=0)),0,1)))))</f>
        <v/>
      </c>
      <c r="Z216" s="31">
        <f>IF($A216="",0,IF($C216="Portfolio",1,IF(AND($B216="Project",$C216&lt;&gt;"",$C216&lt;&gt;"Outside the portfolio"),IFERROR(IF(AND(INDEX($B$6:$B$305,MATCH($C216,$A$6:$A$305,0))="Program",INDEX($C$6:$C$305,MATCH($C216,$A$6:$A$305,0))="Portfolio"),1,0),0),0)))</f>
        <v/>
      </c>
      <c r="AA216" s="31">
        <f>IF(AND($A216&lt;&gt;"",$E216="",OR($Q216=1,$D216="Proposed")),1,0)</f>
        <v/>
      </c>
      <c r="AB216" s="31">
        <f>IF(AND($A216&lt;&gt;"",$B216="Program",$F216="",$Q216=1),1,0)</f>
        <v/>
      </c>
      <c r="AC216" s="31">
        <f>IF(OR($A216="",$D216="Completed",$D216="Terminated"),0,IF($C216="",1,IF($C216="Portfolio",0,IF($C216="Outside the portfolio",IF($Q216=1,2,0),IF($B216="Project",IF(IFERROR(INDEX($B$6:$B$305,MATCH($C216,$A$6:$A$305,0)),"")="Program",0,1),1)))))</f>
        <v/>
      </c>
      <c r="AD216" s="31">
        <f>IF(AND($A216&lt;&gt;"",OR($M216="■ Red",$M216="◧ Amber"),$L216=""),1,0)</f>
        <v/>
      </c>
      <c r="AE216" s="31">
        <f>$AA216+$AB216+IF($AC216&gt;0,1,0)+$AD216</f>
        <v/>
      </c>
      <c r="AJ216" s="14" t="n"/>
      <c r="AK216" s="29" t="n"/>
      <c r="AL216" s="31">
        <f>IF(AND($Q216=1,$Z216=1),1,0)</f>
        <v/>
      </c>
      <c r="AM216" s="31">
        <f>IF(AND($AL216=1,$AJ216&lt;&gt;""),MAX(0,TODAY()-$AJ216),"")</f>
        <v/>
      </c>
      <c r="AN216" s="31">
        <f>IF(OR($AL216=0,COUNT($AJ$6:$AJ$305)=0),0,IF($AJ216="",1,IF(TODAY()-$AJ216&gt;Board!$B$40,1,0)))</f>
        <v/>
      </c>
      <c r="AO216" s="31">
        <f>IF($AL216=0,0,IF($M216="■ Red",3,IF($M216="◧ Amber",2,IF($M216="□ On track",1,0))))</f>
        <v/>
      </c>
      <c r="AP216" s="31">
        <f>IF($AL216=0,0,IF($AK216="Will not hold",3,IF($AK216="At risk",2,IF($AK216="Will hold",1,0))))</f>
        <v/>
      </c>
      <c r="AQ216" s="31">
        <f>IF($AL216=0,"",IF($AO216=3,0,IF($AO216=2,1,IF(AND($AP216&gt;=2,$AP216&gt;$AO216),2,""))))</f>
        <v/>
      </c>
      <c r="AR216" s="31">
        <f>IF($AQ216="","",$AQ216*1000+216)</f>
        <v/>
      </c>
      <c r="AS216" s="31">
        <f>IF(AND($AL216=1,$AO216&gt;=2,$AP216&gt;=1,$AP216&lt;$AO216),1,0)</f>
        <v/>
      </c>
      <c r="AT216" s="31">
        <f>IF(AND($AL216=1,$AO216&gt;=2,$AP216=0),1,0)</f>
        <v/>
      </c>
      <c r="AU216" s="31">
        <f>IF(AND($AL216=1,$U216&lt;&gt;"",$U216&lt;TODAY()),1,0)</f>
        <v/>
      </c>
      <c r="AV216" s="31">
        <f>IF(OR($A216="",$AJ216="",Portfolio!$B$10=""),0,IF($AJ216&lt;=Portfolio!$B$10,0,IF(AND($D216="Completed",$Z216=1),1,IF(AND($D216="Terminated",$Z216=1),2,IF(AND($Q216=1,$Z216=0),3,0)))))</f>
        <v/>
      </c>
      <c r="AW216" s="31">
        <f>IF($AV216&gt;0,COUNTIF($AV$6:$AV216,"&gt;0"),"")</f>
        <v/>
      </c>
      <c r="AX216" s="31">
        <f>IF($AL216=0,"",IF(AND($B216="Project",$H216&lt;&gt;"",$H216&lt;TODAY()),"Planned finish "&amp;TEXT($H216,"d mmm")&amp;" has passed",IF($X216&gt;=2,(NETWORKDAYS($H216,$U216)-1)&amp;" working days past plan","")))</f>
        <v/>
      </c>
      <c r="AY216" s="31">
        <f>IF($AL216=0,"",IF($Y216&gt;=2,"Over budget by "&amp;TEXT(IF($B216="Program",$V216,$J216)-$K216,"#,##0"),""))</f>
        <v/>
      </c>
      <c r="AZ216" s="31">
        <f>IF(AND($AL216=1,$U216&lt;&gt;""),IF(AND(N($U216)&gt;=TODAY(),N($U216)&lt;=TODAY()+Board!$B$41),1,0),0)</f>
        <v/>
      </c>
    </row>
    <row r="217">
      <c r="A217" s="29" t="n"/>
      <c r="B217" s="29" t="n"/>
      <c r="C217" s="29" t="n"/>
      <c r="D217" s="29" t="n"/>
      <c r="E217" s="29" t="n"/>
      <c r="F217" s="29" t="n"/>
      <c r="G217" s="29" t="n"/>
      <c r="H217" s="30" t="n"/>
      <c r="I217" s="30" t="n"/>
      <c r="J217" s="19" t="n"/>
      <c r="K217" s="19" t="n"/>
      <c r="L217" s="26" t="n"/>
      <c r="M217" s="31">
        <f>IF($A217="","",IF($D217="","Not read",IF($Q217=0,"Not counted",IF(MAX($X217,$Y217)=3,"■ Red",IF(MAX($X217,$Y217)=2,"◧ Amber",IF(MAX($X217,$Y217)=1,"□ On track","Not read"))))))</f>
        <v/>
      </c>
      <c r="N217" s="31">
        <f>IF(OR($A217="",$B217&lt;&gt;"Program"),"","■ "&amp;COUNTIFS($C$6:$C$305,$A217,$M$6:$M$305,"■ Red")&amp;" Red, ◧ "&amp;COUNTIFS($C$6:$C$305,$A217,$M$6:$M$305,"◧ Amber")&amp;" Amber")</f>
        <v/>
      </c>
      <c r="O217" s="32">
        <f>IF(OR($A217="",$E217=""),"",COUNTIFS($E$6:$E$305,$E217,$D$6:$D$305,"Active")+COUNTIFS($E$6:$E$305,$E217,$D$6:$D$305,"Paused"))</f>
        <v/>
      </c>
      <c r="P217" s="31">
        <f>IF($A217="","",IF($AE217=0,"○ Clear",IF($AA217=1,"△ No owner",IF($AC217=1,"△ Check Sits under",IF($AC217=2,"△ Outside the portfolio",IF($AB217=1,"△ No sponsor","△ No variance note"))))&amp;IF($AE217&gt;1," (+"&amp;($AE217-1)&amp;" more)","")))</f>
        <v/>
      </c>
      <c r="Q217" s="31">
        <f>IF(AND($A217&lt;&gt;"",OR($D217="Active",$D217="Paused")),1,0)</f>
        <v/>
      </c>
      <c r="R217" s="31">
        <f>IFERROR(INDEX($A$6:$A$305,MATCH(210,$S$6:$S$305,0)),"")</f>
        <v/>
      </c>
      <c r="S217" s="31">
        <f>IF(AND($A217&lt;&gt;"",$B217="Program"),COUNTIFS($B$6:$B217,"Program",$A$6:$A217,"&lt;&gt;"),"")</f>
        <v/>
      </c>
      <c r="T217" s="33">
        <f>IF(AND($A217&lt;&gt;"",$B217="Program"),SUMPRODUCT(MAX(($C$6:$C$305=$A217)*($B$6:$B$305="Project")*($D$6:$D$305&lt;&gt;"Proposed")*$I$6:$I$305)),0)</f>
        <v/>
      </c>
      <c r="U217" s="33">
        <f>IF($I217&lt;&gt;"",$I217,IF($T217&gt;0,$T217,""))</f>
        <v/>
      </c>
      <c r="V217" s="31">
        <f>IF(AND($A217&lt;&gt;"",$B217="Program"),SUMIFS($J$6:$J$305,$C$6:$C$305,$A217,$B$6:$B$305,"Project",$D$6:$D$305,"&lt;&gt;Proposed"),0)</f>
        <v/>
      </c>
      <c r="W217" s="31">
        <f>IF(AND($A217&lt;&gt;"",$B217="Program"),COUNTIFS($C$6:$C$305,$A217,$B$6:$B$305,"Project",$D$6:$D$305,"&lt;&gt;Proposed")-COUNTIFS($C$6:$C$305,$A217,$B$6:$B$305,"Project",$D$6:$D$305,"&lt;&gt;Proposed",$J$6:$J$305,"&gt;=0"),0)</f>
        <v/>
      </c>
      <c r="X217" s="31">
        <f>IF(OR($Q217=0,$H217=""),0,IF(AND($B217="Project",$H217&lt;TODAY()),3,IF($U217="",0,IF($U217&lt;=$H217,1,IF(NETWORKDAYS($H217,$U217)-1&gt;IF($B217="Program",Portfolio!$B$16,Portfolio!$B$15),3,2)))))</f>
        <v/>
      </c>
      <c r="Y217" s="31">
        <f>IF(OR($Q217=0,$K217="",$K217=0),0,IF(AND($B217="Project",$J217=""),0,IF(IF($B217="Program",$V217,$J217)&gt;$K217*(1+Portfolio!$B$17),3,IF(IF($B217="Program",$V217,$J217)&gt;$K217,2,IF(AND($B217="Program",OR($W217&gt;0,$V217=0)),0,1)))))</f>
        <v/>
      </c>
      <c r="Z217" s="31">
        <f>IF($A217="",0,IF($C217="Portfolio",1,IF(AND($B217="Project",$C217&lt;&gt;"",$C217&lt;&gt;"Outside the portfolio"),IFERROR(IF(AND(INDEX($B$6:$B$305,MATCH($C217,$A$6:$A$305,0))="Program",INDEX($C$6:$C$305,MATCH($C217,$A$6:$A$305,0))="Portfolio"),1,0),0),0)))</f>
        <v/>
      </c>
      <c r="AA217" s="31">
        <f>IF(AND($A217&lt;&gt;"",$E217="",OR($Q217=1,$D217="Proposed")),1,0)</f>
        <v/>
      </c>
      <c r="AB217" s="31">
        <f>IF(AND($A217&lt;&gt;"",$B217="Program",$F217="",$Q217=1),1,0)</f>
        <v/>
      </c>
      <c r="AC217" s="31">
        <f>IF(OR($A217="",$D217="Completed",$D217="Terminated"),0,IF($C217="",1,IF($C217="Portfolio",0,IF($C217="Outside the portfolio",IF($Q217=1,2,0),IF($B217="Project",IF(IFERROR(INDEX($B$6:$B$305,MATCH($C217,$A$6:$A$305,0)),"")="Program",0,1),1)))))</f>
        <v/>
      </c>
      <c r="AD217" s="31">
        <f>IF(AND($A217&lt;&gt;"",OR($M217="■ Red",$M217="◧ Amber"),$L217=""),1,0)</f>
        <v/>
      </c>
      <c r="AE217" s="31">
        <f>$AA217+$AB217+IF($AC217&gt;0,1,0)+$AD217</f>
        <v/>
      </c>
      <c r="AJ217" s="14" t="n"/>
      <c r="AK217" s="29" t="n"/>
      <c r="AL217" s="31">
        <f>IF(AND($Q217=1,$Z217=1),1,0)</f>
        <v/>
      </c>
      <c r="AM217" s="31">
        <f>IF(AND($AL217=1,$AJ217&lt;&gt;""),MAX(0,TODAY()-$AJ217),"")</f>
        <v/>
      </c>
      <c r="AN217" s="31">
        <f>IF(OR($AL217=0,COUNT($AJ$6:$AJ$305)=0),0,IF($AJ217="",1,IF(TODAY()-$AJ217&gt;Board!$B$40,1,0)))</f>
        <v/>
      </c>
      <c r="AO217" s="31">
        <f>IF($AL217=0,0,IF($M217="■ Red",3,IF($M217="◧ Amber",2,IF($M217="□ On track",1,0))))</f>
        <v/>
      </c>
      <c r="AP217" s="31">
        <f>IF($AL217=0,0,IF($AK217="Will not hold",3,IF($AK217="At risk",2,IF($AK217="Will hold",1,0))))</f>
        <v/>
      </c>
      <c r="AQ217" s="31">
        <f>IF($AL217=0,"",IF($AO217=3,0,IF($AO217=2,1,IF(AND($AP217&gt;=2,$AP217&gt;$AO217),2,""))))</f>
        <v/>
      </c>
      <c r="AR217" s="31">
        <f>IF($AQ217="","",$AQ217*1000+217)</f>
        <v/>
      </c>
      <c r="AS217" s="31">
        <f>IF(AND($AL217=1,$AO217&gt;=2,$AP217&gt;=1,$AP217&lt;$AO217),1,0)</f>
        <v/>
      </c>
      <c r="AT217" s="31">
        <f>IF(AND($AL217=1,$AO217&gt;=2,$AP217=0),1,0)</f>
        <v/>
      </c>
      <c r="AU217" s="31">
        <f>IF(AND($AL217=1,$U217&lt;&gt;"",$U217&lt;TODAY()),1,0)</f>
        <v/>
      </c>
      <c r="AV217" s="31">
        <f>IF(OR($A217="",$AJ217="",Portfolio!$B$10=""),0,IF($AJ217&lt;=Portfolio!$B$10,0,IF(AND($D217="Completed",$Z217=1),1,IF(AND($D217="Terminated",$Z217=1),2,IF(AND($Q217=1,$Z217=0),3,0)))))</f>
        <v/>
      </c>
      <c r="AW217" s="31">
        <f>IF($AV217&gt;0,COUNTIF($AV$6:$AV217,"&gt;0"),"")</f>
        <v/>
      </c>
      <c r="AX217" s="31">
        <f>IF($AL217=0,"",IF(AND($B217="Project",$H217&lt;&gt;"",$H217&lt;TODAY()),"Planned finish "&amp;TEXT($H217,"d mmm")&amp;" has passed",IF($X217&gt;=2,(NETWORKDAYS($H217,$U217)-1)&amp;" working days past plan","")))</f>
        <v/>
      </c>
      <c r="AY217" s="31">
        <f>IF($AL217=0,"",IF($Y217&gt;=2,"Over budget by "&amp;TEXT(IF($B217="Program",$V217,$J217)-$K217,"#,##0"),""))</f>
        <v/>
      </c>
      <c r="AZ217" s="31">
        <f>IF(AND($AL217=1,$U217&lt;&gt;""),IF(AND(N($U217)&gt;=TODAY(),N($U217)&lt;=TODAY()+Board!$B$41),1,0),0)</f>
        <v/>
      </c>
    </row>
    <row r="218">
      <c r="A218" s="29" t="n"/>
      <c r="B218" s="29" t="n"/>
      <c r="C218" s="29" t="n"/>
      <c r="D218" s="29" t="n"/>
      <c r="E218" s="29" t="n"/>
      <c r="F218" s="29" t="n"/>
      <c r="G218" s="29" t="n"/>
      <c r="H218" s="30" t="n"/>
      <c r="I218" s="30" t="n"/>
      <c r="J218" s="19" t="n"/>
      <c r="K218" s="19" t="n"/>
      <c r="L218" s="26" t="n"/>
      <c r="M218" s="31">
        <f>IF($A218="","",IF($D218="","Not read",IF($Q218=0,"Not counted",IF(MAX($X218,$Y218)=3,"■ Red",IF(MAX($X218,$Y218)=2,"◧ Amber",IF(MAX($X218,$Y218)=1,"□ On track","Not read"))))))</f>
        <v/>
      </c>
      <c r="N218" s="31">
        <f>IF(OR($A218="",$B218&lt;&gt;"Program"),"","■ "&amp;COUNTIFS($C$6:$C$305,$A218,$M$6:$M$305,"■ Red")&amp;" Red, ◧ "&amp;COUNTIFS($C$6:$C$305,$A218,$M$6:$M$305,"◧ Amber")&amp;" Amber")</f>
        <v/>
      </c>
      <c r="O218" s="32">
        <f>IF(OR($A218="",$E218=""),"",COUNTIFS($E$6:$E$305,$E218,$D$6:$D$305,"Active")+COUNTIFS($E$6:$E$305,$E218,$D$6:$D$305,"Paused"))</f>
        <v/>
      </c>
      <c r="P218" s="31">
        <f>IF($A218="","",IF($AE218=0,"○ Clear",IF($AA218=1,"△ No owner",IF($AC218=1,"△ Check Sits under",IF($AC218=2,"△ Outside the portfolio",IF($AB218=1,"△ No sponsor","△ No variance note"))))&amp;IF($AE218&gt;1," (+"&amp;($AE218-1)&amp;" more)","")))</f>
        <v/>
      </c>
      <c r="Q218" s="31">
        <f>IF(AND($A218&lt;&gt;"",OR($D218="Active",$D218="Paused")),1,0)</f>
        <v/>
      </c>
      <c r="R218" s="31">
        <f>IFERROR(INDEX($A$6:$A$305,MATCH(211,$S$6:$S$305,0)),"")</f>
        <v/>
      </c>
      <c r="S218" s="31">
        <f>IF(AND($A218&lt;&gt;"",$B218="Program"),COUNTIFS($B$6:$B218,"Program",$A$6:$A218,"&lt;&gt;"),"")</f>
        <v/>
      </c>
      <c r="T218" s="33">
        <f>IF(AND($A218&lt;&gt;"",$B218="Program"),SUMPRODUCT(MAX(($C$6:$C$305=$A218)*($B$6:$B$305="Project")*($D$6:$D$305&lt;&gt;"Proposed")*$I$6:$I$305)),0)</f>
        <v/>
      </c>
      <c r="U218" s="33">
        <f>IF($I218&lt;&gt;"",$I218,IF($T218&gt;0,$T218,""))</f>
        <v/>
      </c>
      <c r="V218" s="31">
        <f>IF(AND($A218&lt;&gt;"",$B218="Program"),SUMIFS($J$6:$J$305,$C$6:$C$305,$A218,$B$6:$B$305,"Project",$D$6:$D$305,"&lt;&gt;Proposed"),0)</f>
        <v/>
      </c>
      <c r="W218" s="31">
        <f>IF(AND($A218&lt;&gt;"",$B218="Program"),COUNTIFS($C$6:$C$305,$A218,$B$6:$B$305,"Project",$D$6:$D$305,"&lt;&gt;Proposed")-COUNTIFS($C$6:$C$305,$A218,$B$6:$B$305,"Project",$D$6:$D$305,"&lt;&gt;Proposed",$J$6:$J$305,"&gt;=0"),0)</f>
        <v/>
      </c>
      <c r="X218" s="31">
        <f>IF(OR($Q218=0,$H218=""),0,IF(AND($B218="Project",$H218&lt;TODAY()),3,IF($U218="",0,IF($U218&lt;=$H218,1,IF(NETWORKDAYS($H218,$U218)-1&gt;IF($B218="Program",Portfolio!$B$16,Portfolio!$B$15),3,2)))))</f>
        <v/>
      </c>
      <c r="Y218" s="31">
        <f>IF(OR($Q218=0,$K218="",$K218=0),0,IF(AND($B218="Project",$J218=""),0,IF(IF($B218="Program",$V218,$J218)&gt;$K218*(1+Portfolio!$B$17),3,IF(IF($B218="Program",$V218,$J218)&gt;$K218,2,IF(AND($B218="Program",OR($W218&gt;0,$V218=0)),0,1)))))</f>
        <v/>
      </c>
      <c r="Z218" s="31">
        <f>IF($A218="",0,IF($C218="Portfolio",1,IF(AND($B218="Project",$C218&lt;&gt;"",$C218&lt;&gt;"Outside the portfolio"),IFERROR(IF(AND(INDEX($B$6:$B$305,MATCH($C218,$A$6:$A$305,0))="Program",INDEX($C$6:$C$305,MATCH($C218,$A$6:$A$305,0))="Portfolio"),1,0),0),0)))</f>
        <v/>
      </c>
      <c r="AA218" s="31">
        <f>IF(AND($A218&lt;&gt;"",$E218="",OR($Q218=1,$D218="Proposed")),1,0)</f>
        <v/>
      </c>
      <c r="AB218" s="31">
        <f>IF(AND($A218&lt;&gt;"",$B218="Program",$F218="",$Q218=1),1,0)</f>
        <v/>
      </c>
      <c r="AC218" s="31">
        <f>IF(OR($A218="",$D218="Completed",$D218="Terminated"),0,IF($C218="",1,IF($C218="Portfolio",0,IF($C218="Outside the portfolio",IF($Q218=1,2,0),IF($B218="Project",IF(IFERROR(INDEX($B$6:$B$305,MATCH($C218,$A$6:$A$305,0)),"")="Program",0,1),1)))))</f>
        <v/>
      </c>
      <c r="AD218" s="31">
        <f>IF(AND($A218&lt;&gt;"",OR($M218="■ Red",$M218="◧ Amber"),$L218=""),1,0)</f>
        <v/>
      </c>
      <c r="AE218" s="31">
        <f>$AA218+$AB218+IF($AC218&gt;0,1,0)+$AD218</f>
        <v/>
      </c>
      <c r="AJ218" s="14" t="n"/>
      <c r="AK218" s="29" t="n"/>
      <c r="AL218" s="31">
        <f>IF(AND($Q218=1,$Z218=1),1,0)</f>
        <v/>
      </c>
      <c r="AM218" s="31">
        <f>IF(AND($AL218=1,$AJ218&lt;&gt;""),MAX(0,TODAY()-$AJ218),"")</f>
        <v/>
      </c>
      <c r="AN218" s="31">
        <f>IF(OR($AL218=0,COUNT($AJ$6:$AJ$305)=0),0,IF($AJ218="",1,IF(TODAY()-$AJ218&gt;Board!$B$40,1,0)))</f>
        <v/>
      </c>
      <c r="AO218" s="31">
        <f>IF($AL218=0,0,IF($M218="■ Red",3,IF($M218="◧ Amber",2,IF($M218="□ On track",1,0))))</f>
        <v/>
      </c>
      <c r="AP218" s="31">
        <f>IF($AL218=0,0,IF($AK218="Will not hold",3,IF($AK218="At risk",2,IF($AK218="Will hold",1,0))))</f>
        <v/>
      </c>
      <c r="AQ218" s="31">
        <f>IF($AL218=0,"",IF($AO218=3,0,IF($AO218=2,1,IF(AND($AP218&gt;=2,$AP218&gt;$AO218),2,""))))</f>
        <v/>
      </c>
      <c r="AR218" s="31">
        <f>IF($AQ218="","",$AQ218*1000+218)</f>
        <v/>
      </c>
      <c r="AS218" s="31">
        <f>IF(AND($AL218=1,$AO218&gt;=2,$AP218&gt;=1,$AP218&lt;$AO218),1,0)</f>
        <v/>
      </c>
      <c r="AT218" s="31">
        <f>IF(AND($AL218=1,$AO218&gt;=2,$AP218=0),1,0)</f>
        <v/>
      </c>
      <c r="AU218" s="31">
        <f>IF(AND($AL218=1,$U218&lt;&gt;"",$U218&lt;TODAY()),1,0)</f>
        <v/>
      </c>
      <c r="AV218" s="31">
        <f>IF(OR($A218="",$AJ218="",Portfolio!$B$10=""),0,IF($AJ218&lt;=Portfolio!$B$10,0,IF(AND($D218="Completed",$Z218=1),1,IF(AND($D218="Terminated",$Z218=1),2,IF(AND($Q218=1,$Z218=0),3,0)))))</f>
        <v/>
      </c>
      <c r="AW218" s="31">
        <f>IF($AV218&gt;0,COUNTIF($AV$6:$AV218,"&gt;0"),"")</f>
        <v/>
      </c>
      <c r="AX218" s="31">
        <f>IF($AL218=0,"",IF(AND($B218="Project",$H218&lt;&gt;"",$H218&lt;TODAY()),"Planned finish "&amp;TEXT($H218,"d mmm")&amp;" has passed",IF($X218&gt;=2,(NETWORKDAYS($H218,$U218)-1)&amp;" working days past plan","")))</f>
        <v/>
      </c>
      <c r="AY218" s="31">
        <f>IF($AL218=0,"",IF($Y218&gt;=2,"Over budget by "&amp;TEXT(IF($B218="Program",$V218,$J218)-$K218,"#,##0"),""))</f>
        <v/>
      </c>
      <c r="AZ218" s="31">
        <f>IF(AND($AL218=1,$U218&lt;&gt;""),IF(AND(N($U218)&gt;=TODAY(),N($U218)&lt;=TODAY()+Board!$B$41),1,0),0)</f>
        <v/>
      </c>
    </row>
    <row r="219">
      <c r="A219" s="29" t="n"/>
      <c r="B219" s="29" t="n"/>
      <c r="C219" s="29" t="n"/>
      <c r="D219" s="29" t="n"/>
      <c r="E219" s="29" t="n"/>
      <c r="F219" s="29" t="n"/>
      <c r="G219" s="29" t="n"/>
      <c r="H219" s="30" t="n"/>
      <c r="I219" s="30" t="n"/>
      <c r="J219" s="19" t="n"/>
      <c r="K219" s="19" t="n"/>
      <c r="L219" s="26" t="n"/>
      <c r="M219" s="31">
        <f>IF($A219="","",IF($D219="","Not read",IF($Q219=0,"Not counted",IF(MAX($X219,$Y219)=3,"■ Red",IF(MAX($X219,$Y219)=2,"◧ Amber",IF(MAX($X219,$Y219)=1,"□ On track","Not read"))))))</f>
        <v/>
      </c>
      <c r="N219" s="31">
        <f>IF(OR($A219="",$B219&lt;&gt;"Program"),"","■ "&amp;COUNTIFS($C$6:$C$305,$A219,$M$6:$M$305,"■ Red")&amp;" Red, ◧ "&amp;COUNTIFS($C$6:$C$305,$A219,$M$6:$M$305,"◧ Amber")&amp;" Amber")</f>
        <v/>
      </c>
      <c r="O219" s="32">
        <f>IF(OR($A219="",$E219=""),"",COUNTIFS($E$6:$E$305,$E219,$D$6:$D$305,"Active")+COUNTIFS($E$6:$E$305,$E219,$D$6:$D$305,"Paused"))</f>
        <v/>
      </c>
      <c r="P219" s="31">
        <f>IF($A219="","",IF($AE219=0,"○ Clear",IF($AA219=1,"△ No owner",IF($AC219=1,"△ Check Sits under",IF($AC219=2,"△ Outside the portfolio",IF($AB219=1,"△ No sponsor","△ No variance note"))))&amp;IF($AE219&gt;1," (+"&amp;($AE219-1)&amp;" more)","")))</f>
        <v/>
      </c>
      <c r="Q219" s="31">
        <f>IF(AND($A219&lt;&gt;"",OR($D219="Active",$D219="Paused")),1,0)</f>
        <v/>
      </c>
      <c r="R219" s="31">
        <f>IFERROR(INDEX($A$6:$A$305,MATCH(212,$S$6:$S$305,0)),"")</f>
        <v/>
      </c>
      <c r="S219" s="31">
        <f>IF(AND($A219&lt;&gt;"",$B219="Program"),COUNTIFS($B$6:$B219,"Program",$A$6:$A219,"&lt;&gt;"),"")</f>
        <v/>
      </c>
      <c r="T219" s="33">
        <f>IF(AND($A219&lt;&gt;"",$B219="Program"),SUMPRODUCT(MAX(($C$6:$C$305=$A219)*($B$6:$B$305="Project")*($D$6:$D$305&lt;&gt;"Proposed")*$I$6:$I$305)),0)</f>
        <v/>
      </c>
      <c r="U219" s="33">
        <f>IF($I219&lt;&gt;"",$I219,IF($T219&gt;0,$T219,""))</f>
        <v/>
      </c>
      <c r="V219" s="31">
        <f>IF(AND($A219&lt;&gt;"",$B219="Program"),SUMIFS($J$6:$J$305,$C$6:$C$305,$A219,$B$6:$B$305,"Project",$D$6:$D$305,"&lt;&gt;Proposed"),0)</f>
        <v/>
      </c>
      <c r="W219" s="31">
        <f>IF(AND($A219&lt;&gt;"",$B219="Program"),COUNTIFS($C$6:$C$305,$A219,$B$6:$B$305,"Project",$D$6:$D$305,"&lt;&gt;Proposed")-COUNTIFS($C$6:$C$305,$A219,$B$6:$B$305,"Project",$D$6:$D$305,"&lt;&gt;Proposed",$J$6:$J$305,"&gt;=0"),0)</f>
        <v/>
      </c>
      <c r="X219" s="31">
        <f>IF(OR($Q219=0,$H219=""),0,IF(AND($B219="Project",$H219&lt;TODAY()),3,IF($U219="",0,IF($U219&lt;=$H219,1,IF(NETWORKDAYS($H219,$U219)-1&gt;IF($B219="Program",Portfolio!$B$16,Portfolio!$B$15),3,2)))))</f>
        <v/>
      </c>
      <c r="Y219" s="31">
        <f>IF(OR($Q219=0,$K219="",$K219=0),0,IF(AND($B219="Project",$J219=""),0,IF(IF($B219="Program",$V219,$J219)&gt;$K219*(1+Portfolio!$B$17),3,IF(IF($B219="Program",$V219,$J219)&gt;$K219,2,IF(AND($B219="Program",OR($W219&gt;0,$V219=0)),0,1)))))</f>
        <v/>
      </c>
      <c r="Z219" s="31">
        <f>IF($A219="",0,IF($C219="Portfolio",1,IF(AND($B219="Project",$C219&lt;&gt;"",$C219&lt;&gt;"Outside the portfolio"),IFERROR(IF(AND(INDEX($B$6:$B$305,MATCH($C219,$A$6:$A$305,0))="Program",INDEX($C$6:$C$305,MATCH($C219,$A$6:$A$305,0))="Portfolio"),1,0),0),0)))</f>
        <v/>
      </c>
      <c r="AA219" s="31">
        <f>IF(AND($A219&lt;&gt;"",$E219="",OR($Q219=1,$D219="Proposed")),1,0)</f>
        <v/>
      </c>
      <c r="AB219" s="31">
        <f>IF(AND($A219&lt;&gt;"",$B219="Program",$F219="",$Q219=1),1,0)</f>
        <v/>
      </c>
      <c r="AC219" s="31">
        <f>IF(OR($A219="",$D219="Completed",$D219="Terminated"),0,IF($C219="",1,IF($C219="Portfolio",0,IF($C219="Outside the portfolio",IF($Q219=1,2,0),IF($B219="Project",IF(IFERROR(INDEX($B$6:$B$305,MATCH($C219,$A$6:$A$305,0)),"")="Program",0,1),1)))))</f>
        <v/>
      </c>
      <c r="AD219" s="31">
        <f>IF(AND($A219&lt;&gt;"",OR($M219="■ Red",$M219="◧ Amber"),$L219=""),1,0)</f>
        <v/>
      </c>
      <c r="AE219" s="31">
        <f>$AA219+$AB219+IF($AC219&gt;0,1,0)+$AD219</f>
        <v/>
      </c>
      <c r="AJ219" s="14" t="n"/>
      <c r="AK219" s="29" t="n"/>
      <c r="AL219" s="31">
        <f>IF(AND($Q219=1,$Z219=1),1,0)</f>
        <v/>
      </c>
      <c r="AM219" s="31">
        <f>IF(AND($AL219=1,$AJ219&lt;&gt;""),MAX(0,TODAY()-$AJ219),"")</f>
        <v/>
      </c>
      <c r="AN219" s="31">
        <f>IF(OR($AL219=0,COUNT($AJ$6:$AJ$305)=0),0,IF($AJ219="",1,IF(TODAY()-$AJ219&gt;Board!$B$40,1,0)))</f>
        <v/>
      </c>
      <c r="AO219" s="31">
        <f>IF($AL219=0,0,IF($M219="■ Red",3,IF($M219="◧ Amber",2,IF($M219="□ On track",1,0))))</f>
        <v/>
      </c>
      <c r="AP219" s="31">
        <f>IF($AL219=0,0,IF($AK219="Will not hold",3,IF($AK219="At risk",2,IF($AK219="Will hold",1,0))))</f>
        <v/>
      </c>
      <c r="AQ219" s="31">
        <f>IF($AL219=0,"",IF($AO219=3,0,IF($AO219=2,1,IF(AND($AP219&gt;=2,$AP219&gt;$AO219),2,""))))</f>
        <v/>
      </c>
      <c r="AR219" s="31">
        <f>IF($AQ219="","",$AQ219*1000+219)</f>
        <v/>
      </c>
      <c r="AS219" s="31">
        <f>IF(AND($AL219=1,$AO219&gt;=2,$AP219&gt;=1,$AP219&lt;$AO219),1,0)</f>
        <v/>
      </c>
      <c r="AT219" s="31">
        <f>IF(AND($AL219=1,$AO219&gt;=2,$AP219=0),1,0)</f>
        <v/>
      </c>
      <c r="AU219" s="31">
        <f>IF(AND($AL219=1,$U219&lt;&gt;"",$U219&lt;TODAY()),1,0)</f>
        <v/>
      </c>
      <c r="AV219" s="31">
        <f>IF(OR($A219="",$AJ219="",Portfolio!$B$10=""),0,IF($AJ219&lt;=Portfolio!$B$10,0,IF(AND($D219="Completed",$Z219=1),1,IF(AND($D219="Terminated",$Z219=1),2,IF(AND($Q219=1,$Z219=0),3,0)))))</f>
        <v/>
      </c>
      <c r="AW219" s="31">
        <f>IF($AV219&gt;0,COUNTIF($AV$6:$AV219,"&gt;0"),"")</f>
        <v/>
      </c>
      <c r="AX219" s="31">
        <f>IF($AL219=0,"",IF(AND($B219="Project",$H219&lt;&gt;"",$H219&lt;TODAY()),"Planned finish "&amp;TEXT($H219,"d mmm")&amp;" has passed",IF($X219&gt;=2,(NETWORKDAYS($H219,$U219)-1)&amp;" working days past plan","")))</f>
        <v/>
      </c>
      <c r="AY219" s="31">
        <f>IF($AL219=0,"",IF($Y219&gt;=2,"Over budget by "&amp;TEXT(IF($B219="Program",$V219,$J219)-$K219,"#,##0"),""))</f>
        <v/>
      </c>
      <c r="AZ219" s="31">
        <f>IF(AND($AL219=1,$U219&lt;&gt;""),IF(AND(N($U219)&gt;=TODAY(),N($U219)&lt;=TODAY()+Board!$B$41),1,0),0)</f>
        <v/>
      </c>
    </row>
    <row r="220">
      <c r="A220" s="29" t="n"/>
      <c r="B220" s="29" t="n"/>
      <c r="C220" s="29" t="n"/>
      <c r="D220" s="29" t="n"/>
      <c r="E220" s="29" t="n"/>
      <c r="F220" s="29" t="n"/>
      <c r="G220" s="29" t="n"/>
      <c r="H220" s="30" t="n"/>
      <c r="I220" s="30" t="n"/>
      <c r="J220" s="19" t="n"/>
      <c r="K220" s="19" t="n"/>
      <c r="L220" s="26" t="n"/>
      <c r="M220" s="31">
        <f>IF($A220="","",IF($D220="","Not read",IF($Q220=0,"Not counted",IF(MAX($X220,$Y220)=3,"■ Red",IF(MAX($X220,$Y220)=2,"◧ Amber",IF(MAX($X220,$Y220)=1,"□ On track","Not read"))))))</f>
        <v/>
      </c>
      <c r="N220" s="31">
        <f>IF(OR($A220="",$B220&lt;&gt;"Program"),"","■ "&amp;COUNTIFS($C$6:$C$305,$A220,$M$6:$M$305,"■ Red")&amp;" Red, ◧ "&amp;COUNTIFS($C$6:$C$305,$A220,$M$6:$M$305,"◧ Amber")&amp;" Amber")</f>
        <v/>
      </c>
      <c r="O220" s="32">
        <f>IF(OR($A220="",$E220=""),"",COUNTIFS($E$6:$E$305,$E220,$D$6:$D$305,"Active")+COUNTIFS($E$6:$E$305,$E220,$D$6:$D$305,"Paused"))</f>
        <v/>
      </c>
      <c r="P220" s="31">
        <f>IF($A220="","",IF($AE220=0,"○ Clear",IF($AA220=1,"△ No owner",IF($AC220=1,"△ Check Sits under",IF($AC220=2,"△ Outside the portfolio",IF($AB220=1,"△ No sponsor","△ No variance note"))))&amp;IF($AE220&gt;1," (+"&amp;($AE220-1)&amp;" more)","")))</f>
        <v/>
      </c>
      <c r="Q220" s="31">
        <f>IF(AND($A220&lt;&gt;"",OR($D220="Active",$D220="Paused")),1,0)</f>
        <v/>
      </c>
      <c r="R220" s="31">
        <f>IFERROR(INDEX($A$6:$A$305,MATCH(213,$S$6:$S$305,0)),"")</f>
        <v/>
      </c>
      <c r="S220" s="31">
        <f>IF(AND($A220&lt;&gt;"",$B220="Program"),COUNTIFS($B$6:$B220,"Program",$A$6:$A220,"&lt;&gt;"),"")</f>
        <v/>
      </c>
      <c r="T220" s="33">
        <f>IF(AND($A220&lt;&gt;"",$B220="Program"),SUMPRODUCT(MAX(($C$6:$C$305=$A220)*($B$6:$B$305="Project")*($D$6:$D$305&lt;&gt;"Proposed")*$I$6:$I$305)),0)</f>
        <v/>
      </c>
      <c r="U220" s="33">
        <f>IF($I220&lt;&gt;"",$I220,IF($T220&gt;0,$T220,""))</f>
        <v/>
      </c>
      <c r="V220" s="31">
        <f>IF(AND($A220&lt;&gt;"",$B220="Program"),SUMIFS($J$6:$J$305,$C$6:$C$305,$A220,$B$6:$B$305,"Project",$D$6:$D$305,"&lt;&gt;Proposed"),0)</f>
        <v/>
      </c>
      <c r="W220" s="31">
        <f>IF(AND($A220&lt;&gt;"",$B220="Program"),COUNTIFS($C$6:$C$305,$A220,$B$6:$B$305,"Project",$D$6:$D$305,"&lt;&gt;Proposed")-COUNTIFS($C$6:$C$305,$A220,$B$6:$B$305,"Project",$D$6:$D$305,"&lt;&gt;Proposed",$J$6:$J$305,"&gt;=0"),0)</f>
        <v/>
      </c>
      <c r="X220" s="31">
        <f>IF(OR($Q220=0,$H220=""),0,IF(AND($B220="Project",$H220&lt;TODAY()),3,IF($U220="",0,IF($U220&lt;=$H220,1,IF(NETWORKDAYS($H220,$U220)-1&gt;IF($B220="Program",Portfolio!$B$16,Portfolio!$B$15),3,2)))))</f>
        <v/>
      </c>
      <c r="Y220" s="31">
        <f>IF(OR($Q220=0,$K220="",$K220=0),0,IF(AND($B220="Project",$J220=""),0,IF(IF($B220="Program",$V220,$J220)&gt;$K220*(1+Portfolio!$B$17),3,IF(IF($B220="Program",$V220,$J220)&gt;$K220,2,IF(AND($B220="Program",OR($W220&gt;0,$V220=0)),0,1)))))</f>
        <v/>
      </c>
      <c r="Z220" s="31">
        <f>IF($A220="",0,IF($C220="Portfolio",1,IF(AND($B220="Project",$C220&lt;&gt;"",$C220&lt;&gt;"Outside the portfolio"),IFERROR(IF(AND(INDEX($B$6:$B$305,MATCH($C220,$A$6:$A$305,0))="Program",INDEX($C$6:$C$305,MATCH($C220,$A$6:$A$305,0))="Portfolio"),1,0),0),0)))</f>
        <v/>
      </c>
      <c r="AA220" s="31">
        <f>IF(AND($A220&lt;&gt;"",$E220="",OR($Q220=1,$D220="Proposed")),1,0)</f>
        <v/>
      </c>
      <c r="AB220" s="31">
        <f>IF(AND($A220&lt;&gt;"",$B220="Program",$F220="",$Q220=1),1,0)</f>
        <v/>
      </c>
      <c r="AC220" s="31">
        <f>IF(OR($A220="",$D220="Completed",$D220="Terminated"),0,IF($C220="",1,IF($C220="Portfolio",0,IF($C220="Outside the portfolio",IF($Q220=1,2,0),IF($B220="Project",IF(IFERROR(INDEX($B$6:$B$305,MATCH($C220,$A$6:$A$305,0)),"")="Program",0,1),1)))))</f>
        <v/>
      </c>
      <c r="AD220" s="31">
        <f>IF(AND($A220&lt;&gt;"",OR($M220="■ Red",$M220="◧ Amber"),$L220=""),1,0)</f>
        <v/>
      </c>
      <c r="AE220" s="31">
        <f>$AA220+$AB220+IF($AC220&gt;0,1,0)+$AD220</f>
        <v/>
      </c>
      <c r="AJ220" s="14" t="n"/>
      <c r="AK220" s="29" t="n"/>
      <c r="AL220" s="31">
        <f>IF(AND($Q220=1,$Z220=1),1,0)</f>
        <v/>
      </c>
      <c r="AM220" s="31">
        <f>IF(AND($AL220=1,$AJ220&lt;&gt;""),MAX(0,TODAY()-$AJ220),"")</f>
        <v/>
      </c>
      <c r="AN220" s="31">
        <f>IF(OR($AL220=0,COUNT($AJ$6:$AJ$305)=0),0,IF($AJ220="",1,IF(TODAY()-$AJ220&gt;Board!$B$40,1,0)))</f>
        <v/>
      </c>
      <c r="AO220" s="31">
        <f>IF($AL220=0,0,IF($M220="■ Red",3,IF($M220="◧ Amber",2,IF($M220="□ On track",1,0))))</f>
        <v/>
      </c>
      <c r="AP220" s="31">
        <f>IF($AL220=0,0,IF($AK220="Will not hold",3,IF($AK220="At risk",2,IF($AK220="Will hold",1,0))))</f>
        <v/>
      </c>
      <c r="AQ220" s="31">
        <f>IF($AL220=0,"",IF($AO220=3,0,IF($AO220=2,1,IF(AND($AP220&gt;=2,$AP220&gt;$AO220),2,""))))</f>
        <v/>
      </c>
      <c r="AR220" s="31">
        <f>IF($AQ220="","",$AQ220*1000+220)</f>
        <v/>
      </c>
      <c r="AS220" s="31">
        <f>IF(AND($AL220=1,$AO220&gt;=2,$AP220&gt;=1,$AP220&lt;$AO220),1,0)</f>
        <v/>
      </c>
      <c r="AT220" s="31">
        <f>IF(AND($AL220=1,$AO220&gt;=2,$AP220=0),1,0)</f>
        <v/>
      </c>
      <c r="AU220" s="31">
        <f>IF(AND($AL220=1,$U220&lt;&gt;"",$U220&lt;TODAY()),1,0)</f>
        <v/>
      </c>
      <c r="AV220" s="31">
        <f>IF(OR($A220="",$AJ220="",Portfolio!$B$10=""),0,IF($AJ220&lt;=Portfolio!$B$10,0,IF(AND($D220="Completed",$Z220=1),1,IF(AND($D220="Terminated",$Z220=1),2,IF(AND($Q220=1,$Z220=0),3,0)))))</f>
        <v/>
      </c>
      <c r="AW220" s="31">
        <f>IF($AV220&gt;0,COUNTIF($AV$6:$AV220,"&gt;0"),"")</f>
        <v/>
      </c>
      <c r="AX220" s="31">
        <f>IF($AL220=0,"",IF(AND($B220="Project",$H220&lt;&gt;"",$H220&lt;TODAY()),"Planned finish "&amp;TEXT($H220,"d mmm")&amp;" has passed",IF($X220&gt;=2,(NETWORKDAYS($H220,$U220)-1)&amp;" working days past plan","")))</f>
        <v/>
      </c>
      <c r="AY220" s="31">
        <f>IF($AL220=0,"",IF($Y220&gt;=2,"Over budget by "&amp;TEXT(IF($B220="Program",$V220,$J220)-$K220,"#,##0"),""))</f>
        <v/>
      </c>
      <c r="AZ220" s="31">
        <f>IF(AND($AL220=1,$U220&lt;&gt;""),IF(AND(N($U220)&gt;=TODAY(),N($U220)&lt;=TODAY()+Board!$B$41),1,0),0)</f>
        <v/>
      </c>
    </row>
    <row r="221">
      <c r="A221" s="29" t="n"/>
      <c r="B221" s="29" t="n"/>
      <c r="C221" s="29" t="n"/>
      <c r="D221" s="29" t="n"/>
      <c r="E221" s="29" t="n"/>
      <c r="F221" s="29" t="n"/>
      <c r="G221" s="29" t="n"/>
      <c r="H221" s="30" t="n"/>
      <c r="I221" s="30" t="n"/>
      <c r="J221" s="19" t="n"/>
      <c r="K221" s="19" t="n"/>
      <c r="L221" s="26" t="n"/>
      <c r="M221" s="31">
        <f>IF($A221="","",IF($D221="","Not read",IF($Q221=0,"Not counted",IF(MAX($X221,$Y221)=3,"■ Red",IF(MAX($X221,$Y221)=2,"◧ Amber",IF(MAX($X221,$Y221)=1,"□ On track","Not read"))))))</f>
        <v/>
      </c>
      <c r="N221" s="31">
        <f>IF(OR($A221="",$B221&lt;&gt;"Program"),"","■ "&amp;COUNTIFS($C$6:$C$305,$A221,$M$6:$M$305,"■ Red")&amp;" Red, ◧ "&amp;COUNTIFS($C$6:$C$305,$A221,$M$6:$M$305,"◧ Amber")&amp;" Amber")</f>
        <v/>
      </c>
      <c r="O221" s="32">
        <f>IF(OR($A221="",$E221=""),"",COUNTIFS($E$6:$E$305,$E221,$D$6:$D$305,"Active")+COUNTIFS($E$6:$E$305,$E221,$D$6:$D$305,"Paused"))</f>
        <v/>
      </c>
      <c r="P221" s="31">
        <f>IF($A221="","",IF($AE221=0,"○ Clear",IF($AA221=1,"△ No owner",IF($AC221=1,"△ Check Sits under",IF($AC221=2,"△ Outside the portfolio",IF($AB221=1,"△ No sponsor","△ No variance note"))))&amp;IF($AE221&gt;1," (+"&amp;($AE221-1)&amp;" more)","")))</f>
        <v/>
      </c>
      <c r="Q221" s="31">
        <f>IF(AND($A221&lt;&gt;"",OR($D221="Active",$D221="Paused")),1,0)</f>
        <v/>
      </c>
      <c r="R221" s="31">
        <f>IFERROR(INDEX($A$6:$A$305,MATCH(214,$S$6:$S$305,0)),"")</f>
        <v/>
      </c>
      <c r="S221" s="31">
        <f>IF(AND($A221&lt;&gt;"",$B221="Program"),COUNTIFS($B$6:$B221,"Program",$A$6:$A221,"&lt;&gt;"),"")</f>
        <v/>
      </c>
      <c r="T221" s="33">
        <f>IF(AND($A221&lt;&gt;"",$B221="Program"),SUMPRODUCT(MAX(($C$6:$C$305=$A221)*($B$6:$B$305="Project")*($D$6:$D$305&lt;&gt;"Proposed")*$I$6:$I$305)),0)</f>
        <v/>
      </c>
      <c r="U221" s="33">
        <f>IF($I221&lt;&gt;"",$I221,IF($T221&gt;0,$T221,""))</f>
        <v/>
      </c>
      <c r="V221" s="31">
        <f>IF(AND($A221&lt;&gt;"",$B221="Program"),SUMIFS($J$6:$J$305,$C$6:$C$305,$A221,$B$6:$B$305,"Project",$D$6:$D$305,"&lt;&gt;Proposed"),0)</f>
        <v/>
      </c>
      <c r="W221" s="31">
        <f>IF(AND($A221&lt;&gt;"",$B221="Program"),COUNTIFS($C$6:$C$305,$A221,$B$6:$B$305,"Project",$D$6:$D$305,"&lt;&gt;Proposed")-COUNTIFS($C$6:$C$305,$A221,$B$6:$B$305,"Project",$D$6:$D$305,"&lt;&gt;Proposed",$J$6:$J$305,"&gt;=0"),0)</f>
        <v/>
      </c>
      <c r="X221" s="31">
        <f>IF(OR($Q221=0,$H221=""),0,IF(AND($B221="Project",$H221&lt;TODAY()),3,IF($U221="",0,IF($U221&lt;=$H221,1,IF(NETWORKDAYS($H221,$U221)-1&gt;IF($B221="Program",Portfolio!$B$16,Portfolio!$B$15),3,2)))))</f>
        <v/>
      </c>
      <c r="Y221" s="31">
        <f>IF(OR($Q221=0,$K221="",$K221=0),0,IF(AND($B221="Project",$J221=""),0,IF(IF($B221="Program",$V221,$J221)&gt;$K221*(1+Portfolio!$B$17),3,IF(IF($B221="Program",$V221,$J221)&gt;$K221,2,IF(AND($B221="Program",OR($W221&gt;0,$V221=0)),0,1)))))</f>
        <v/>
      </c>
      <c r="Z221" s="31">
        <f>IF($A221="",0,IF($C221="Portfolio",1,IF(AND($B221="Project",$C221&lt;&gt;"",$C221&lt;&gt;"Outside the portfolio"),IFERROR(IF(AND(INDEX($B$6:$B$305,MATCH($C221,$A$6:$A$305,0))="Program",INDEX($C$6:$C$305,MATCH($C221,$A$6:$A$305,0))="Portfolio"),1,0),0),0)))</f>
        <v/>
      </c>
      <c r="AA221" s="31">
        <f>IF(AND($A221&lt;&gt;"",$E221="",OR($Q221=1,$D221="Proposed")),1,0)</f>
        <v/>
      </c>
      <c r="AB221" s="31">
        <f>IF(AND($A221&lt;&gt;"",$B221="Program",$F221="",$Q221=1),1,0)</f>
        <v/>
      </c>
      <c r="AC221" s="31">
        <f>IF(OR($A221="",$D221="Completed",$D221="Terminated"),0,IF($C221="",1,IF($C221="Portfolio",0,IF($C221="Outside the portfolio",IF($Q221=1,2,0),IF($B221="Project",IF(IFERROR(INDEX($B$6:$B$305,MATCH($C221,$A$6:$A$305,0)),"")="Program",0,1),1)))))</f>
        <v/>
      </c>
      <c r="AD221" s="31">
        <f>IF(AND($A221&lt;&gt;"",OR($M221="■ Red",$M221="◧ Amber"),$L221=""),1,0)</f>
        <v/>
      </c>
      <c r="AE221" s="31">
        <f>$AA221+$AB221+IF($AC221&gt;0,1,0)+$AD221</f>
        <v/>
      </c>
      <c r="AJ221" s="14" t="n"/>
      <c r="AK221" s="29" t="n"/>
      <c r="AL221" s="31">
        <f>IF(AND($Q221=1,$Z221=1),1,0)</f>
        <v/>
      </c>
      <c r="AM221" s="31">
        <f>IF(AND($AL221=1,$AJ221&lt;&gt;""),MAX(0,TODAY()-$AJ221),"")</f>
        <v/>
      </c>
      <c r="AN221" s="31">
        <f>IF(OR($AL221=0,COUNT($AJ$6:$AJ$305)=0),0,IF($AJ221="",1,IF(TODAY()-$AJ221&gt;Board!$B$40,1,0)))</f>
        <v/>
      </c>
      <c r="AO221" s="31">
        <f>IF($AL221=0,0,IF($M221="■ Red",3,IF($M221="◧ Amber",2,IF($M221="□ On track",1,0))))</f>
        <v/>
      </c>
      <c r="AP221" s="31">
        <f>IF($AL221=0,0,IF($AK221="Will not hold",3,IF($AK221="At risk",2,IF($AK221="Will hold",1,0))))</f>
        <v/>
      </c>
      <c r="AQ221" s="31">
        <f>IF($AL221=0,"",IF($AO221=3,0,IF($AO221=2,1,IF(AND($AP221&gt;=2,$AP221&gt;$AO221),2,""))))</f>
        <v/>
      </c>
      <c r="AR221" s="31">
        <f>IF($AQ221="","",$AQ221*1000+221)</f>
        <v/>
      </c>
      <c r="AS221" s="31">
        <f>IF(AND($AL221=1,$AO221&gt;=2,$AP221&gt;=1,$AP221&lt;$AO221),1,0)</f>
        <v/>
      </c>
      <c r="AT221" s="31">
        <f>IF(AND($AL221=1,$AO221&gt;=2,$AP221=0),1,0)</f>
        <v/>
      </c>
      <c r="AU221" s="31">
        <f>IF(AND($AL221=1,$U221&lt;&gt;"",$U221&lt;TODAY()),1,0)</f>
        <v/>
      </c>
      <c r="AV221" s="31">
        <f>IF(OR($A221="",$AJ221="",Portfolio!$B$10=""),0,IF($AJ221&lt;=Portfolio!$B$10,0,IF(AND($D221="Completed",$Z221=1),1,IF(AND($D221="Terminated",$Z221=1),2,IF(AND($Q221=1,$Z221=0),3,0)))))</f>
        <v/>
      </c>
      <c r="AW221" s="31">
        <f>IF($AV221&gt;0,COUNTIF($AV$6:$AV221,"&gt;0"),"")</f>
        <v/>
      </c>
      <c r="AX221" s="31">
        <f>IF($AL221=0,"",IF(AND($B221="Project",$H221&lt;&gt;"",$H221&lt;TODAY()),"Planned finish "&amp;TEXT($H221,"d mmm")&amp;" has passed",IF($X221&gt;=2,(NETWORKDAYS($H221,$U221)-1)&amp;" working days past plan","")))</f>
        <v/>
      </c>
      <c r="AY221" s="31">
        <f>IF($AL221=0,"",IF($Y221&gt;=2,"Over budget by "&amp;TEXT(IF($B221="Program",$V221,$J221)-$K221,"#,##0"),""))</f>
        <v/>
      </c>
      <c r="AZ221" s="31">
        <f>IF(AND($AL221=1,$U221&lt;&gt;""),IF(AND(N($U221)&gt;=TODAY(),N($U221)&lt;=TODAY()+Board!$B$41),1,0),0)</f>
        <v/>
      </c>
    </row>
    <row r="222">
      <c r="A222" s="29" t="n"/>
      <c r="B222" s="29" t="n"/>
      <c r="C222" s="29" t="n"/>
      <c r="D222" s="29" t="n"/>
      <c r="E222" s="29" t="n"/>
      <c r="F222" s="29" t="n"/>
      <c r="G222" s="29" t="n"/>
      <c r="H222" s="30" t="n"/>
      <c r="I222" s="30" t="n"/>
      <c r="J222" s="19" t="n"/>
      <c r="K222" s="19" t="n"/>
      <c r="L222" s="26" t="n"/>
      <c r="M222" s="31">
        <f>IF($A222="","",IF($D222="","Not read",IF($Q222=0,"Not counted",IF(MAX($X222,$Y222)=3,"■ Red",IF(MAX($X222,$Y222)=2,"◧ Amber",IF(MAX($X222,$Y222)=1,"□ On track","Not read"))))))</f>
        <v/>
      </c>
      <c r="N222" s="31">
        <f>IF(OR($A222="",$B222&lt;&gt;"Program"),"","■ "&amp;COUNTIFS($C$6:$C$305,$A222,$M$6:$M$305,"■ Red")&amp;" Red, ◧ "&amp;COUNTIFS($C$6:$C$305,$A222,$M$6:$M$305,"◧ Amber")&amp;" Amber")</f>
        <v/>
      </c>
      <c r="O222" s="32">
        <f>IF(OR($A222="",$E222=""),"",COUNTIFS($E$6:$E$305,$E222,$D$6:$D$305,"Active")+COUNTIFS($E$6:$E$305,$E222,$D$6:$D$305,"Paused"))</f>
        <v/>
      </c>
      <c r="P222" s="31">
        <f>IF($A222="","",IF($AE222=0,"○ Clear",IF($AA222=1,"△ No owner",IF($AC222=1,"△ Check Sits under",IF($AC222=2,"△ Outside the portfolio",IF($AB222=1,"△ No sponsor","△ No variance note"))))&amp;IF($AE222&gt;1," (+"&amp;($AE222-1)&amp;" more)","")))</f>
        <v/>
      </c>
      <c r="Q222" s="31">
        <f>IF(AND($A222&lt;&gt;"",OR($D222="Active",$D222="Paused")),1,0)</f>
        <v/>
      </c>
      <c r="R222" s="31">
        <f>IFERROR(INDEX($A$6:$A$305,MATCH(215,$S$6:$S$305,0)),"")</f>
        <v/>
      </c>
      <c r="S222" s="31">
        <f>IF(AND($A222&lt;&gt;"",$B222="Program"),COUNTIFS($B$6:$B222,"Program",$A$6:$A222,"&lt;&gt;"),"")</f>
        <v/>
      </c>
      <c r="T222" s="33">
        <f>IF(AND($A222&lt;&gt;"",$B222="Program"),SUMPRODUCT(MAX(($C$6:$C$305=$A222)*($B$6:$B$305="Project")*($D$6:$D$305&lt;&gt;"Proposed")*$I$6:$I$305)),0)</f>
        <v/>
      </c>
      <c r="U222" s="33">
        <f>IF($I222&lt;&gt;"",$I222,IF($T222&gt;0,$T222,""))</f>
        <v/>
      </c>
      <c r="V222" s="31">
        <f>IF(AND($A222&lt;&gt;"",$B222="Program"),SUMIFS($J$6:$J$305,$C$6:$C$305,$A222,$B$6:$B$305,"Project",$D$6:$D$305,"&lt;&gt;Proposed"),0)</f>
        <v/>
      </c>
      <c r="W222" s="31">
        <f>IF(AND($A222&lt;&gt;"",$B222="Program"),COUNTIFS($C$6:$C$305,$A222,$B$6:$B$305,"Project",$D$6:$D$305,"&lt;&gt;Proposed")-COUNTIFS($C$6:$C$305,$A222,$B$6:$B$305,"Project",$D$6:$D$305,"&lt;&gt;Proposed",$J$6:$J$305,"&gt;=0"),0)</f>
        <v/>
      </c>
      <c r="X222" s="31">
        <f>IF(OR($Q222=0,$H222=""),0,IF(AND($B222="Project",$H222&lt;TODAY()),3,IF($U222="",0,IF($U222&lt;=$H222,1,IF(NETWORKDAYS($H222,$U222)-1&gt;IF($B222="Program",Portfolio!$B$16,Portfolio!$B$15),3,2)))))</f>
        <v/>
      </c>
      <c r="Y222" s="31">
        <f>IF(OR($Q222=0,$K222="",$K222=0),0,IF(AND($B222="Project",$J222=""),0,IF(IF($B222="Program",$V222,$J222)&gt;$K222*(1+Portfolio!$B$17),3,IF(IF($B222="Program",$V222,$J222)&gt;$K222,2,IF(AND($B222="Program",OR($W222&gt;0,$V222=0)),0,1)))))</f>
        <v/>
      </c>
      <c r="Z222" s="31">
        <f>IF($A222="",0,IF($C222="Portfolio",1,IF(AND($B222="Project",$C222&lt;&gt;"",$C222&lt;&gt;"Outside the portfolio"),IFERROR(IF(AND(INDEX($B$6:$B$305,MATCH($C222,$A$6:$A$305,0))="Program",INDEX($C$6:$C$305,MATCH($C222,$A$6:$A$305,0))="Portfolio"),1,0),0),0)))</f>
        <v/>
      </c>
      <c r="AA222" s="31">
        <f>IF(AND($A222&lt;&gt;"",$E222="",OR($Q222=1,$D222="Proposed")),1,0)</f>
        <v/>
      </c>
      <c r="AB222" s="31">
        <f>IF(AND($A222&lt;&gt;"",$B222="Program",$F222="",$Q222=1),1,0)</f>
        <v/>
      </c>
      <c r="AC222" s="31">
        <f>IF(OR($A222="",$D222="Completed",$D222="Terminated"),0,IF($C222="",1,IF($C222="Portfolio",0,IF($C222="Outside the portfolio",IF($Q222=1,2,0),IF($B222="Project",IF(IFERROR(INDEX($B$6:$B$305,MATCH($C222,$A$6:$A$305,0)),"")="Program",0,1),1)))))</f>
        <v/>
      </c>
      <c r="AD222" s="31">
        <f>IF(AND($A222&lt;&gt;"",OR($M222="■ Red",$M222="◧ Amber"),$L222=""),1,0)</f>
        <v/>
      </c>
      <c r="AE222" s="31">
        <f>$AA222+$AB222+IF($AC222&gt;0,1,0)+$AD222</f>
        <v/>
      </c>
      <c r="AJ222" s="14" t="n"/>
      <c r="AK222" s="29" t="n"/>
      <c r="AL222" s="31">
        <f>IF(AND($Q222=1,$Z222=1),1,0)</f>
        <v/>
      </c>
      <c r="AM222" s="31">
        <f>IF(AND($AL222=1,$AJ222&lt;&gt;""),MAX(0,TODAY()-$AJ222),"")</f>
        <v/>
      </c>
      <c r="AN222" s="31">
        <f>IF(OR($AL222=0,COUNT($AJ$6:$AJ$305)=0),0,IF($AJ222="",1,IF(TODAY()-$AJ222&gt;Board!$B$40,1,0)))</f>
        <v/>
      </c>
      <c r="AO222" s="31">
        <f>IF($AL222=0,0,IF($M222="■ Red",3,IF($M222="◧ Amber",2,IF($M222="□ On track",1,0))))</f>
        <v/>
      </c>
      <c r="AP222" s="31">
        <f>IF($AL222=0,0,IF($AK222="Will not hold",3,IF($AK222="At risk",2,IF($AK222="Will hold",1,0))))</f>
        <v/>
      </c>
      <c r="AQ222" s="31">
        <f>IF($AL222=0,"",IF($AO222=3,0,IF($AO222=2,1,IF(AND($AP222&gt;=2,$AP222&gt;$AO222),2,""))))</f>
        <v/>
      </c>
      <c r="AR222" s="31">
        <f>IF($AQ222="","",$AQ222*1000+222)</f>
        <v/>
      </c>
      <c r="AS222" s="31">
        <f>IF(AND($AL222=1,$AO222&gt;=2,$AP222&gt;=1,$AP222&lt;$AO222),1,0)</f>
        <v/>
      </c>
      <c r="AT222" s="31">
        <f>IF(AND($AL222=1,$AO222&gt;=2,$AP222=0),1,0)</f>
        <v/>
      </c>
      <c r="AU222" s="31">
        <f>IF(AND($AL222=1,$U222&lt;&gt;"",$U222&lt;TODAY()),1,0)</f>
        <v/>
      </c>
      <c r="AV222" s="31">
        <f>IF(OR($A222="",$AJ222="",Portfolio!$B$10=""),0,IF($AJ222&lt;=Portfolio!$B$10,0,IF(AND($D222="Completed",$Z222=1),1,IF(AND($D222="Terminated",$Z222=1),2,IF(AND($Q222=1,$Z222=0),3,0)))))</f>
        <v/>
      </c>
      <c r="AW222" s="31">
        <f>IF($AV222&gt;0,COUNTIF($AV$6:$AV222,"&gt;0"),"")</f>
        <v/>
      </c>
      <c r="AX222" s="31">
        <f>IF($AL222=0,"",IF(AND($B222="Project",$H222&lt;&gt;"",$H222&lt;TODAY()),"Planned finish "&amp;TEXT($H222,"d mmm")&amp;" has passed",IF($X222&gt;=2,(NETWORKDAYS($H222,$U222)-1)&amp;" working days past plan","")))</f>
        <v/>
      </c>
      <c r="AY222" s="31">
        <f>IF($AL222=0,"",IF($Y222&gt;=2,"Over budget by "&amp;TEXT(IF($B222="Program",$V222,$J222)-$K222,"#,##0"),""))</f>
        <v/>
      </c>
      <c r="AZ222" s="31">
        <f>IF(AND($AL222=1,$U222&lt;&gt;""),IF(AND(N($U222)&gt;=TODAY(),N($U222)&lt;=TODAY()+Board!$B$41),1,0),0)</f>
        <v/>
      </c>
    </row>
    <row r="223">
      <c r="A223" s="29" t="n"/>
      <c r="B223" s="29" t="n"/>
      <c r="C223" s="29" t="n"/>
      <c r="D223" s="29" t="n"/>
      <c r="E223" s="29" t="n"/>
      <c r="F223" s="29" t="n"/>
      <c r="G223" s="29" t="n"/>
      <c r="H223" s="30" t="n"/>
      <c r="I223" s="30" t="n"/>
      <c r="J223" s="19" t="n"/>
      <c r="K223" s="19" t="n"/>
      <c r="L223" s="26" t="n"/>
      <c r="M223" s="31">
        <f>IF($A223="","",IF($D223="","Not read",IF($Q223=0,"Not counted",IF(MAX($X223,$Y223)=3,"■ Red",IF(MAX($X223,$Y223)=2,"◧ Amber",IF(MAX($X223,$Y223)=1,"□ On track","Not read"))))))</f>
        <v/>
      </c>
      <c r="N223" s="31">
        <f>IF(OR($A223="",$B223&lt;&gt;"Program"),"","■ "&amp;COUNTIFS($C$6:$C$305,$A223,$M$6:$M$305,"■ Red")&amp;" Red, ◧ "&amp;COUNTIFS($C$6:$C$305,$A223,$M$6:$M$305,"◧ Amber")&amp;" Amber")</f>
        <v/>
      </c>
      <c r="O223" s="32">
        <f>IF(OR($A223="",$E223=""),"",COUNTIFS($E$6:$E$305,$E223,$D$6:$D$305,"Active")+COUNTIFS($E$6:$E$305,$E223,$D$6:$D$305,"Paused"))</f>
        <v/>
      </c>
      <c r="P223" s="31">
        <f>IF($A223="","",IF($AE223=0,"○ Clear",IF($AA223=1,"△ No owner",IF($AC223=1,"△ Check Sits under",IF($AC223=2,"△ Outside the portfolio",IF($AB223=1,"△ No sponsor","△ No variance note"))))&amp;IF($AE223&gt;1," (+"&amp;($AE223-1)&amp;" more)","")))</f>
        <v/>
      </c>
      <c r="Q223" s="31">
        <f>IF(AND($A223&lt;&gt;"",OR($D223="Active",$D223="Paused")),1,0)</f>
        <v/>
      </c>
      <c r="R223" s="31">
        <f>IFERROR(INDEX($A$6:$A$305,MATCH(216,$S$6:$S$305,0)),"")</f>
        <v/>
      </c>
      <c r="S223" s="31">
        <f>IF(AND($A223&lt;&gt;"",$B223="Program"),COUNTIFS($B$6:$B223,"Program",$A$6:$A223,"&lt;&gt;"),"")</f>
        <v/>
      </c>
      <c r="T223" s="33">
        <f>IF(AND($A223&lt;&gt;"",$B223="Program"),SUMPRODUCT(MAX(($C$6:$C$305=$A223)*($B$6:$B$305="Project")*($D$6:$D$305&lt;&gt;"Proposed")*$I$6:$I$305)),0)</f>
        <v/>
      </c>
      <c r="U223" s="33">
        <f>IF($I223&lt;&gt;"",$I223,IF($T223&gt;0,$T223,""))</f>
        <v/>
      </c>
      <c r="V223" s="31">
        <f>IF(AND($A223&lt;&gt;"",$B223="Program"),SUMIFS($J$6:$J$305,$C$6:$C$305,$A223,$B$6:$B$305,"Project",$D$6:$D$305,"&lt;&gt;Proposed"),0)</f>
        <v/>
      </c>
      <c r="W223" s="31">
        <f>IF(AND($A223&lt;&gt;"",$B223="Program"),COUNTIFS($C$6:$C$305,$A223,$B$6:$B$305,"Project",$D$6:$D$305,"&lt;&gt;Proposed")-COUNTIFS($C$6:$C$305,$A223,$B$6:$B$305,"Project",$D$6:$D$305,"&lt;&gt;Proposed",$J$6:$J$305,"&gt;=0"),0)</f>
        <v/>
      </c>
      <c r="X223" s="31">
        <f>IF(OR($Q223=0,$H223=""),0,IF(AND($B223="Project",$H223&lt;TODAY()),3,IF($U223="",0,IF($U223&lt;=$H223,1,IF(NETWORKDAYS($H223,$U223)-1&gt;IF($B223="Program",Portfolio!$B$16,Portfolio!$B$15),3,2)))))</f>
        <v/>
      </c>
      <c r="Y223" s="31">
        <f>IF(OR($Q223=0,$K223="",$K223=0),0,IF(AND($B223="Project",$J223=""),0,IF(IF($B223="Program",$V223,$J223)&gt;$K223*(1+Portfolio!$B$17),3,IF(IF($B223="Program",$V223,$J223)&gt;$K223,2,IF(AND($B223="Program",OR($W223&gt;0,$V223=0)),0,1)))))</f>
        <v/>
      </c>
      <c r="Z223" s="31">
        <f>IF($A223="",0,IF($C223="Portfolio",1,IF(AND($B223="Project",$C223&lt;&gt;"",$C223&lt;&gt;"Outside the portfolio"),IFERROR(IF(AND(INDEX($B$6:$B$305,MATCH($C223,$A$6:$A$305,0))="Program",INDEX($C$6:$C$305,MATCH($C223,$A$6:$A$305,0))="Portfolio"),1,0),0),0)))</f>
        <v/>
      </c>
      <c r="AA223" s="31">
        <f>IF(AND($A223&lt;&gt;"",$E223="",OR($Q223=1,$D223="Proposed")),1,0)</f>
        <v/>
      </c>
      <c r="AB223" s="31">
        <f>IF(AND($A223&lt;&gt;"",$B223="Program",$F223="",$Q223=1),1,0)</f>
        <v/>
      </c>
      <c r="AC223" s="31">
        <f>IF(OR($A223="",$D223="Completed",$D223="Terminated"),0,IF($C223="",1,IF($C223="Portfolio",0,IF($C223="Outside the portfolio",IF($Q223=1,2,0),IF($B223="Project",IF(IFERROR(INDEX($B$6:$B$305,MATCH($C223,$A$6:$A$305,0)),"")="Program",0,1),1)))))</f>
        <v/>
      </c>
      <c r="AD223" s="31">
        <f>IF(AND($A223&lt;&gt;"",OR($M223="■ Red",$M223="◧ Amber"),$L223=""),1,0)</f>
        <v/>
      </c>
      <c r="AE223" s="31">
        <f>$AA223+$AB223+IF($AC223&gt;0,1,0)+$AD223</f>
        <v/>
      </c>
      <c r="AJ223" s="14" t="n"/>
      <c r="AK223" s="29" t="n"/>
      <c r="AL223" s="31">
        <f>IF(AND($Q223=1,$Z223=1),1,0)</f>
        <v/>
      </c>
      <c r="AM223" s="31">
        <f>IF(AND($AL223=1,$AJ223&lt;&gt;""),MAX(0,TODAY()-$AJ223),"")</f>
        <v/>
      </c>
      <c r="AN223" s="31">
        <f>IF(OR($AL223=0,COUNT($AJ$6:$AJ$305)=0),0,IF($AJ223="",1,IF(TODAY()-$AJ223&gt;Board!$B$40,1,0)))</f>
        <v/>
      </c>
      <c r="AO223" s="31">
        <f>IF($AL223=0,0,IF($M223="■ Red",3,IF($M223="◧ Amber",2,IF($M223="□ On track",1,0))))</f>
        <v/>
      </c>
      <c r="AP223" s="31">
        <f>IF($AL223=0,0,IF($AK223="Will not hold",3,IF($AK223="At risk",2,IF($AK223="Will hold",1,0))))</f>
        <v/>
      </c>
      <c r="AQ223" s="31">
        <f>IF($AL223=0,"",IF($AO223=3,0,IF($AO223=2,1,IF(AND($AP223&gt;=2,$AP223&gt;$AO223),2,""))))</f>
        <v/>
      </c>
      <c r="AR223" s="31">
        <f>IF($AQ223="","",$AQ223*1000+223)</f>
        <v/>
      </c>
      <c r="AS223" s="31">
        <f>IF(AND($AL223=1,$AO223&gt;=2,$AP223&gt;=1,$AP223&lt;$AO223),1,0)</f>
        <v/>
      </c>
      <c r="AT223" s="31">
        <f>IF(AND($AL223=1,$AO223&gt;=2,$AP223=0),1,0)</f>
        <v/>
      </c>
      <c r="AU223" s="31">
        <f>IF(AND($AL223=1,$U223&lt;&gt;"",$U223&lt;TODAY()),1,0)</f>
        <v/>
      </c>
      <c r="AV223" s="31">
        <f>IF(OR($A223="",$AJ223="",Portfolio!$B$10=""),0,IF($AJ223&lt;=Portfolio!$B$10,0,IF(AND($D223="Completed",$Z223=1),1,IF(AND($D223="Terminated",$Z223=1),2,IF(AND($Q223=1,$Z223=0),3,0)))))</f>
        <v/>
      </c>
      <c r="AW223" s="31">
        <f>IF($AV223&gt;0,COUNTIF($AV$6:$AV223,"&gt;0"),"")</f>
        <v/>
      </c>
      <c r="AX223" s="31">
        <f>IF($AL223=0,"",IF(AND($B223="Project",$H223&lt;&gt;"",$H223&lt;TODAY()),"Planned finish "&amp;TEXT($H223,"d mmm")&amp;" has passed",IF($X223&gt;=2,(NETWORKDAYS($H223,$U223)-1)&amp;" working days past plan","")))</f>
        <v/>
      </c>
      <c r="AY223" s="31">
        <f>IF($AL223=0,"",IF($Y223&gt;=2,"Over budget by "&amp;TEXT(IF($B223="Program",$V223,$J223)-$K223,"#,##0"),""))</f>
        <v/>
      </c>
      <c r="AZ223" s="31">
        <f>IF(AND($AL223=1,$U223&lt;&gt;""),IF(AND(N($U223)&gt;=TODAY(),N($U223)&lt;=TODAY()+Board!$B$41),1,0),0)</f>
        <v/>
      </c>
    </row>
    <row r="224">
      <c r="A224" s="29" t="n"/>
      <c r="B224" s="29" t="n"/>
      <c r="C224" s="29" t="n"/>
      <c r="D224" s="29" t="n"/>
      <c r="E224" s="29" t="n"/>
      <c r="F224" s="29" t="n"/>
      <c r="G224" s="29" t="n"/>
      <c r="H224" s="30" t="n"/>
      <c r="I224" s="30" t="n"/>
      <c r="J224" s="19" t="n"/>
      <c r="K224" s="19" t="n"/>
      <c r="L224" s="26" t="n"/>
      <c r="M224" s="31">
        <f>IF($A224="","",IF($D224="","Not read",IF($Q224=0,"Not counted",IF(MAX($X224,$Y224)=3,"■ Red",IF(MAX($X224,$Y224)=2,"◧ Amber",IF(MAX($X224,$Y224)=1,"□ On track","Not read"))))))</f>
        <v/>
      </c>
      <c r="N224" s="31">
        <f>IF(OR($A224="",$B224&lt;&gt;"Program"),"","■ "&amp;COUNTIFS($C$6:$C$305,$A224,$M$6:$M$305,"■ Red")&amp;" Red, ◧ "&amp;COUNTIFS($C$6:$C$305,$A224,$M$6:$M$305,"◧ Amber")&amp;" Amber")</f>
        <v/>
      </c>
      <c r="O224" s="32">
        <f>IF(OR($A224="",$E224=""),"",COUNTIFS($E$6:$E$305,$E224,$D$6:$D$305,"Active")+COUNTIFS($E$6:$E$305,$E224,$D$6:$D$305,"Paused"))</f>
        <v/>
      </c>
      <c r="P224" s="31">
        <f>IF($A224="","",IF($AE224=0,"○ Clear",IF($AA224=1,"△ No owner",IF($AC224=1,"△ Check Sits under",IF($AC224=2,"△ Outside the portfolio",IF($AB224=1,"△ No sponsor","△ No variance note"))))&amp;IF($AE224&gt;1," (+"&amp;($AE224-1)&amp;" more)","")))</f>
        <v/>
      </c>
      <c r="Q224" s="31">
        <f>IF(AND($A224&lt;&gt;"",OR($D224="Active",$D224="Paused")),1,0)</f>
        <v/>
      </c>
      <c r="R224" s="31">
        <f>IFERROR(INDEX($A$6:$A$305,MATCH(217,$S$6:$S$305,0)),"")</f>
        <v/>
      </c>
      <c r="S224" s="31">
        <f>IF(AND($A224&lt;&gt;"",$B224="Program"),COUNTIFS($B$6:$B224,"Program",$A$6:$A224,"&lt;&gt;"),"")</f>
        <v/>
      </c>
      <c r="T224" s="33">
        <f>IF(AND($A224&lt;&gt;"",$B224="Program"),SUMPRODUCT(MAX(($C$6:$C$305=$A224)*($B$6:$B$305="Project")*($D$6:$D$305&lt;&gt;"Proposed")*$I$6:$I$305)),0)</f>
        <v/>
      </c>
      <c r="U224" s="33">
        <f>IF($I224&lt;&gt;"",$I224,IF($T224&gt;0,$T224,""))</f>
        <v/>
      </c>
      <c r="V224" s="31">
        <f>IF(AND($A224&lt;&gt;"",$B224="Program"),SUMIFS($J$6:$J$305,$C$6:$C$305,$A224,$B$6:$B$305,"Project",$D$6:$D$305,"&lt;&gt;Proposed"),0)</f>
        <v/>
      </c>
      <c r="W224" s="31">
        <f>IF(AND($A224&lt;&gt;"",$B224="Program"),COUNTIFS($C$6:$C$305,$A224,$B$6:$B$305,"Project",$D$6:$D$305,"&lt;&gt;Proposed")-COUNTIFS($C$6:$C$305,$A224,$B$6:$B$305,"Project",$D$6:$D$305,"&lt;&gt;Proposed",$J$6:$J$305,"&gt;=0"),0)</f>
        <v/>
      </c>
      <c r="X224" s="31">
        <f>IF(OR($Q224=0,$H224=""),0,IF(AND($B224="Project",$H224&lt;TODAY()),3,IF($U224="",0,IF($U224&lt;=$H224,1,IF(NETWORKDAYS($H224,$U224)-1&gt;IF($B224="Program",Portfolio!$B$16,Portfolio!$B$15),3,2)))))</f>
        <v/>
      </c>
      <c r="Y224" s="31">
        <f>IF(OR($Q224=0,$K224="",$K224=0),0,IF(AND($B224="Project",$J224=""),0,IF(IF($B224="Program",$V224,$J224)&gt;$K224*(1+Portfolio!$B$17),3,IF(IF($B224="Program",$V224,$J224)&gt;$K224,2,IF(AND($B224="Program",OR($W224&gt;0,$V224=0)),0,1)))))</f>
        <v/>
      </c>
      <c r="Z224" s="31">
        <f>IF($A224="",0,IF($C224="Portfolio",1,IF(AND($B224="Project",$C224&lt;&gt;"",$C224&lt;&gt;"Outside the portfolio"),IFERROR(IF(AND(INDEX($B$6:$B$305,MATCH($C224,$A$6:$A$305,0))="Program",INDEX($C$6:$C$305,MATCH($C224,$A$6:$A$305,0))="Portfolio"),1,0),0),0)))</f>
        <v/>
      </c>
      <c r="AA224" s="31">
        <f>IF(AND($A224&lt;&gt;"",$E224="",OR($Q224=1,$D224="Proposed")),1,0)</f>
        <v/>
      </c>
      <c r="AB224" s="31">
        <f>IF(AND($A224&lt;&gt;"",$B224="Program",$F224="",$Q224=1),1,0)</f>
        <v/>
      </c>
      <c r="AC224" s="31">
        <f>IF(OR($A224="",$D224="Completed",$D224="Terminated"),0,IF($C224="",1,IF($C224="Portfolio",0,IF($C224="Outside the portfolio",IF($Q224=1,2,0),IF($B224="Project",IF(IFERROR(INDEX($B$6:$B$305,MATCH($C224,$A$6:$A$305,0)),"")="Program",0,1),1)))))</f>
        <v/>
      </c>
      <c r="AD224" s="31">
        <f>IF(AND($A224&lt;&gt;"",OR($M224="■ Red",$M224="◧ Amber"),$L224=""),1,0)</f>
        <v/>
      </c>
      <c r="AE224" s="31">
        <f>$AA224+$AB224+IF($AC224&gt;0,1,0)+$AD224</f>
        <v/>
      </c>
      <c r="AJ224" s="14" t="n"/>
      <c r="AK224" s="29" t="n"/>
      <c r="AL224" s="31">
        <f>IF(AND($Q224=1,$Z224=1),1,0)</f>
        <v/>
      </c>
      <c r="AM224" s="31">
        <f>IF(AND($AL224=1,$AJ224&lt;&gt;""),MAX(0,TODAY()-$AJ224),"")</f>
        <v/>
      </c>
      <c r="AN224" s="31">
        <f>IF(OR($AL224=0,COUNT($AJ$6:$AJ$305)=0),0,IF($AJ224="",1,IF(TODAY()-$AJ224&gt;Board!$B$40,1,0)))</f>
        <v/>
      </c>
      <c r="AO224" s="31">
        <f>IF($AL224=0,0,IF($M224="■ Red",3,IF($M224="◧ Amber",2,IF($M224="□ On track",1,0))))</f>
        <v/>
      </c>
      <c r="AP224" s="31">
        <f>IF($AL224=0,0,IF($AK224="Will not hold",3,IF($AK224="At risk",2,IF($AK224="Will hold",1,0))))</f>
        <v/>
      </c>
      <c r="AQ224" s="31">
        <f>IF($AL224=0,"",IF($AO224=3,0,IF($AO224=2,1,IF(AND($AP224&gt;=2,$AP224&gt;$AO224),2,""))))</f>
        <v/>
      </c>
      <c r="AR224" s="31">
        <f>IF($AQ224="","",$AQ224*1000+224)</f>
        <v/>
      </c>
      <c r="AS224" s="31">
        <f>IF(AND($AL224=1,$AO224&gt;=2,$AP224&gt;=1,$AP224&lt;$AO224),1,0)</f>
        <v/>
      </c>
      <c r="AT224" s="31">
        <f>IF(AND($AL224=1,$AO224&gt;=2,$AP224=0),1,0)</f>
        <v/>
      </c>
      <c r="AU224" s="31">
        <f>IF(AND($AL224=1,$U224&lt;&gt;"",$U224&lt;TODAY()),1,0)</f>
        <v/>
      </c>
      <c r="AV224" s="31">
        <f>IF(OR($A224="",$AJ224="",Portfolio!$B$10=""),0,IF($AJ224&lt;=Portfolio!$B$10,0,IF(AND($D224="Completed",$Z224=1),1,IF(AND($D224="Terminated",$Z224=1),2,IF(AND($Q224=1,$Z224=0),3,0)))))</f>
        <v/>
      </c>
      <c r="AW224" s="31">
        <f>IF($AV224&gt;0,COUNTIF($AV$6:$AV224,"&gt;0"),"")</f>
        <v/>
      </c>
      <c r="AX224" s="31">
        <f>IF($AL224=0,"",IF(AND($B224="Project",$H224&lt;&gt;"",$H224&lt;TODAY()),"Planned finish "&amp;TEXT($H224,"d mmm")&amp;" has passed",IF($X224&gt;=2,(NETWORKDAYS($H224,$U224)-1)&amp;" working days past plan","")))</f>
        <v/>
      </c>
      <c r="AY224" s="31">
        <f>IF($AL224=0,"",IF($Y224&gt;=2,"Over budget by "&amp;TEXT(IF($B224="Program",$V224,$J224)-$K224,"#,##0"),""))</f>
        <v/>
      </c>
      <c r="AZ224" s="31">
        <f>IF(AND($AL224=1,$U224&lt;&gt;""),IF(AND(N($U224)&gt;=TODAY(),N($U224)&lt;=TODAY()+Board!$B$41),1,0),0)</f>
        <v/>
      </c>
    </row>
    <row r="225">
      <c r="A225" s="29" t="n"/>
      <c r="B225" s="29" t="n"/>
      <c r="C225" s="29" t="n"/>
      <c r="D225" s="29" t="n"/>
      <c r="E225" s="29" t="n"/>
      <c r="F225" s="29" t="n"/>
      <c r="G225" s="29" t="n"/>
      <c r="H225" s="30" t="n"/>
      <c r="I225" s="30" t="n"/>
      <c r="J225" s="19" t="n"/>
      <c r="K225" s="19" t="n"/>
      <c r="L225" s="26" t="n"/>
      <c r="M225" s="31">
        <f>IF($A225="","",IF($D225="","Not read",IF($Q225=0,"Not counted",IF(MAX($X225,$Y225)=3,"■ Red",IF(MAX($X225,$Y225)=2,"◧ Amber",IF(MAX($X225,$Y225)=1,"□ On track","Not read"))))))</f>
        <v/>
      </c>
      <c r="N225" s="31">
        <f>IF(OR($A225="",$B225&lt;&gt;"Program"),"","■ "&amp;COUNTIFS($C$6:$C$305,$A225,$M$6:$M$305,"■ Red")&amp;" Red, ◧ "&amp;COUNTIFS($C$6:$C$305,$A225,$M$6:$M$305,"◧ Amber")&amp;" Amber")</f>
        <v/>
      </c>
      <c r="O225" s="32">
        <f>IF(OR($A225="",$E225=""),"",COUNTIFS($E$6:$E$305,$E225,$D$6:$D$305,"Active")+COUNTIFS($E$6:$E$305,$E225,$D$6:$D$305,"Paused"))</f>
        <v/>
      </c>
      <c r="P225" s="31">
        <f>IF($A225="","",IF($AE225=0,"○ Clear",IF($AA225=1,"△ No owner",IF($AC225=1,"△ Check Sits under",IF($AC225=2,"△ Outside the portfolio",IF($AB225=1,"△ No sponsor","△ No variance note"))))&amp;IF($AE225&gt;1," (+"&amp;($AE225-1)&amp;" more)","")))</f>
        <v/>
      </c>
      <c r="Q225" s="31">
        <f>IF(AND($A225&lt;&gt;"",OR($D225="Active",$D225="Paused")),1,0)</f>
        <v/>
      </c>
      <c r="R225" s="31">
        <f>IFERROR(INDEX($A$6:$A$305,MATCH(218,$S$6:$S$305,0)),"")</f>
        <v/>
      </c>
      <c r="S225" s="31">
        <f>IF(AND($A225&lt;&gt;"",$B225="Program"),COUNTIFS($B$6:$B225,"Program",$A$6:$A225,"&lt;&gt;"),"")</f>
        <v/>
      </c>
      <c r="T225" s="33">
        <f>IF(AND($A225&lt;&gt;"",$B225="Program"),SUMPRODUCT(MAX(($C$6:$C$305=$A225)*($B$6:$B$305="Project")*($D$6:$D$305&lt;&gt;"Proposed")*$I$6:$I$305)),0)</f>
        <v/>
      </c>
      <c r="U225" s="33">
        <f>IF($I225&lt;&gt;"",$I225,IF($T225&gt;0,$T225,""))</f>
        <v/>
      </c>
      <c r="V225" s="31">
        <f>IF(AND($A225&lt;&gt;"",$B225="Program"),SUMIFS($J$6:$J$305,$C$6:$C$305,$A225,$B$6:$B$305,"Project",$D$6:$D$305,"&lt;&gt;Proposed"),0)</f>
        <v/>
      </c>
      <c r="W225" s="31">
        <f>IF(AND($A225&lt;&gt;"",$B225="Program"),COUNTIFS($C$6:$C$305,$A225,$B$6:$B$305,"Project",$D$6:$D$305,"&lt;&gt;Proposed")-COUNTIFS($C$6:$C$305,$A225,$B$6:$B$305,"Project",$D$6:$D$305,"&lt;&gt;Proposed",$J$6:$J$305,"&gt;=0"),0)</f>
        <v/>
      </c>
      <c r="X225" s="31">
        <f>IF(OR($Q225=0,$H225=""),0,IF(AND($B225="Project",$H225&lt;TODAY()),3,IF($U225="",0,IF($U225&lt;=$H225,1,IF(NETWORKDAYS($H225,$U225)-1&gt;IF($B225="Program",Portfolio!$B$16,Portfolio!$B$15),3,2)))))</f>
        <v/>
      </c>
      <c r="Y225" s="31">
        <f>IF(OR($Q225=0,$K225="",$K225=0),0,IF(AND($B225="Project",$J225=""),0,IF(IF($B225="Program",$V225,$J225)&gt;$K225*(1+Portfolio!$B$17),3,IF(IF($B225="Program",$V225,$J225)&gt;$K225,2,IF(AND($B225="Program",OR($W225&gt;0,$V225=0)),0,1)))))</f>
        <v/>
      </c>
      <c r="Z225" s="31">
        <f>IF($A225="",0,IF($C225="Portfolio",1,IF(AND($B225="Project",$C225&lt;&gt;"",$C225&lt;&gt;"Outside the portfolio"),IFERROR(IF(AND(INDEX($B$6:$B$305,MATCH($C225,$A$6:$A$305,0))="Program",INDEX($C$6:$C$305,MATCH($C225,$A$6:$A$305,0))="Portfolio"),1,0),0),0)))</f>
        <v/>
      </c>
      <c r="AA225" s="31">
        <f>IF(AND($A225&lt;&gt;"",$E225="",OR($Q225=1,$D225="Proposed")),1,0)</f>
        <v/>
      </c>
      <c r="AB225" s="31">
        <f>IF(AND($A225&lt;&gt;"",$B225="Program",$F225="",$Q225=1),1,0)</f>
        <v/>
      </c>
      <c r="AC225" s="31">
        <f>IF(OR($A225="",$D225="Completed",$D225="Terminated"),0,IF($C225="",1,IF($C225="Portfolio",0,IF($C225="Outside the portfolio",IF($Q225=1,2,0),IF($B225="Project",IF(IFERROR(INDEX($B$6:$B$305,MATCH($C225,$A$6:$A$305,0)),"")="Program",0,1),1)))))</f>
        <v/>
      </c>
      <c r="AD225" s="31">
        <f>IF(AND($A225&lt;&gt;"",OR($M225="■ Red",$M225="◧ Amber"),$L225=""),1,0)</f>
        <v/>
      </c>
      <c r="AE225" s="31">
        <f>$AA225+$AB225+IF($AC225&gt;0,1,0)+$AD225</f>
        <v/>
      </c>
      <c r="AJ225" s="14" t="n"/>
      <c r="AK225" s="29" t="n"/>
      <c r="AL225" s="31">
        <f>IF(AND($Q225=1,$Z225=1),1,0)</f>
        <v/>
      </c>
      <c r="AM225" s="31">
        <f>IF(AND($AL225=1,$AJ225&lt;&gt;""),MAX(0,TODAY()-$AJ225),"")</f>
        <v/>
      </c>
      <c r="AN225" s="31">
        <f>IF(OR($AL225=0,COUNT($AJ$6:$AJ$305)=0),0,IF($AJ225="",1,IF(TODAY()-$AJ225&gt;Board!$B$40,1,0)))</f>
        <v/>
      </c>
      <c r="AO225" s="31">
        <f>IF($AL225=0,0,IF($M225="■ Red",3,IF($M225="◧ Amber",2,IF($M225="□ On track",1,0))))</f>
        <v/>
      </c>
      <c r="AP225" s="31">
        <f>IF($AL225=0,0,IF($AK225="Will not hold",3,IF($AK225="At risk",2,IF($AK225="Will hold",1,0))))</f>
        <v/>
      </c>
      <c r="AQ225" s="31">
        <f>IF($AL225=0,"",IF($AO225=3,0,IF($AO225=2,1,IF(AND($AP225&gt;=2,$AP225&gt;$AO225),2,""))))</f>
        <v/>
      </c>
      <c r="AR225" s="31">
        <f>IF($AQ225="","",$AQ225*1000+225)</f>
        <v/>
      </c>
      <c r="AS225" s="31">
        <f>IF(AND($AL225=1,$AO225&gt;=2,$AP225&gt;=1,$AP225&lt;$AO225),1,0)</f>
        <v/>
      </c>
      <c r="AT225" s="31">
        <f>IF(AND($AL225=1,$AO225&gt;=2,$AP225=0),1,0)</f>
        <v/>
      </c>
      <c r="AU225" s="31">
        <f>IF(AND($AL225=1,$U225&lt;&gt;"",$U225&lt;TODAY()),1,0)</f>
        <v/>
      </c>
      <c r="AV225" s="31">
        <f>IF(OR($A225="",$AJ225="",Portfolio!$B$10=""),0,IF($AJ225&lt;=Portfolio!$B$10,0,IF(AND($D225="Completed",$Z225=1),1,IF(AND($D225="Terminated",$Z225=1),2,IF(AND($Q225=1,$Z225=0),3,0)))))</f>
        <v/>
      </c>
      <c r="AW225" s="31">
        <f>IF($AV225&gt;0,COUNTIF($AV$6:$AV225,"&gt;0"),"")</f>
        <v/>
      </c>
      <c r="AX225" s="31">
        <f>IF($AL225=0,"",IF(AND($B225="Project",$H225&lt;&gt;"",$H225&lt;TODAY()),"Planned finish "&amp;TEXT($H225,"d mmm")&amp;" has passed",IF($X225&gt;=2,(NETWORKDAYS($H225,$U225)-1)&amp;" working days past plan","")))</f>
        <v/>
      </c>
      <c r="AY225" s="31">
        <f>IF($AL225=0,"",IF($Y225&gt;=2,"Over budget by "&amp;TEXT(IF($B225="Program",$V225,$J225)-$K225,"#,##0"),""))</f>
        <v/>
      </c>
      <c r="AZ225" s="31">
        <f>IF(AND($AL225=1,$U225&lt;&gt;""),IF(AND(N($U225)&gt;=TODAY(),N($U225)&lt;=TODAY()+Board!$B$41),1,0),0)</f>
        <v/>
      </c>
    </row>
    <row r="226">
      <c r="A226" s="29" t="n"/>
      <c r="B226" s="29" t="n"/>
      <c r="C226" s="29" t="n"/>
      <c r="D226" s="29" t="n"/>
      <c r="E226" s="29" t="n"/>
      <c r="F226" s="29" t="n"/>
      <c r="G226" s="29" t="n"/>
      <c r="H226" s="30" t="n"/>
      <c r="I226" s="30" t="n"/>
      <c r="J226" s="19" t="n"/>
      <c r="K226" s="19" t="n"/>
      <c r="L226" s="26" t="n"/>
      <c r="M226" s="31">
        <f>IF($A226="","",IF($D226="","Not read",IF($Q226=0,"Not counted",IF(MAX($X226,$Y226)=3,"■ Red",IF(MAX($X226,$Y226)=2,"◧ Amber",IF(MAX($X226,$Y226)=1,"□ On track","Not read"))))))</f>
        <v/>
      </c>
      <c r="N226" s="31">
        <f>IF(OR($A226="",$B226&lt;&gt;"Program"),"","■ "&amp;COUNTIFS($C$6:$C$305,$A226,$M$6:$M$305,"■ Red")&amp;" Red, ◧ "&amp;COUNTIFS($C$6:$C$305,$A226,$M$6:$M$305,"◧ Amber")&amp;" Amber")</f>
        <v/>
      </c>
      <c r="O226" s="32">
        <f>IF(OR($A226="",$E226=""),"",COUNTIFS($E$6:$E$305,$E226,$D$6:$D$305,"Active")+COUNTIFS($E$6:$E$305,$E226,$D$6:$D$305,"Paused"))</f>
        <v/>
      </c>
      <c r="P226" s="31">
        <f>IF($A226="","",IF($AE226=0,"○ Clear",IF($AA226=1,"△ No owner",IF($AC226=1,"△ Check Sits under",IF($AC226=2,"△ Outside the portfolio",IF($AB226=1,"△ No sponsor","△ No variance note"))))&amp;IF($AE226&gt;1," (+"&amp;($AE226-1)&amp;" more)","")))</f>
        <v/>
      </c>
      <c r="Q226" s="31">
        <f>IF(AND($A226&lt;&gt;"",OR($D226="Active",$D226="Paused")),1,0)</f>
        <v/>
      </c>
      <c r="R226" s="31">
        <f>IFERROR(INDEX($A$6:$A$305,MATCH(219,$S$6:$S$305,0)),"")</f>
        <v/>
      </c>
      <c r="S226" s="31">
        <f>IF(AND($A226&lt;&gt;"",$B226="Program"),COUNTIFS($B$6:$B226,"Program",$A$6:$A226,"&lt;&gt;"),"")</f>
        <v/>
      </c>
      <c r="T226" s="33">
        <f>IF(AND($A226&lt;&gt;"",$B226="Program"),SUMPRODUCT(MAX(($C$6:$C$305=$A226)*($B$6:$B$305="Project")*($D$6:$D$305&lt;&gt;"Proposed")*$I$6:$I$305)),0)</f>
        <v/>
      </c>
      <c r="U226" s="33">
        <f>IF($I226&lt;&gt;"",$I226,IF($T226&gt;0,$T226,""))</f>
        <v/>
      </c>
      <c r="V226" s="31">
        <f>IF(AND($A226&lt;&gt;"",$B226="Program"),SUMIFS($J$6:$J$305,$C$6:$C$305,$A226,$B$6:$B$305,"Project",$D$6:$D$305,"&lt;&gt;Proposed"),0)</f>
        <v/>
      </c>
      <c r="W226" s="31">
        <f>IF(AND($A226&lt;&gt;"",$B226="Program"),COUNTIFS($C$6:$C$305,$A226,$B$6:$B$305,"Project",$D$6:$D$305,"&lt;&gt;Proposed")-COUNTIFS($C$6:$C$305,$A226,$B$6:$B$305,"Project",$D$6:$D$305,"&lt;&gt;Proposed",$J$6:$J$305,"&gt;=0"),0)</f>
        <v/>
      </c>
      <c r="X226" s="31">
        <f>IF(OR($Q226=0,$H226=""),0,IF(AND($B226="Project",$H226&lt;TODAY()),3,IF($U226="",0,IF($U226&lt;=$H226,1,IF(NETWORKDAYS($H226,$U226)-1&gt;IF($B226="Program",Portfolio!$B$16,Portfolio!$B$15),3,2)))))</f>
        <v/>
      </c>
      <c r="Y226" s="31">
        <f>IF(OR($Q226=0,$K226="",$K226=0),0,IF(AND($B226="Project",$J226=""),0,IF(IF($B226="Program",$V226,$J226)&gt;$K226*(1+Portfolio!$B$17),3,IF(IF($B226="Program",$V226,$J226)&gt;$K226,2,IF(AND($B226="Program",OR($W226&gt;0,$V226=0)),0,1)))))</f>
        <v/>
      </c>
      <c r="Z226" s="31">
        <f>IF($A226="",0,IF($C226="Portfolio",1,IF(AND($B226="Project",$C226&lt;&gt;"",$C226&lt;&gt;"Outside the portfolio"),IFERROR(IF(AND(INDEX($B$6:$B$305,MATCH($C226,$A$6:$A$305,0))="Program",INDEX($C$6:$C$305,MATCH($C226,$A$6:$A$305,0))="Portfolio"),1,0),0),0)))</f>
        <v/>
      </c>
      <c r="AA226" s="31">
        <f>IF(AND($A226&lt;&gt;"",$E226="",OR($Q226=1,$D226="Proposed")),1,0)</f>
        <v/>
      </c>
      <c r="AB226" s="31">
        <f>IF(AND($A226&lt;&gt;"",$B226="Program",$F226="",$Q226=1),1,0)</f>
        <v/>
      </c>
      <c r="AC226" s="31">
        <f>IF(OR($A226="",$D226="Completed",$D226="Terminated"),0,IF($C226="",1,IF($C226="Portfolio",0,IF($C226="Outside the portfolio",IF($Q226=1,2,0),IF($B226="Project",IF(IFERROR(INDEX($B$6:$B$305,MATCH($C226,$A$6:$A$305,0)),"")="Program",0,1),1)))))</f>
        <v/>
      </c>
      <c r="AD226" s="31">
        <f>IF(AND($A226&lt;&gt;"",OR($M226="■ Red",$M226="◧ Amber"),$L226=""),1,0)</f>
        <v/>
      </c>
      <c r="AE226" s="31">
        <f>$AA226+$AB226+IF($AC226&gt;0,1,0)+$AD226</f>
        <v/>
      </c>
      <c r="AJ226" s="14" t="n"/>
      <c r="AK226" s="29" t="n"/>
      <c r="AL226" s="31">
        <f>IF(AND($Q226=1,$Z226=1),1,0)</f>
        <v/>
      </c>
      <c r="AM226" s="31">
        <f>IF(AND($AL226=1,$AJ226&lt;&gt;""),MAX(0,TODAY()-$AJ226),"")</f>
        <v/>
      </c>
      <c r="AN226" s="31">
        <f>IF(OR($AL226=0,COUNT($AJ$6:$AJ$305)=0),0,IF($AJ226="",1,IF(TODAY()-$AJ226&gt;Board!$B$40,1,0)))</f>
        <v/>
      </c>
      <c r="AO226" s="31">
        <f>IF($AL226=0,0,IF($M226="■ Red",3,IF($M226="◧ Amber",2,IF($M226="□ On track",1,0))))</f>
        <v/>
      </c>
      <c r="AP226" s="31">
        <f>IF($AL226=0,0,IF($AK226="Will not hold",3,IF($AK226="At risk",2,IF($AK226="Will hold",1,0))))</f>
        <v/>
      </c>
      <c r="AQ226" s="31">
        <f>IF($AL226=0,"",IF($AO226=3,0,IF($AO226=2,1,IF(AND($AP226&gt;=2,$AP226&gt;$AO226),2,""))))</f>
        <v/>
      </c>
      <c r="AR226" s="31">
        <f>IF($AQ226="","",$AQ226*1000+226)</f>
        <v/>
      </c>
      <c r="AS226" s="31">
        <f>IF(AND($AL226=1,$AO226&gt;=2,$AP226&gt;=1,$AP226&lt;$AO226),1,0)</f>
        <v/>
      </c>
      <c r="AT226" s="31">
        <f>IF(AND($AL226=1,$AO226&gt;=2,$AP226=0),1,0)</f>
        <v/>
      </c>
      <c r="AU226" s="31">
        <f>IF(AND($AL226=1,$U226&lt;&gt;"",$U226&lt;TODAY()),1,0)</f>
        <v/>
      </c>
      <c r="AV226" s="31">
        <f>IF(OR($A226="",$AJ226="",Portfolio!$B$10=""),0,IF($AJ226&lt;=Portfolio!$B$10,0,IF(AND($D226="Completed",$Z226=1),1,IF(AND($D226="Terminated",$Z226=1),2,IF(AND($Q226=1,$Z226=0),3,0)))))</f>
        <v/>
      </c>
      <c r="AW226" s="31">
        <f>IF($AV226&gt;0,COUNTIF($AV$6:$AV226,"&gt;0"),"")</f>
        <v/>
      </c>
      <c r="AX226" s="31">
        <f>IF($AL226=0,"",IF(AND($B226="Project",$H226&lt;&gt;"",$H226&lt;TODAY()),"Planned finish "&amp;TEXT($H226,"d mmm")&amp;" has passed",IF($X226&gt;=2,(NETWORKDAYS($H226,$U226)-1)&amp;" working days past plan","")))</f>
        <v/>
      </c>
      <c r="AY226" s="31">
        <f>IF($AL226=0,"",IF($Y226&gt;=2,"Over budget by "&amp;TEXT(IF($B226="Program",$V226,$J226)-$K226,"#,##0"),""))</f>
        <v/>
      </c>
      <c r="AZ226" s="31">
        <f>IF(AND($AL226=1,$U226&lt;&gt;""),IF(AND(N($U226)&gt;=TODAY(),N($U226)&lt;=TODAY()+Board!$B$41),1,0),0)</f>
        <v/>
      </c>
    </row>
    <row r="227">
      <c r="A227" s="29" t="n"/>
      <c r="B227" s="29" t="n"/>
      <c r="C227" s="29" t="n"/>
      <c r="D227" s="29" t="n"/>
      <c r="E227" s="29" t="n"/>
      <c r="F227" s="29" t="n"/>
      <c r="G227" s="29" t="n"/>
      <c r="H227" s="30" t="n"/>
      <c r="I227" s="30" t="n"/>
      <c r="J227" s="19" t="n"/>
      <c r="K227" s="19" t="n"/>
      <c r="L227" s="26" t="n"/>
      <c r="M227" s="31">
        <f>IF($A227="","",IF($D227="","Not read",IF($Q227=0,"Not counted",IF(MAX($X227,$Y227)=3,"■ Red",IF(MAX($X227,$Y227)=2,"◧ Amber",IF(MAX($X227,$Y227)=1,"□ On track","Not read"))))))</f>
        <v/>
      </c>
      <c r="N227" s="31">
        <f>IF(OR($A227="",$B227&lt;&gt;"Program"),"","■ "&amp;COUNTIFS($C$6:$C$305,$A227,$M$6:$M$305,"■ Red")&amp;" Red, ◧ "&amp;COUNTIFS($C$6:$C$305,$A227,$M$6:$M$305,"◧ Amber")&amp;" Amber")</f>
        <v/>
      </c>
      <c r="O227" s="32">
        <f>IF(OR($A227="",$E227=""),"",COUNTIFS($E$6:$E$305,$E227,$D$6:$D$305,"Active")+COUNTIFS($E$6:$E$305,$E227,$D$6:$D$305,"Paused"))</f>
        <v/>
      </c>
      <c r="P227" s="31">
        <f>IF($A227="","",IF($AE227=0,"○ Clear",IF($AA227=1,"△ No owner",IF($AC227=1,"△ Check Sits under",IF($AC227=2,"△ Outside the portfolio",IF($AB227=1,"△ No sponsor","△ No variance note"))))&amp;IF($AE227&gt;1," (+"&amp;($AE227-1)&amp;" more)","")))</f>
        <v/>
      </c>
      <c r="Q227" s="31">
        <f>IF(AND($A227&lt;&gt;"",OR($D227="Active",$D227="Paused")),1,0)</f>
        <v/>
      </c>
      <c r="R227" s="31">
        <f>IFERROR(INDEX($A$6:$A$305,MATCH(220,$S$6:$S$305,0)),"")</f>
        <v/>
      </c>
      <c r="S227" s="31">
        <f>IF(AND($A227&lt;&gt;"",$B227="Program"),COUNTIFS($B$6:$B227,"Program",$A$6:$A227,"&lt;&gt;"),"")</f>
        <v/>
      </c>
      <c r="T227" s="33">
        <f>IF(AND($A227&lt;&gt;"",$B227="Program"),SUMPRODUCT(MAX(($C$6:$C$305=$A227)*($B$6:$B$305="Project")*($D$6:$D$305&lt;&gt;"Proposed")*$I$6:$I$305)),0)</f>
        <v/>
      </c>
      <c r="U227" s="33">
        <f>IF($I227&lt;&gt;"",$I227,IF($T227&gt;0,$T227,""))</f>
        <v/>
      </c>
      <c r="V227" s="31">
        <f>IF(AND($A227&lt;&gt;"",$B227="Program"),SUMIFS($J$6:$J$305,$C$6:$C$305,$A227,$B$6:$B$305,"Project",$D$6:$D$305,"&lt;&gt;Proposed"),0)</f>
        <v/>
      </c>
      <c r="W227" s="31">
        <f>IF(AND($A227&lt;&gt;"",$B227="Program"),COUNTIFS($C$6:$C$305,$A227,$B$6:$B$305,"Project",$D$6:$D$305,"&lt;&gt;Proposed")-COUNTIFS($C$6:$C$305,$A227,$B$6:$B$305,"Project",$D$6:$D$305,"&lt;&gt;Proposed",$J$6:$J$305,"&gt;=0"),0)</f>
        <v/>
      </c>
      <c r="X227" s="31">
        <f>IF(OR($Q227=0,$H227=""),0,IF(AND($B227="Project",$H227&lt;TODAY()),3,IF($U227="",0,IF($U227&lt;=$H227,1,IF(NETWORKDAYS($H227,$U227)-1&gt;IF($B227="Program",Portfolio!$B$16,Portfolio!$B$15),3,2)))))</f>
        <v/>
      </c>
      <c r="Y227" s="31">
        <f>IF(OR($Q227=0,$K227="",$K227=0),0,IF(AND($B227="Project",$J227=""),0,IF(IF($B227="Program",$V227,$J227)&gt;$K227*(1+Portfolio!$B$17),3,IF(IF($B227="Program",$V227,$J227)&gt;$K227,2,IF(AND($B227="Program",OR($W227&gt;0,$V227=0)),0,1)))))</f>
        <v/>
      </c>
      <c r="Z227" s="31">
        <f>IF($A227="",0,IF($C227="Portfolio",1,IF(AND($B227="Project",$C227&lt;&gt;"",$C227&lt;&gt;"Outside the portfolio"),IFERROR(IF(AND(INDEX($B$6:$B$305,MATCH($C227,$A$6:$A$305,0))="Program",INDEX($C$6:$C$305,MATCH($C227,$A$6:$A$305,0))="Portfolio"),1,0),0),0)))</f>
        <v/>
      </c>
      <c r="AA227" s="31">
        <f>IF(AND($A227&lt;&gt;"",$E227="",OR($Q227=1,$D227="Proposed")),1,0)</f>
        <v/>
      </c>
      <c r="AB227" s="31">
        <f>IF(AND($A227&lt;&gt;"",$B227="Program",$F227="",$Q227=1),1,0)</f>
        <v/>
      </c>
      <c r="AC227" s="31">
        <f>IF(OR($A227="",$D227="Completed",$D227="Terminated"),0,IF($C227="",1,IF($C227="Portfolio",0,IF($C227="Outside the portfolio",IF($Q227=1,2,0),IF($B227="Project",IF(IFERROR(INDEX($B$6:$B$305,MATCH($C227,$A$6:$A$305,0)),"")="Program",0,1),1)))))</f>
        <v/>
      </c>
      <c r="AD227" s="31">
        <f>IF(AND($A227&lt;&gt;"",OR($M227="■ Red",$M227="◧ Amber"),$L227=""),1,0)</f>
        <v/>
      </c>
      <c r="AE227" s="31">
        <f>$AA227+$AB227+IF($AC227&gt;0,1,0)+$AD227</f>
        <v/>
      </c>
      <c r="AJ227" s="14" t="n"/>
      <c r="AK227" s="29" t="n"/>
      <c r="AL227" s="31">
        <f>IF(AND($Q227=1,$Z227=1),1,0)</f>
        <v/>
      </c>
      <c r="AM227" s="31">
        <f>IF(AND($AL227=1,$AJ227&lt;&gt;""),MAX(0,TODAY()-$AJ227),"")</f>
        <v/>
      </c>
      <c r="AN227" s="31">
        <f>IF(OR($AL227=0,COUNT($AJ$6:$AJ$305)=0),0,IF($AJ227="",1,IF(TODAY()-$AJ227&gt;Board!$B$40,1,0)))</f>
        <v/>
      </c>
      <c r="AO227" s="31">
        <f>IF($AL227=0,0,IF($M227="■ Red",3,IF($M227="◧ Amber",2,IF($M227="□ On track",1,0))))</f>
        <v/>
      </c>
      <c r="AP227" s="31">
        <f>IF($AL227=0,0,IF($AK227="Will not hold",3,IF($AK227="At risk",2,IF($AK227="Will hold",1,0))))</f>
        <v/>
      </c>
      <c r="AQ227" s="31">
        <f>IF($AL227=0,"",IF($AO227=3,0,IF($AO227=2,1,IF(AND($AP227&gt;=2,$AP227&gt;$AO227),2,""))))</f>
        <v/>
      </c>
      <c r="AR227" s="31">
        <f>IF($AQ227="","",$AQ227*1000+227)</f>
        <v/>
      </c>
      <c r="AS227" s="31">
        <f>IF(AND($AL227=1,$AO227&gt;=2,$AP227&gt;=1,$AP227&lt;$AO227),1,0)</f>
        <v/>
      </c>
      <c r="AT227" s="31">
        <f>IF(AND($AL227=1,$AO227&gt;=2,$AP227=0),1,0)</f>
        <v/>
      </c>
      <c r="AU227" s="31">
        <f>IF(AND($AL227=1,$U227&lt;&gt;"",$U227&lt;TODAY()),1,0)</f>
        <v/>
      </c>
      <c r="AV227" s="31">
        <f>IF(OR($A227="",$AJ227="",Portfolio!$B$10=""),0,IF($AJ227&lt;=Portfolio!$B$10,0,IF(AND($D227="Completed",$Z227=1),1,IF(AND($D227="Terminated",$Z227=1),2,IF(AND($Q227=1,$Z227=0),3,0)))))</f>
        <v/>
      </c>
      <c r="AW227" s="31">
        <f>IF($AV227&gt;0,COUNTIF($AV$6:$AV227,"&gt;0"),"")</f>
        <v/>
      </c>
      <c r="AX227" s="31">
        <f>IF($AL227=0,"",IF(AND($B227="Project",$H227&lt;&gt;"",$H227&lt;TODAY()),"Planned finish "&amp;TEXT($H227,"d mmm")&amp;" has passed",IF($X227&gt;=2,(NETWORKDAYS($H227,$U227)-1)&amp;" working days past plan","")))</f>
        <v/>
      </c>
      <c r="AY227" s="31">
        <f>IF($AL227=0,"",IF($Y227&gt;=2,"Over budget by "&amp;TEXT(IF($B227="Program",$V227,$J227)-$K227,"#,##0"),""))</f>
        <v/>
      </c>
      <c r="AZ227" s="31">
        <f>IF(AND($AL227=1,$U227&lt;&gt;""),IF(AND(N($U227)&gt;=TODAY(),N($U227)&lt;=TODAY()+Board!$B$41),1,0),0)</f>
        <v/>
      </c>
    </row>
    <row r="228">
      <c r="A228" s="29" t="n"/>
      <c r="B228" s="29" t="n"/>
      <c r="C228" s="29" t="n"/>
      <c r="D228" s="29" t="n"/>
      <c r="E228" s="29" t="n"/>
      <c r="F228" s="29" t="n"/>
      <c r="G228" s="29" t="n"/>
      <c r="H228" s="30" t="n"/>
      <c r="I228" s="30" t="n"/>
      <c r="J228" s="19" t="n"/>
      <c r="K228" s="19" t="n"/>
      <c r="L228" s="26" t="n"/>
      <c r="M228" s="31">
        <f>IF($A228="","",IF($D228="","Not read",IF($Q228=0,"Not counted",IF(MAX($X228,$Y228)=3,"■ Red",IF(MAX($X228,$Y228)=2,"◧ Amber",IF(MAX($X228,$Y228)=1,"□ On track","Not read"))))))</f>
        <v/>
      </c>
      <c r="N228" s="31">
        <f>IF(OR($A228="",$B228&lt;&gt;"Program"),"","■ "&amp;COUNTIFS($C$6:$C$305,$A228,$M$6:$M$305,"■ Red")&amp;" Red, ◧ "&amp;COUNTIFS($C$6:$C$305,$A228,$M$6:$M$305,"◧ Amber")&amp;" Amber")</f>
        <v/>
      </c>
      <c r="O228" s="32">
        <f>IF(OR($A228="",$E228=""),"",COUNTIFS($E$6:$E$305,$E228,$D$6:$D$305,"Active")+COUNTIFS($E$6:$E$305,$E228,$D$6:$D$305,"Paused"))</f>
        <v/>
      </c>
      <c r="P228" s="31">
        <f>IF($A228="","",IF($AE228=0,"○ Clear",IF($AA228=1,"△ No owner",IF($AC228=1,"△ Check Sits under",IF($AC228=2,"△ Outside the portfolio",IF($AB228=1,"△ No sponsor","△ No variance note"))))&amp;IF($AE228&gt;1," (+"&amp;($AE228-1)&amp;" more)","")))</f>
        <v/>
      </c>
      <c r="Q228" s="31">
        <f>IF(AND($A228&lt;&gt;"",OR($D228="Active",$D228="Paused")),1,0)</f>
        <v/>
      </c>
      <c r="R228" s="31">
        <f>IFERROR(INDEX($A$6:$A$305,MATCH(221,$S$6:$S$305,0)),"")</f>
        <v/>
      </c>
      <c r="S228" s="31">
        <f>IF(AND($A228&lt;&gt;"",$B228="Program"),COUNTIFS($B$6:$B228,"Program",$A$6:$A228,"&lt;&gt;"),"")</f>
        <v/>
      </c>
      <c r="T228" s="33">
        <f>IF(AND($A228&lt;&gt;"",$B228="Program"),SUMPRODUCT(MAX(($C$6:$C$305=$A228)*($B$6:$B$305="Project")*($D$6:$D$305&lt;&gt;"Proposed")*$I$6:$I$305)),0)</f>
        <v/>
      </c>
      <c r="U228" s="33">
        <f>IF($I228&lt;&gt;"",$I228,IF($T228&gt;0,$T228,""))</f>
        <v/>
      </c>
      <c r="V228" s="31">
        <f>IF(AND($A228&lt;&gt;"",$B228="Program"),SUMIFS($J$6:$J$305,$C$6:$C$305,$A228,$B$6:$B$305,"Project",$D$6:$D$305,"&lt;&gt;Proposed"),0)</f>
        <v/>
      </c>
      <c r="W228" s="31">
        <f>IF(AND($A228&lt;&gt;"",$B228="Program"),COUNTIFS($C$6:$C$305,$A228,$B$6:$B$305,"Project",$D$6:$D$305,"&lt;&gt;Proposed")-COUNTIFS($C$6:$C$305,$A228,$B$6:$B$305,"Project",$D$6:$D$305,"&lt;&gt;Proposed",$J$6:$J$305,"&gt;=0"),0)</f>
        <v/>
      </c>
      <c r="X228" s="31">
        <f>IF(OR($Q228=0,$H228=""),0,IF(AND($B228="Project",$H228&lt;TODAY()),3,IF($U228="",0,IF($U228&lt;=$H228,1,IF(NETWORKDAYS($H228,$U228)-1&gt;IF($B228="Program",Portfolio!$B$16,Portfolio!$B$15),3,2)))))</f>
        <v/>
      </c>
      <c r="Y228" s="31">
        <f>IF(OR($Q228=0,$K228="",$K228=0),0,IF(AND($B228="Project",$J228=""),0,IF(IF($B228="Program",$V228,$J228)&gt;$K228*(1+Portfolio!$B$17),3,IF(IF($B228="Program",$V228,$J228)&gt;$K228,2,IF(AND($B228="Program",OR($W228&gt;0,$V228=0)),0,1)))))</f>
        <v/>
      </c>
      <c r="Z228" s="31">
        <f>IF($A228="",0,IF($C228="Portfolio",1,IF(AND($B228="Project",$C228&lt;&gt;"",$C228&lt;&gt;"Outside the portfolio"),IFERROR(IF(AND(INDEX($B$6:$B$305,MATCH($C228,$A$6:$A$305,0))="Program",INDEX($C$6:$C$305,MATCH($C228,$A$6:$A$305,0))="Portfolio"),1,0),0),0)))</f>
        <v/>
      </c>
      <c r="AA228" s="31">
        <f>IF(AND($A228&lt;&gt;"",$E228="",OR($Q228=1,$D228="Proposed")),1,0)</f>
        <v/>
      </c>
      <c r="AB228" s="31">
        <f>IF(AND($A228&lt;&gt;"",$B228="Program",$F228="",$Q228=1),1,0)</f>
        <v/>
      </c>
      <c r="AC228" s="31">
        <f>IF(OR($A228="",$D228="Completed",$D228="Terminated"),0,IF($C228="",1,IF($C228="Portfolio",0,IF($C228="Outside the portfolio",IF($Q228=1,2,0),IF($B228="Project",IF(IFERROR(INDEX($B$6:$B$305,MATCH($C228,$A$6:$A$305,0)),"")="Program",0,1),1)))))</f>
        <v/>
      </c>
      <c r="AD228" s="31">
        <f>IF(AND($A228&lt;&gt;"",OR($M228="■ Red",$M228="◧ Amber"),$L228=""),1,0)</f>
        <v/>
      </c>
      <c r="AE228" s="31">
        <f>$AA228+$AB228+IF($AC228&gt;0,1,0)+$AD228</f>
        <v/>
      </c>
      <c r="AJ228" s="14" t="n"/>
      <c r="AK228" s="29" t="n"/>
      <c r="AL228" s="31">
        <f>IF(AND($Q228=1,$Z228=1),1,0)</f>
        <v/>
      </c>
      <c r="AM228" s="31">
        <f>IF(AND($AL228=1,$AJ228&lt;&gt;""),MAX(0,TODAY()-$AJ228),"")</f>
        <v/>
      </c>
      <c r="AN228" s="31">
        <f>IF(OR($AL228=0,COUNT($AJ$6:$AJ$305)=0),0,IF($AJ228="",1,IF(TODAY()-$AJ228&gt;Board!$B$40,1,0)))</f>
        <v/>
      </c>
      <c r="AO228" s="31">
        <f>IF($AL228=0,0,IF($M228="■ Red",3,IF($M228="◧ Amber",2,IF($M228="□ On track",1,0))))</f>
        <v/>
      </c>
      <c r="AP228" s="31">
        <f>IF($AL228=0,0,IF($AK228="Will not hold",3,IF($AK228="At risk",2,IF($AK228="Will hold",1,0))))</f>
        <v/>
      </c>
      <c r="AQ228" s="31">
        <f>IF($AL228=0,"",IF($AO228=3,0,IF($AO228=2,1,IF(AND($AP228&gt;=2,$AP228&gt;$AO228),2,""))))</f>
        <v/>
      </c>
      <c r="AR228" s="31">
        <f>IF($AQ228="","",$AQ228*1000+228)</f>
        <v/>
      </c>
      <c r="AS228" s="31">
        <f>IF(AND($AL228=1,$AO228&gt;=2,$AP228&gt;=1,$AP228&lt;$AO228),1,0)</f>
        <v/>
      </c>
      <c r="AT228" s="31">
        <f>IF(AND($AL228=1,$AO228&gt;=2,$AP228=0),1,0)</f>
        <v/>
      </c>
      <c r="AU228" s="31">
        <f>IF(AND($AL228=1,$U228&lt;&gt;"",$U228&lt;TODAY()),1,0)</f>
        <v/>
      </c>
      <c r="AV228" s="31">
        <f>IF(OR($A228="",$AJ228="",Portfolio!$B$10=""),0,IF($AJ228&lt;=Portfolio!$B$10,0,IF(AND($D228="Completed",$Z228=1),1,IF(AND($D228="Terminated",$Z228=1),2,IF(AND($Q228=1,$Z228=0),3,0)))))</f>
        <v/>
      </c>
      <c r="AW228" s="31">
        <f>IF($AV228&gt;0,COUNTIF($AV$6:$AV228,"&gt;0"),"")</f>
        <v/>
      </c>
      <c r="AX228" s="31">
        <f>IF($AL228=0,"",IF(AND($B228="Project",$H228&lt;&gt;"",$H228&lt;TODAY()),"Planned finish "&amp;TEXT($H228,"d mmm")&amp;" has passed",IF($X228&gt;=2,(NETWORKDAYS($H228,$U228)-1)&amp;" working days past plan","")))</f>
        <v/>
      </c>
      <c r="AY228" s="31">
        <f>IF($AL228=0,"",IF($Y228&gt;=2,"Over budget by "&amp;TEXT(IF($B228="Program",$V228,$J228)-$K228,"#,##0"),""))</f>
        <v/>
      </c>
      <c r="AZ228" s="31">
        <f>IF(AND($AL228=1,$U228&lt;&gt;""),IF(AND(N($U228)&gt;=TODAY(),N($U228)&lt;=TODAY()+Board!$B$41),1,0),0)</f>
        <v/>
      </c>
    </row>
    <row r="229">
      <c r="A229" s="29" t="n"/>
      <c r="B229" s="29" t="n"/>
      <c r="C229" s="29" t="n"/>
      <c r="D229" s="29" t="n"/>
      <c r="E229" s="29" t="n"/>
      <c r="F229" s="29" t="n"/>
      <c r="G229" s="29" t="n"/>
      <c r="H229" s="30" t="n"/>
      <c r="I229" s="30" t="n"/>
      <c r="J229" s="19" t="n"/>
      <c r="K229" s="19" t="n"/>
      <c r="L229" s="26" t="n"/>
      <c r="M229" s="31">
        <f>IF($A229="","",IF($D229="","Not read",IF($Q229=0,"Not counted",IF(MAX($X229,$Y229)=3,"■ Red",IF(MAX($X229,$Y229)=2,"◧ Amber",IF(MAX($X229,$Y229)=1,"□ On track","Not read"))))))</f>
        <v/>
      </c>
      <c r="N229" s="31">
        <f>IF(OR($A229="",$B229&lt;&gt;"Program"),"","■ "&amp;COUNTIFS($C$6:$C$305,$A229,$M$6:$M$305,"■ Red")&amp;" Red, ◧ "&amp;COUNTIFS($C$6:$C$305,$A229,$M$6:$M$305,"◧ Amber")&amp;" Amber")</f>
        <v/>
      </c>
      <c r="O229" s="32">
        <f>IF(OR($A229="",$E229=""),"",COUNTIFS($E$6:$E$305,$E229,$D$6:$D$305,"Active")+COUNTIFS($E$6:$E$305,$E229,$D$6:$D$305,"Paused"))</f>
        <v/>
      </c>
      <c r="P229" s="31">
        <f>IF($A229="","",IF($AE229=0,"○ Clear",IF($AA229=1,"△ No owner",IF($AC229=1,"△ Check Sits under",IF($AC229=2,"△ Outside the portfolio",IF($AB229=1,"△ No sponsor","△ No variance note"))))&amp;IF($AE229&gt;1," (+"&amp;($AE229-1)&amp;" more)","")))</f>
        <v/>
      </c>
      <c r="Q229" s="31">
        <f>IF(AND($A229&lt;&gt;"",OR($D229="Active",$D229="Paused")),1,0)</f>
        <v/>
      </c>
      <c r="R229" s="31">
        <f>IFERROR(INDEX($A$6:$A$305,MATCH(222,$S$6:$S$305,0)),"")</f>
        <v/>
      </c>
      <c r="S229" s="31">
        <f>IF(AND($A229&lt;&gt;"",$B229="Program"),COUNTIFS($B$6:$B229,"Program",$A$6:$A229,"&lt;&gt;"),"")</f>
        <v/>
      </c>
      <c r="T229" s="33">
        <f>IF(AND($A229&lt;&gt;"",$B229="Program"),SUMPRODUCT(MAX(($C$6:$C$305=$A229)*($B$6:$B$305="Project")*($D$6:$D$305&lt;&gt;"Proposed")*$I$6:$I$305)),0)</f>
        <v/>
      </c>
      <c r="U229" s="33">
        <f>IF($I229&lt;&gt;"",$I229,IF($T229&gt;0,$T229,""))</f>
        <v/>
      </c>
      <c r="V229" s="31">
        <f>IF(AND($A229&lt;&gt;"",$B229="Program"),SUMIFS($J$6:$J$305,$C$6:$C$305,$A229,$B$6:$B$305,"Project",$D$6:$D$305,"&lt;&gt;Proposed"),0)</f>
        <v/>
      </c>
      <c r="W229" s="31">
        <f>IF(AND($A229&lt;&gt;"",$B229="Program"),COUNTIFS($C$6:$C$305,$A229,$B$6:$B$305,"Project",$D$6:$D$305,"&lt;&gt;Proposed")-COUNTIFS($C$6:$C$305,$A229,$B$6:$B$305,"Project",$D$6:$D$305,"&lt;&gt;Proposed",$J$6:$J$305,"&gt;=0"),0)</f>
        <v/>
      </c>
      <c r="X229" s="31">
        <f>IF(OR($Q229=0,$H229=""),0,IF(AND($B229="Project",$H229&lt;TODAY()),3,IF($U229="",0,IF($U229&lt;=$H229,1,IF(NETWORKDAYS($H229,$U229)-1&gt;IF($B229="Program",Portfolio!$B$16,Portfolio!$B$15),3,2)))))</f>
        <v/>
      </c>
      <c r="Y229" s="31">
        <f>IF(OR($Q229=0,$K229="",$K229=0),0,IF(AND($B229="Project",$J229=""),0,IF(IF($B229="Program",$V229,$J229)&gt;$K229*(1+Portfolio!$B$17),3,IF(IF($B229="Program",$V229,$J229)&gt;$K229,2,IF(AND($B229="Program",OR($W229&gt;0,$V229=0)),0,1)))))</f>
        <v/>
      </c>
      <c r="Z229" s="31">
        <f>IF($A229="",0,IF($C229="Portfolio",1,IF(AND($B229="Project",$C229&lt;&gt;"",$C229&lt;&gt;"Outside the portfolio"),IFERROR(IF(AND(INDEX($B$6:$B$305,MATCH($C229,$A$6:$A$305,0))="Program",INDEX($C$6:$C$305,MATCH($C229,$A$6:$A$305,0))="Portfolio"),1,0),0),0)))</f>
        <v/>
      </c>
      <c r="AA229" s="31">
        <f>IF(AND($A229&lt;&gt;"",$E229="",OR($Q229=1,$D229="Proposed")),1,0)</f>
        <v/>
      </c>
      <c r="AB229" s="31">
        <f>IF(AND($A229&lt;&gt;"",$B229="Program",$F229="",$Q229=1),1,0)</f>
        <v/>
      </c>
      <c r="AC229" s="31">
        <f>IF(OR($A229="",$D229="Completed",$D229="Terminated"),0,IF($C229="",1,IF($C229="Portfolio",0,IF($C229="Outside the portfolio",IF($Q229=1,2,0),IF($B229="Project",IF(IFERROR(INDEX($B$6:$B$305,MATCH($C229,$A$6:$A$305,0)),"")="Program",0,1),1)))))</f>
        <v/>
      </c>
      <c r="AD229" s="31">
        <f>IF(AND($A229&lt;&gt;"",OR($M229="■ Red",$M229="◧ Amber"),$L229=""),1,0)</f>
        <v/>
      </c>
      <c r="AE229" s="31">
        <f>$AA229+$AB229+IF($AC229&gt;0,1,0)+$AD229</f>
        <v/>
      </c>
      <c r="AJ229" s="14" t="n"/>
      <c r="AK229" s="29" t="n"/>
      <c r="AL229" s="31">
        <f>IF(AND($Q229=1,$Z229=1),1,0)</f>
        <v/>
      </c>
      <c r="AM229" s="31">
        <f>IF(AND($AL229=1,$AJ229&lt;&gt;""),MAX(0,TODAY()-$AJ229),"")</f>
        <v/>
      </c>
      <c r="AN229" s="31">
        <f>IF(OR($AL229=0,COUNT($AJ$6:$AJ$305)=0),0,IF($AJ229="",1,IF(TODAY()-$AJ229&gt;Board!$B$40,1,0)))</f>
        <v/>
      </c>
      <c r="AO229" s="31">
        <f>IF($AL229=0,0,IF($M229="■ Red",3,IF($M229="◧ Amber",2,IF($M229="□ On track",1,0))))</f>
        <v/>
      </c>
      <c r="AP229" s="31">
        <f>IF($AL229=0,0,IF($AK229="Will not hold",3,IF($AK229="At risk",2,IF($AK229="Will hold",1,0))))</f>
        <v/>
      </c>
      <c r="AQ229" s="31">
        <f>IF($AL229=0,"",IF($AO229=3,0,IF($AO229=2,1,IF(AND($AP229&gt;=2,$AP229&gt;$AO229),2,""))))</f>
        <v/>
      </c>
      <c r="AR229" s="31">
        <f>IF($AQ229="","",$AQ229*1000+229)</f>
        <v/>
      </c>
      <c r="AS229" s="31">
        <f>IF(AND($AL229=1,$AO229&gt;=2,$AP229&gt;=1,$AP229&lt;$AO229),1,0)</f>
        <v/>
      </c>
      <c r="AT229" s="31">
        <f>IF(AND($AL229=1,$AO229&gt;=2,$AP229=0),1,0)</f>
        <v/>
      </c>
      <c r="AU229" s="31">
        <f>IF(AND($AL229=1,$U229&lt;&gt;"",$U229&lt;TODAY()),1,0)</f>
        <v/>
      </c>
      <c r="AV229" s="31">
        <f>IF(OR($A229="",$AJ229="",Portfolio!$B$10=""),0,IF($AJ229&lt;=Portfolio!$B$10,0,IF(AND($D229="Completed",$Z229=1),1,IF(AND($D229="Terminated",$Z229=1),2,IF(AND($Q229=1,$Z229=0),3,0)))))</f>
        <v/>
      </c>
      <c r="AW229" s="31">
        <f>IF($AV229&gt;0,COUNTIF($AV$6:$AV229,"&gt;0"),"")</f>
        <v/>
      </c>
      <c r="AX229" s="31">
        <f>IF($AL229=0,"",IF(AND($B229="Project",$H229&lt;&gt;"",$H229&lt;TODAY()),"Planned finish "&amp;TEXT($H229,"d mmm")&amp;" has passed",IF($X229&gt;=2,(NETWORKDAYS($H229,$U229)-1)&amp;" working days past plan","")))</f>
        <v/>
      </c>
      <c r="AY229" s="31">
        <f>IF($AL229=0,"",IF($Y229&gt;=2,"Over budget by "&amp;TEXT(IF($B229="Program",$V229,$J229)-$K229,"#,##0"),""))</f>
        <v/>
      </c>
      <c r="AZ229" s="31">
        <f>IF(AND($AL229=1,$U229&lt;&gt;""),IF(AND(N($U229)&gt;=TODAY(),N($U229)&lt;=TODAY()+Board!$B$41),1,0),0)</f>
        <v/>
      </c>
    </row>
    <row r="230">
      <c r="A230" s="29" t="n"/>
      <c r="B230" s="29" t="n"/>
      <c r="C230" s="29" t="n"/>
      <c r="D230" s="29" t="n"/>
      <c r="E230" s="29" t="n"/>
      <c r="F230" s="29" t="n"/>
      <c r="G230" s="29" t="n"/>
      <c r="H230" s="30" t="n"/>
      <c r="I230" s="30" t="n"/>
      <c r="J230" s="19" t="n"/>
      <c r="K230" s="19" t="n"/>
      <c r="L230" s="26" t="n"/>
      <c r="M230" s="31">
        <f>IF($A230="","",IF($D230="","Not read",IF($Q230=0,"Not counted",IF(MAX($X230,$Y230)=3,"■ Red",IF(MAX($X230,$Y230)=2,"◧ Amber",IF(MAX($X230,$Y230)=1,"□ On track","Not read"))))))</f>
        <v/>
      </c>
      <c r="N230" s="31">
        <f>IF(OR($A230="",$B230&lt;&gt;"Program"),"","■ "&amp;COUNTIFS($C$6:$C$305,$A230,$M$6:$M$305,"■ Red")&amp;" Red, ◧ "&amp;COUNTIFS($C$6:$C$305,$A230,$M$6:$M$305,"◧ Amber")&amp;" Amber")</f>
        <v/>
      </c>
      <c r="O230" s="32">
        <f>IF(OR($A230="",$E230=""),"",COUNTIFS($E$6:$E$305,$E230,$D$6:$D$305,"Active")+COUNTIFS($E$6:$E$305,$E230,$D$6:$D$305,"Paused"))</f>
        <v/>
      </c>
      <c r="P230" s="31">
        <f>IF($A230="","",IF($AE230=0,"○ Clear",IF($AA230=1,"△ No owner",IF($AC230=1,"△ Check Sits under",IF($AC230=2,"△ Outside the portfolio",IF($AB230=1,"△ No sponsor","△ No variance note"))))&amp;IF($AE230&gt;1," (+"&amp;($AE230-1)&amp;" more)","")))</f>
        <v/>
      </c>
      <c r="Q230" s="31">
        <f>IF(AND($A230&lt;&gt;"",OR($D230="Active",$D230="Paused")),1,0)</f>
        <v/>
      </c>
      <c r="R230" s="31">
        <f>IFERROR(INDEX($A$6:$A$305,MATCH(223,$S$6:$S$305,0)),"")</f>
        <v/>
      </c>
      <c r="S230" s="31">
        <f>IF(AND($A230&lt;&gt;"",$B230="Program"),COUNTIFS($B$6:$B230,"Program",$A$6:$A230,"&lt;&gt;"),"")</f>
        <v/>
      </c>
      <c r="T230" s="33">
        <f>IF(AND($A230&lt;&gt;"",$B230="Program"),SUMPRODUCT(MAX(($C$6:$C$305=$A230)*($B$6:$B$305="Project")*($D$6:$D$305&lt;&gt;"Proposed")*$I$6:$I$305)),0)</f>
        <v/>
      </c>
      <c r="U230" s="33">
        <f>IF($I230&lt;&gt;"",$I230,IF($T230&gt;0,$T230,""))</f>
        <v/>
      </c>
      <c r="V230" s="31">
        <f>IF(AND($A230&lt;&gt;"",$B230="Program"),SUMIFS($J$6:$J$305,$C$6:$C$305,$A230,$B$6:$B$305,"Project",$D$6:$D$305,"&lt;&gt;Proposed"),0)</f>
        <v/>
      </c>
      <c r="W230" s="31">
        <f>IF(AND($A230&lt;&gt;"",$B230="Program"),COUNTIFS($C$6:$C$305,$A230,$B$6:$B$305,"Project",$D$6:$D$305,"&lt;&gt;Proposed")-COUNTIFS($C$6:$C$305,$A230,$B$6:$B$305,"Project",$D$6:$D$305,"&lt;&gt;Proposed",$J$6:$J$305,"&gt;=0"),0)</f>
        <v/>
      </c>
      <c r="X230" s="31">
        <f>IF(OR($Q230=0,$H230=""),0,IF(AND($B230="Project",$H230&lt;TODAY()),3,IF($U230="",0,IF($U230&lt;=$H230,1,IF(NETWORKDAYS($H230,$U230)-1&gt;IF($B230="Program",Portfolio!$B$16,Portfolio!$B$15),3,2)))))</f>
        <v/>
      </c>
      <c r="Y230" s="31">
        <f>IF(OR($Q230=0,$K230="",$K230=0),0,IF(AND($B230="Project",$J230=""),0,IF(IF($B230="Program",$V230,$J230)&gt;$K230*(1+Portfolio!$B$17),3,IF(IF($B230="Program",$V230,$J230)&gt;$K230,2,IF(AND($B230="Program",OR($W230&gt;0,$V230=0)),0,1)))))</f>
        <v/>
      </c>
      <c r="Z230" s="31">
        <f>IF($A230="",0,IF($C230="Portfolio",1,IF(AND($B230="Project",$C230&lt;&gt;"",$C230&lt;&gt;"Outside the portfolio"),IFERROR(IF(AND(INDEX($B$6:$B$305,MATCH($C230,$A$6:$A$305,0))="Program",INDEX($C$6:$C$305,MATCH($C230,$A$6:$A$305,0))="Portfolio"),1,0),0),0)))</f>
        <v/>
      </c>
      <c r="AA230" s="31">
        <f>IF(AND($A230&lt;&gt;"",$E230="",OR($Q230=1,$D230="Proposed")),1,0)</f>
        <v/>
      </c>
      <c r="AB230" s="31">
        <f>IF(AND($A230&lt;&gt;"",$B230="Program",$F230="",$Q230=1),1,0)</f>
        <v/>
      </c>
      <c r="AC230" s="31">
        <f>IF(OR($A230="",$D230="Completed",$D230="Terminated"),0,IF($C230="",1,IF($C230="Portfolio",0,IF($C230="Outside the portfolio",IF($Q230=1,2,0),IF($B230="Project",IF(IFERROR(INDEX($B$6:$B$305,MATCH($C230,$A$6:$A$305,0)),"")="Program",0,1),1)))))</f>
        <v/>
      </c>
      <c r="AD230" s="31">
        <f>IF(AND($A230&lt;&gt;"",OR($M230="■ Red",$M230="◧ Amber"),$L230=""),1,0)</f>
        <v/>
      </c>
      <c r="AE230" s="31">
        <f>$AA230+$AB230+IF($AC230&gt;0,1,0)+$AD230</f>
        <v/>
      </c>
      <c r="AJ230" s="14" t="n"/>
      <c r="AK230" s="29" t="n"/>
      <c r="AL230" s="31">
        <f>IF(AND($Q230=1,$Z230=1),1,0)</f>
        <v/>
      </c>
      <c r="AM230" s="31">
        <f>IF(AND($AL230=1,$AJ230&lt;&gt;""),MAX(0,TODAY()-$AJ230),"")</f>
        <v/>
      </c>
      <c r="AN230" s="31">
        <f>IF(OR($AL230=0,COUNT($AJ$6:$AJ$305)=0),0,IF($AJ230="",1,IF(TODAY()-$AJ230&gt;Board!$B$40,1,0)))</f>
        <v/>
      </c>
      <c r="AO230" s="31">
        <f>IF($AL230=0,0,IF($M230="■ Red",3,IF($M230="◧ Amber",2,IF($M230="□ On track",1,0))))</f>
        <v/>
      </c>
      <c r="AP230" s="31">
        <f>IF($AL230=0,0,IF($AK230="Will not hold",3,IF($AK230="At risk",2,IF($AK230="Will hold",1,0))))</f>
        <v/>
      </c>
      <c r="AQ230" s="31">
        <f>IF($AL230=0,"",IF($AO230=3,0,IF($AO230=2,1,IF(AND($AP230&gt;=2,$AP230&gt;$AO230),2,""))))</f>
        <v/>
      </c>
      <c r="AR230" s="31">
        <f>IF($AQ230="","",$AQ230*1000+230)</f>
        <v/>
      </c>
      <c r="AS230" s="31">
        <f>IF(AND($AL230=1,$AO230&gt;=2,$AP230&gt;=1,$AP230&lt;$AO230),1,0)</f>
        <v/>
      </c>
      <c r="AT230" s="31">
        <f>IF(AND($AL230=1,$AO230&gt;=2,$AP230=0),1,0)</f>
        <v/>
      </c>
      <c r="AU230" s="31">
        <f>IF(AND($AL230=1,$U230&lt;&gt;"",$U230&lt;TODAY()),1,0)</f>
        <v/>
      </c>
      <c r="AV230" s="31">
        <f>IF(OR($A230="",$AJ230="",Portfolio!$B$10=""),0,IF($AJ230&lt;=Portfolio!$B$10,0,IF(AND($D230="Completed",$Z230=1),1,IF(AND($D230="Terminated",$Z230=1),2,IF(AND($Q230=1,$Z230=0),3,0)))))</f>
        <v/>
      </c>
      <c r="AW230" s="31">
        <f>IF($AV230&gt;0,COUNTIF($AV$6:$AV230,"&gt;0"),"")</f>
        <v/>
      </c>
      <c r="AX230" s="31">
        <f>IF($AL230=0,"",IF(AND($B230="Project",$H230&lt;&gt;"",$H230&lt;TODAY()),"Planned finish "&amp;TEXT($H230,"d mmm")&amp;" has passed",IF($X230&gt;=2,(NETWORKDAYS($H230,$U230)-1)&amp;" working days past plan","")))</f>
        <v/>
      </c>
      <c r="AY230" s="31">
        <f>IF($AL230=0,"",IF($Y230&gt;=2,"Over budget by "&amp;TEXT(IF($B230="Program",$V230,$J230)-$K230,"#,##0"),""))</f>
        <v/>
      </c>
      <c r="AZ230" s="31">
        <f>IF(AND($AL230=1,$U230&lt;&gt;""),IF(AND(N($U230)&gt;=TODAY(),N($U230)&lt;=TODAY()+Board!$B$41),1,0),0)</f>
        <v/>
      </c>
    </row>
    <row r="231">
      <c r="A231" s="29" t="n"/>
      <c r="B231" s="29" t="n"/>
      <c r="C231" s="29" t="n"/>
      <c r="D231" s="29" t="n"/>
      <c r="E231" s="29" t="n"/>
      <c r="F231" s="29" t="n"/>
      <c r="G231" s="29" t="n"/>
      <c r="H231" s="30" t="n"/>
      <c r="I231" s="30" t="n"/>
      <c r="J231" s="19" t="n"/>
      <c r="K231" s="19" t="n"/>
      <c r="L231" s="26" t="n"/>
      <c r="M231" s="31">
        <f>IF($A231="","",IF($D231="","Not read",IF($Q231=0,"Not counted",IF(MAX($X231,$Y231)=3,"■ Red",IF(MAX($X231,$Y231)=2,"◧ Amber",IF(MAX($X231,$Y231)=1,"□ On track","Not read"))))))</f>
        <v/>
      </c>
      <c r="N231" s="31">
        <f>IF(OR($A231="",$B231&lt;&gt;"Program"),"","■ "&amp;COUNTIFS($C$6:$C$305,$A231,$M$6:$M$305,"■ Red")&amp;" Red, ◧ "&amp;COUNTIFS($C$6:$C$305,$A231,$M$6:$M$305,"◧ Amber")&amp;" Amber")</f>
        <v/>
      </c>
      <c r="O231" s="32">
        <f>IF(OR($A231="",$E231=""),"",COUNTIFS($E$6:$E$305,$E231,$D$6:$D$305,"Active")+COUNTIFS($E$6:$E$305,$E231,$D$6:$D$305,"Paused"))</f>
        <v/>
      </c>
      <c r="P231" s="31">
        <f>IF($A231="","",IF($AE231=0,"○ Clear",IF($AA231=1,"△ No owner",IF($AC231=1,"△ Check Sits under",IF($AC231=2,"△ Outside the portfolio",IF($AB231=1,"△ No sponsor","△ No variance note"))))&amp;IF($AE231&gt;1," (+"&amp;($AE231-1)&amp;" more)","")))</f>
        <v/>
      </c>
      <c r="Q231" s="31">
        <f>IF(AND($A231&lt;&gt;"",OR($D231="Active",$D231="Paused")),1,0)</f>
        <v/>
      </c>
      <c r="R231" s="31">
        <f>IFERROR(INDEX($A$6:$A$305,MATCH(224,$S$6:$S$305,0)),"")</f>
        <v/>
      </c>
      <c r="S231" s="31">
        <f>IF(AND($A231&lt;&gt;"",$B231="Program"),COUNTIFS($B$6:$B231,"Program",$A$6:$A231,"&lt;&gt;"),"")</f>
        <v/>
      </c>
      <c r="T231" s="33">
        <f>IF(AND($A231&lt;&gt;"",$B231="Program"),SUMPRODUCT(MAX(($C$6:$C$305=$A231)*($B$6:$B$305="Project")*($D$6:$D$305&lt;&gt;"Proposed")*$I$6:$I$305)),0)</f>
        <v/>
      </c>
      <c r="U231" s="33">
        <f>IF($I231&lt;&gt;"",$I231,IF($T231&gt;0,$T231,""))</f>
        <v/>
      </c>
      <c r="V231" s="31">
        <f>IF(AND($A231&lt;&gt;"",$B231="Program"),SUMIFS($J$6:$J$305,$C$6:$C$305,$A231,$B$6:$B$305,"Project",$D$6:$D$305,"&lt;&gt;Proposed"),0)</f>
        <v/>
      </c>
      <c r="W231" s="31">
        <f>IF(AND($A231&lt;&gt;"",$B231="Program"),COUNTIFS($C$6:$C$305,$A231,$B$6:$B$305,"Project",$D$6:$D$305,"&lt;&gt;Proposed")-COUNTIFS($C$6:$C$305,$A231,$B$6:$B$305,"Project",$D$6:$D$305,"&lt;&gt;Proposed",$J$6:$J$305,"&gt;=0"),0)</f>
        <v/>
      </c>
      <c r="X231" s="31">
        <f>IF(OR($Q231=0,$H231=""),0,IF(AND($B231="Project",$H231&lt;TODAY()),3,IF($U231="",0,IF($U231&lt;=$H231,1,IF(NETWORKDAYS($H231,$U231)-1&gt;IF($B231="Program",Portfolio!$B$16,Portfolio!$B$15),3,2)))))</f>
        <v/>
      </c>
      <c r="Y231" s="31">
        <f>IF(OR($Q231=0,$K231="",$K231=0),0,IF(AND($B231="Project",$J231=""),0,IF(IF($B231="Program",$V231,$J231)&gt;$K231*(1+Portfolio!$B$17),3,IF(IF($B231="Program",$V231,$J231)&gt;$K231,2,IF(AND($B231="Program",OR($W231&gt;0,$V231=0)),0,1)))))</f>
        <v/>
      </c>
      <c r="Z231" s="31">
        <f>IF($A231="",0,IF($C231="Portfolio",1,IF(AND($B231="Project",$C231&lt;&gt;"",$C231&lt;&gt;"Outside the portfolio"),IFERROR(IF(AND(INDEX($B$6:$B$305,MATCH($C231,$A$6:$A$305,0))="Program",INDEX($C$6:$C$305,MATCH($C231,$A$6:$A$305,0))="Portfolio"),1,0),0),0)))</f>
        <v/>
      </c>
      <c r="AA231" s="31">
        <f>IF(AND($A231&lt;&gt;"",$E231="",OR($Q231=1,$D231="Proposed")),1,0)</f>
        <v/>
      </c>
      <c r="AB231" s="31">
        <f>IF(AND($A231&lt;&gt;"",$B231="Program",$F231="",$Q231=1),1,0)</f>
        <v/>
      </c>
      <c r="AC231" s="31">
        <f>IF(OR($A231="",$D231="Completed",$D231="Terminated"),0,IF($C231="",1,IF($C231="Portfolio",0,IF($C231="Outside the portfolio",IF($Q231=1,2,0),IF($B231="Project",IF(IFERROR(INDEX($B$6:$B$305,MATCH($C231,$A$6:$A$305,0)),"")="Program",0,1),1)))))</f>
        <v/>
      </c>
      <c r="AD231" s="31">
        <f>IF(AND($A231&lt;&gt;"",OR($M231="■ Red",$M231="◧ Amber"),$L231=""),1,0)</f>
        <v/>
      </c>
      <c r="AE231" s="31">
        <f>$AA231+$AB231+IF($AC231&gt;0,1,0)+$AD231</f>
        <v/>
      </c>
      <c r="AJ231" s="14" t="n"/>
      <c r="AK231" s="29" t="n"/>
      <c r="AL231" s="31">
        <f>IF(AND($Q231=1,$Z231=1),1,0)</f>
        <v/>
      </c>
      <c r="AM231" s="31">
        <f>IF(AND($AL231=1,$AJ231&lt;&gt;""),MAX(0,TODAY()-$AJ231),"")</f>
        <v/>
      </c>
      <c r="AN231" s="31">
        <f>IF(OR($AL231=0,COUNT($AJ$6:$AJ$305)=0),0,IF($AJ231="",1,IF(TODAY()-$AJ231&gt;Board!$B$40,1,0)))</f>
        <v/>
      </c>
      <c r="AO231" s="31">
        <f>IF($AL231=0,0,IF($M231="■ Red",3,IF($M231="◧ Amber",2,IF($M231="□ On track",1,0))))</f>
        <v/>
      </c>
      <c r="AP231" s="31">
        <f>IF($AL231=0,0,IF($AK231="Will not hold",3,IF($AK231="At risk",2,IF($AK231="Will hold",1,0))))</f>
        <v/>
      </c>
      <c r="AQ231" s="31">
        <f>IF($AL231=0,"",IF($AO231=3,0,IF($AO231=2,1,IF(AND($AP231&gt;=2,$AP231&gt;$AO231),2,""))))</f>
        <v/>
      </c>
      <c r="AR231" s="31">
        <f>IF($AQ231="","",$AQ231*1000+231)</f>
        <v/>
      </c>
      <c r="AS231" s="31">
        <f>IF(AND($AL231=1,$AO231&gt;=2,$AP231&gt;=1,$AP231&lt;$AO231),1,0)</f>
        <v/>
      </c>
      <c r="AT231" s="31">
        <f>IF(AND($AL231=1,$AO231&gt;=2,$AP231=0),1,0)</f>
        <v/>
      </c>
      <c r="AU231" s="31">
        <f>IF(AND($AL231=1,$U231&lt;&gt;"",$U231&lt;TODAY()),1,0)</f>
        <v/>
      </c>
      <c r="AV231" s="31">
        <f>IF(OR($A231="",$AJ231="",Portfolio!$B$10=""),0,IF($AJ231&lt;=Portfolio!$B$10,0,IF(AND($D231="Completed",$Z231=1),1,IF(AND($D231="Terminated",$Z231=1),2,IF(AND($Q231=1,$Z231=0),3,0)))))</f>
        <v/>
      </c>
      <c r="AW231" s="31">
        <f>IF($AV231&gt;0,COUNTIF($AV$6:$AV231,"&gt;0"),"")</f>
        <v/>
      </c>
      <c r="AX231" s="31">
        <f>IF($AL231=0,"",IF(AND($B231="Project",$H231&lt;&gt;"",$H231&lt;TODAY()),"Planned finish "&amp;TEXT($H231,"d mmm")&amp;" has passed",IF($X231&gt;=2,(NETWORKDAYS($H231,$U231)-1)&amp;" working days past plan","")))</f>
        <v/>
      </c>
      <c r="AY231" s="31">
        <f>IF($AL231=0,"",IF($Y231&gt;=2,"Over budget by "&amp;TEXT(IF($B231="Program",$V231,$J231)-$K231,"#,##0"),""))</f>
        <v/>
      </c>
      <c r="AZ231" s="31">
        <f>IF(AND($AL231=1,$U231&lt;&gt;""),IF(AND(N($U231)&gt;=TODAY(),N($U231)&lt;=TODAY()+Board!$B$41),1,0),0)</f>
        <v/>
      </c>
    </row>
    <row r="232">
      <c r="A232" s="29" t="n"/>
      <c r="B232" s="29" t="n"/>
      <c r="C232" s="29" t="n"/>
      <c r="D232" s="29" t="n"/>
      <c r="E232" s="29" t="n"/>
      <c r="F232" s="29" t="n"/>
      <c r="G232" s="29" t="n"/>
      <c r="H232" s="30" t="n"/>
      <c r="I232" s="30" t="n"/>
      <c r="J232" s="19" t="n"/>
      <c r="K232" s="19" t="n"/>
      <c r="L232" s="26" t="n"/>
      <c r="M232" s="31">
        <f>IF($A232="","",IF($D232="","Not read",IF($Q232=0,"Not counted",IF(MAX($X232,$Y232)=3,"■ Red",IF(MAX($X232,$Y232)=2,"◧ Amber",IF(MAX($X232,$Y232)=1,"□ On track","Not read"))))))</f>
        <v/>
      </c>
      <c r="N232" s="31">
        <f>IF(OR($A232="",$B232&lt;&gt;"Program"),"","■ "&amp;COUNTIFS($C$6:$C$305,$A232,$M$6:$M$305,"■ Red")&amp;" Red, ◧ "&amp;COUNTIFS($C$6:$C$305,$A232,$M$6:$M$305,"◧ Amber")&amp;" Amber")</f>
        <v/>
      </c>
      <c r="O232" s="32">
        <f>IF(OR($A232="",$E232=""),"",COUNTIFS($E$6:$E$305,$E232,$D$6:$D$305,"Active")+COUNTIFS($E$6:$E$305,$E232,$D$6:$D$305,"Paused"))</f>
        <v/>
      </c>
      <c r="P232" s="31">
        <f>IF($A232="","",IF($AE232=0,"○ Clear",IF($AA232=1,"△ No owner",IF($AC232=1,"△ Check Sits under",IF($AC232=2,"△ Outside the portfolio",IF($AB232=1,"△ No sponsor","△ No variance note"))))&amp;IF($AE232&gt;1," (+"&amp;($AE232-1)&amp;" more)","")))</f>
        <v/>
      </c>
      <c r="Q232" s="31">
        <f>IF(AND($A232&lt;&gt;"",OR($D232="Active",$D232="Paused")),1,0)</f>
        <v/>
      </c>
      <c r="R232" s="31">
        <f>IFERROR(INDEX($A$6:$A$305,MATCH(225,$S$6:$S$305,0)),"")</f>
        <v/>
      </c>
      <c r="S232" s="31">
        <f>IF(AND($A232&lt;&gt;"",$B232="Program"),COUNTIFS($B$6:$B232,"Program",$A$6:$A232,"&lt;&gt;"),"")</f>
        <v/>
      </c>
      <c r="T232" s="33">
        <f>IF(AND($A232&lt;&gt;"",$B232="Program"),SUMPRODUCT(MAX(($C$6:$C$305=$A232)*($B$6:$B$305="Project")*($D$6:$D$305&lt;&gt;"Proposed")*$I$6:$I$305)),0)</f>
        <v/>
      </c>
      <c r="U232" s="33">
        <f>IF($I232&lt;&gt;"",$I232,IF($T232&gt;0,$T232,""))</f>
        <v/>
      </c>
      <c r="V232" s="31">
        <f>IF(AND($A232&lt;&gt;"",$B232="Program"),SUMIFS($J$6:$J$305,$C$6:$C$305,$A232,$B$6:$B$305,"Project",$D$6:$D$305,"&lt;&gt;Proposed"),0)</f>
        <v/>
      </c>
      <c r="W232" s="31">
        <f>IF(AND($A232&lt;&gt;"",$B232="Program"),COUNTIFS($C$6:$C$305,$A232,$B$6:$B$305,"Project",$D$6:$D$305,"&lt;&gt;Proposed")-COUNTIFS($C$6:$C$305,$A232,$B$6:$B$305,"Project",$D$6:$D$305,"&lt;&gt;Proposed",$J$6:$J$305,"&gt;=0"),0)</f>
        <v/>
      </c>
      <c r="X232" s="31">
        <f>IF(OR($Q232=0,$H232=""),0,IF(AND($B232="Project",$H232&lt;TODAY()),3,IF($U232="",0,IF($U232&lt;=$H232,1,IF(NETWORKDAYS($H232,$U232)-1&gt;IF($B232="Program",Portfolio!$B$16,Portfolio!$B$15),3,2)))))</f>
        <v/>
      </c>
      <c r="Y232" s="31">
        <f>IF(OR($Q232=0,$K232="",$K232=0),0,IF(AND($B232="Project",$J232=""),0,IF(IF($B232="Program",$V232,$J232)&gt;$K232*(1+Portfolio!$B$17),3,IF(IF($B232="Program",$V232,$J232)&gt;$K232,2,IF(AND($B232="Program",OR($W232&gt;0,$V232=0)),0,1)))))</f>
        <v/>
      </c>
      <c r="Z232" s="31">
        <f>IF($A232="",0,IF($C232="Portfolio",1,IF(AND($B232="Project",$C232&lt;&gt;"",$C232&lt;&gt;"Outside the portfolio"),IFERROR(IF(AND(INDEX($B$6:$B$305,MATCH($C232,$A$6:$A$305,0))="Program",INDEX($C$6:$C$305,MATCH($C232,$A$6:$A$305,0))="Portfolio"),1,0),0),0)))</f>
        <v/>
      </c>
      <c r="AA232" s="31">
        <f>IF(AND($A232&lt;&gt;"",$E232="",OR($Q232=1,$D232="Proposed")),1,0)</f>
        <v/>
      </c>
      <c r="AB232" s="31">
        <f>IF(AND($A232&lt;&gt;"",$B232="Program",$F232="",$Q232=1),1,0)</f>
        <v/>
      </c>
      <c r="AC232" s="31">
        <f>IF(OR($A232="",$D232="Completed",$D232="Terminated"),0,IF($C232="",1,IF($C232="Portfolio",0,IF($C232="Outside the portfolio",IF($Q232=1,2,0),IF($B232="Project",IF(IFERROR(INDEX($B$6:$B$305,MATCH($C232,$A$6:$A$305,0)),"")="Program",0,1),1)))))</f>
        <v/>
      </c>
      <c r="AD232" s="31">
        <f>IF(AND($A232&lt;&gt;"",OR($M232="■ Red",$M232="◧ Amber"),$L232=""),1,0)</f>
        <v/>
      </c>
      <c r="AE232" s="31">
        <f>$AA232+$AB232+IF($AC232&gt;0,1,0)+$AD232</f>
        <v/>
      </c>
      <c r="AJ232" s="14" t="n"/>
      <c r="AK232" s="29" t="n"/>
      <c r="AL232" s="31">
        <f>IF(AND($Q232=1,$Z232=1),1,0)</f>
        <v/>
      </c>
      <c r="AM232" s="31">
        <f>IF(AND($AL232=1,$AJ232&lt;&gt;""),MAX(0,TODAY()-$AJ232),"")</f>
        <v/>
      </c>
      <c r="AN232" s="31">
        <f>IF(OR($AL232=0,COUNT($AJ$6:$AJ$305)=0),0,IF($AJ232="",1,IF(TODAY()-$AJ232&gt;Board!$B$40,1,0)))</f>
        <v/>
      </c>
      <c r="AO232" s="31">
        <f>IF($AL232=0,0,IF($M232="■ Red",3,IF($M232="◧ Amber",2,IF($M232="□ On track",1,0))))</f>
        <v/>
      </c>
      <c r="AP232" s="31">
        <f>IF($AL232=0,0,IF($AK232="Will not hold",3,IF($AK232="At risk",2,IF($AK232="Will hold",1,0))))</f>
        <v/>
      </c>
      <c r="AQ232" s="31">
        <f>IF($AL232=0,"",IF($AO232=3,0,IF($AO232=2,1,IF(AND($AP232&gt;=2,$AP232&gt;$AO232),2,""))))</f>
        <v/>
      </c>
      <c r="AR232" s="31">
        <f>IF($AQ232="","",$AQ232*1000+232)</f>
        <v/>
      </c>
      <c r="AS232" s="31">
        <f>IF(AND($AL232=1,$AO232&gt;=2,$AP232&gt;=1,$AP232&lt;$AO232),1,0)</f>
        <v/>
      </c>
      <c r="AT232" s="31">
        <f>IF(AND($AL232=1,$AO232&gt;=2,$AP232=0),1,0)</f>
        <v/>
      </c>
      <c r="AU232" s="31">
        <f>IF(AND($AL232=1,$U232&lt;&gt;"",$U232&lt;TODAY()),1,0)</f>
        <v/>
      </c>
      <c r="AV232" s="31">
        <f>IF(OR($A232="",$AJ232="",Portfolio!$B$10=""),0,IF($AJ232&lt;=Portfolio!$B$10,0,IF(AND($D232="Completed",$Z232=1),1,IF(AND($D232="Terminated",$Z232=1),2,IF(AND($Q232=1,$Z232=0),3,0)))))</f>
        <v/>
      </c>
      <c r="AW232" s="31">
        <f>IF($AV232&gt;0,COUNTIF($AV$6:$AV232,"&gt;0"),"")</f>
        <v/>
      </c>
      <c r="AX232" s="31">
        <f>IF($AL232=0,"",IF(AND($B232="Project",$H232&lt;&gt;"",$H232&lt;TODAY()),"Planned finish "&amp;TEXT($H232,"d mmm")&amp;" has passed",IF($X232&gt;=2,(NETWORKDAYS($H232,$U232)-1)&amp;" working days past plan","")))</f>
        <v/>
      </c>
      <c r="AY232" s="31">
        <f>IF($AL232=0,"",IF($Y232&gt;=2,"Over budget by "&amp;TEXT(IF($B232="Program",$V232,$J232)-$K232,"#,##0"),""))</f>
        <v/>
      </c>
      <c r="AZ232" s="31">
        <f>IF(AND($AL232=1,$U232&lt;&gt;""),IF(AND(N($U232)&gt;=TODAY(),N($U232)&lt;=TODAY()+Board!$B$41),1,0),0)</f>
        <v/>
      </c>
    </row>
    <row r="233">
      <c r="A233" s="29" t="n"/>
      <c r="B233" s="29" t="n"/>
      <c r="C233" s="29" t="n"/>
      <c r="D233" s="29" t="n"/>
      <c r="E233" s="29" t="n"/>
      <c r="F233" s="29" t="n"/>
      <c r="G233" s="29" t="n"/>
      <c r="H233" s="30" t="n"/>
      <c r="I233" s="30" t="n"/>
      <c r="J233" s="19" t="n"/>
      <c r="K233" s="19" t="n"/>
      <c r="L233" s="26" t="n"/>
      <c r="M233" s="31">
        <f>IF($A233="","",IF($D233="","Not read",IF($Q233=0,"Not counted",IF(MAX($X233,$Y233)=3,"■ Red",IF(MAX($X233,$Y233)=2,"◧ Amber",IF(MAX($X233,$Y233)=1,"□ On track","Not read"))))))</f>
        <v/>
      </c>
      <c r="N233" s="31">
        <f>IF(OR($A233="",$B233&lt;&gt;"Program"),"","■ "&amp;COUNTIFS($C$6:$C$305,$A233,$M$6:$M$305,"■ Red")&amp;" Red, ◧ "&amp;COUNTIFS($C$6:$C$305,$A233,$M$6:$M$305,"◧ Amber")&amp;" Amber")</f>
        <v/>
      </c>
      <c r="O233" s="32">
        <f>IF(OR($A233="",$E233=""),"",COUNTIFS($E$6:$E$305,$E233,$D$6:$D$305,"Active")+COUNTIFS($E$6:$E$305,$E233,$D$6:$D$305,"Paused"))</f>
        <v/>
      </c>
      <c r="P233" s="31">
        <f>IF($A233="","",IF($AE233=0,"○ Clear",IF($AA233=1,"△ No owner",IF($AC233=1,"△ Check Sits under",IF($AC233=2,"△ Outside the portfolio",IF($AB233=1,"△ No sponsor","△ No variance note"))))&amp;IF($AE233&gt;1," (+"&amp;($AE233-1)&amp;" more)","")))</f>
        <v/>
      </c>
      <c r="Q233" s="31">
        <f>IF(AND($A233&lt;&gt;"",OR($D233="Active",$D233="Paused")),1,0)</f>
        <v/>
      </c>
      <c r="R233" s="31">
        <f>IFERROR(INDEX($A$6:$A$305,MATCH(226,$S$6:$S$305,0)),"")</f>
        <v/>
      </c>
      <c r="S233" s="31">
        <f>IF(AND($A233&lt;&gt;"",$B233="Program"),COUNTIFS($B$6:$B233,"Program",$A$6:$A233,"&lt;&gt;"),"")</f>
        <v/>
      </c>
      <c r="T233" s="33">
        <f>IF(AND($A233&lt;&gt;"",$B233="Program"),SUMPRODUCT(MAX(($C$6:$C$305=$A233)*($B$6:$B$305="Project")*($D$6:$D$305&lt;&gt;"Proposed")*$I$6:$I$305)),0)</f>
        <v/>
      </c>
      <c r="U233" s="33">
        <f>IF($I233&lt;&gt;"",$I233,IF($T233&gt;0,$T233,""))</f>
        <v/>
      </c>
      <c r="V233" s="31">
        <f>IF(AND($A233&lt;&gt;"",$B233="Program"),SUMIFS($J$6:$J$305,$C$6:$C$305,$A233,$B$6:$B$305,"Project",$D$6:$D$305,"&lt;&gt;Proposed"),0)</f>
        <v/>
      </c>
      <c r="W233" s="31">
        <f>IF(AND($A233&lt;&gt;"",$B233="Program"),COUNTIFS($C$6:$C$305,$A233,$B$6:$B$305,"Project",$D$6:$D$305,"&lt;&gt;Proposed")-COUNTIFS($C$6:$C$305,$A233,$B$6:$B$305,"Project",$D$6:$D$305,"&lt;&gt;Proposed",$J$6:$J$305,"&gt;=0"),0)</f>
        <v/>
      </c>
      <c r="X233" s="31">
        <f>IF(OR($Q233=0,$H233=""),0,IF(AND($B233="Project",$H233&lt;TODAY()),3,IF($U233="",0,IF($U233&lt;=$H233,1,IF(NETWORKDAYS($H233,$U233)-1&gt;IF($B233="Program",Portfolio!$B$16,Portfolio!$B$15),3,2)))))</f>
        <v/>
      </c>
      <c r="Y233" s="31">
        <f>IF(OR($Q233=0,$K233="",$K233=0),0,IF(AND($B233="Project",$J233=""),0,IF(IF($B233="Program",$V233,$J233)&gt;$K233*(1+Portfolio!$B$17),3,IF(IF($B233="Program",$V233,$J233)&gt;$K233,2,IF(AND($B233="Program",OR($W233&gt;0,$V233=0)),0,1)))))</f>
        <v/>
      </c>
      <c r="Z233" s="31">
        <f>IF($A233="",0,IF($C233="Portfolio",1,IF(AND($B233="Project",$C233&lt;&gt;"",$C233&lt;&gt;"Outside the portfolio"),IFERROR(IF(AND(INDEX($B$6:$B$305,MATCH($C233,$A$6:$A$305,0))="Program",INDEX($C$6:$C$305,MATCH($C233,$A$6:$A$305,0))="Portfolio"),1,0),0),0)))</f>
        <v/>
      </c>
      <c r="AA233" s="31">
        <f>IF(AND($A233&lt;&gt;"",$E233="",OR($Q233=1,$D233="Proposed")),1,0)</f>
        <v/>
      </c>
      <c r="AB233" s="31">
        <f>IF(AND($A233&lt;&gt;"",$B233="Program",$F233="",$Q233=1),1,0)</f>
        <v/>
      </c>
      <c r="AC233" s="31">
        <f>IF(OR($A233="",$D233="Completed",$D233="Terminated"),0,IF($C233="",1,IF($C233="Portfolio",0,IF($C233="Outside the portfolio",IF($Q233=1,2,0),IF($B233="Project",IF(IFERROR(INDEX($B$6:$B$305,MATCH($C233,$A$6:$A$305,0)),"")="Program",0,1),1)))))</f>
        <v/>
      </c>
      <c r="AD233" s="31">
        <f>IF(AND($A233&lt;&gt;"",OR($M233="■ Red",$M233="◧ Amber"),$L233=""),1,0)</f>
        <v/>
      </c>
      <c r="AE233" s="31">
        <f>$AA233+$AB233+IF($AC233&gt;0,1,0)+$AD233</f>
        <v/>
      </c>
      <c r="AJ233" s="14" t="n"/>
      <c r="AK233" s="29" t="n"/>
      <c r="AL233" s="31">
        <f>IF(AND($Q233=1,$Z233=1),1,0)</f>
        <v/>
      </c>
      <c r="AM233" s="31">
        <f>IF(AND($AL233=1,$AJ233&lt;&gt;""),MAX(0,TODAY()-$AJ233),"")</f>
        <v/>
      </c>
      <c r="AN233" s="31">
        <f>IF(OR($AL233=0,COUNT($AJ$6:$AJ$305)=0),0,IF($AJ233="",1,IF(TODAY()-$AJ233&gt;Board!$B$40,1,0)))</f>
        <v/>
      </c>
      <c r="AO233" s="31">
        <f>IF($AL233=0,0,IF($M233="■ Red",3,IF($M233="◧ Amber",2,IF($M233="□ On track",1,0))))</f>
        <v/>
      </c>
      <c r="AP233" s="31">
        <f>IF($AL233=0,0,IF($AK233="Will not hold",3,IF($AK233="At risk",2,IF($AK233="Will hold",1,0))))</f>
        <v/>
      </c>
      <c r="AQ233" s="31">
        <f>IF($AL233=0,"",IF($AO233=3,0,IF($AO233=2,1,IF(AND($AP233&gt;=2,$AP233&gt;$AO233),2,""))))</f>
        <v/>
      </c>
      <c r="AR233" s="31">
        <f>IF($AQ233="","",$AQ233*1000+233)</f>
        <v/>
      </c>
      <c r="AS233" s="31">
        <f>IF(AND($AL233=1,$AO233&gt;=2,$AP233&gt;=1,$AP233&lt;$AO233),1,0)</f>
        <v/>
      </c>
      <c r="AT233" s="31">
        <f>IF(AND($AL233=1,$AO233&gt;=2,$AP233=0),1,0)</f>
        <v/>
      </c>
      <c r="AU233" s="31">
        <f>IF(AND($AL233=1,$U233&lt;&gt;"",$U233&lt;TODAY()),1,0)</f>
        <v/>
      </c>
      <c r="AV233" s="31">
        <f>IF(OR($A233="",$AJ233="",Portfolio!$B$10=""),0,IF($AJ233&lt;=Portfolio!$B$10,0,IF(AND($D233="Completed",$Z233=1),1,IF(AND($D233="Terminated",$Z233=1),2,IF(AND($Q233=1,$Z233=0),3,0)))))</f>
        <v/>
      </c>
      <c r="AW233" s="31">
        <f>IF($AV233&gt;0,COUNTIF($AV$6:$AV233,"&gt;0"),"")</f>
        <v/>
      </c>
      <c r="AX233" s="31">
        <f>IF($AL233=0,"",IF(AND($B233="Project",$H233&lt;&gt;"",$H233&lt;TODAY()),"Planned finish "&amp;TEXT($H233,"d mmm")&amp;" has passed",IF($X233&gt;=2,(NETWORKDAYS($H233,$U233)-1)&amp;" working days past plan","")))</f>
        <v/>
      </c>
      <c r="AY233" s="31">
        <f>IF($AL233=0,"",IF($Y233&gt;=2,"Over budget by "&amp;TEXT(IF($B233="Program",$V233,$J233)-$K233,"#,##0"),""))</f>
        <v/>
      </c>
      <c r="AZ233" s="31">
        <f>IF(AND($AL233=1,$U233&lt;&gt;""),IF(AND(N($U233)&gt;=TODAY(),N($U233)&lt;=TODAY()+Board!$B$41),1,0),0)</f>
        <v/>
      </c>
    </row>
    <row r="234">
      <c r="A234" s="29" t="n"/>
      <c r="B234" s="29" t="n"/>
      <c r="C234" s="29" t="n"/>
      <c r="D234" s="29" t="n"/>
      <c r="E234" s="29" t="n"/>
      <c r="F234" s="29" t="n"/>
      <c r="G234" s="29" t="n"/>
      <c r="H234" s="30" t="n"/>
      <c r="I234" s="30" t="n"/>
      <c r="J234" s="19" t="n"/>
      <c r="K234" s="19" t="n"/>
      <c r="L234" s="26" t="n"/>
      <c r="M234" s="31">
        <f>IF($A234="","",IF($D234="","Not read",IF($Q234=0,"Not counted",IF(MAX($X234,$Y234)=3,"■ Red",IF(MAX($X234,$Y234)=2,"◧ Amber",IF(MAX($X234,$Y234)=1,"□ On track","Not read"))))))</f>
        <v/>
      </c>
      <c r="N234" s="31">
        <f>IF(OR($A234="",$B234&lt;&gt;"Program"),"","■ "&amp;COUNTIFS($C$6:$C$305,$A234,$M$6:$M$305,"■ Red")&amp;" Red, ◧ "&amp;COUNTIFS($C$6:$C$305,$A234,$M$6:$M$305,"◧ Amber")&amp;" Amber")</f>
        <v/>
      </c>
      <c r="O234" s="32">
        <f>IF(OR($A234="",$E234=""),"",COUNTIFS($E$6:$E$305,$E234,$D$6:$D$305,"Active")+COUNTIFS($E$6:$E$305,$E234,$D$6:$D$305,"Paused"))</f>
        <v/>
      </c>
      <c r="P234" s="31">
        <f>IF($A234="","",IF($AE234=0,"○ Clear",IF($AA234=1,"△ No owner",IF($AC234=1,"△ Check Sits under",IF($AC234=2,"△ Outside the portfolio",IF($AB234=1,"△ No sponsor","△ No variance note"))))&amp;IF($AE234&gt;1," (+"&amp;($AE234-1)&amp;" more)","")))</f>
        <v/>
      </c>
      <c r="Q234" s="31">
        <f>IF(AND($A234&lt;&gt;"",OR($D234="Active",$D234="Paused")),1,0)</f>
        <v/>
      </c>
      <c r="R234" s="31">
        <f>IFERROR(INDEX($A$6:$A$305,MATCH(227,$S$6:$S$305,0)),"")</f>
        <v/>
      </c>
      <c r="S234" s="31">
        <f>IF(AND($A234&lt;&gt;"",$B234="Program"),COUNTIFS($B$6:$B234,"Program",$A$6:$A234,"&lt;&gt;"),"")</f>
        <v/>
      </c>
      <c r="T234" s="33">
        <f>IF(AND($A234&lt;&gt;"",$B234="Program"),SUMPRODUCT(MAX(($C$6:$C$305=$A234)*($B$6:$B$305="Project")*($D$6:$D$305&lt;&gt;"Proposed")*$I$6:$I$305)),0)</f>
        <v/>
      </c>
      <c r="U234" s="33">
        <f>IF($I234&lt;&gt;"",$I234,IF($T234&gt;0,$T234,""))</f>
        <v/>
      </c>
      <c r="V234" s="31">
        <f>IF(AND($A234&lt;&gt;"",$B234="Program"),SUMIFS($J$6:$J$305,$C$6:$C$305,$A234,$B$6:$B$305,"Project",$D$6:$D$305,"&lt;&gt;Proposed"),0)</f>
        <v/>
      </c>
      <c r="W234" s="31">
        <f>IF(AND($A234&lt;&gt;"",$B234="Program"),COUNTIFS($C$6:$C$305,$A234,$B$6:$B$305,"Project",$D$6:$D$305,"&lt;&gt;Proposed")-COUNTIFS($C$6:$C$305,$A234,$B$6:$B$305,"Project",$D$6:$D$305,"&lt;&gt;Proposed",$J$6:$J$305,"&gt;=0"),0)</f>
        <v/>
      </c>
      <c r="X234" s="31">
        <f>IF(OR($Q234=0,$H234=""),0,IF(AND($B234="Project",$H234&lt;TODAY()),3,IF($U234="",0,IF($U234&lt;=$H234,1,IF(NETWORKDAYS($H234,$U234)-1&gt;IF($B234="Program",Portfolio!$B$16,Portfolio!$B$15),3,2)))))</f>
        <v/>
      </c>
      <c r="Y234" s="31">
        <f>IF(OR($Q234=0,$K234="",$K234=0),0,IF(AND($B234="Project",$J234=""),0,IF(IF($B234="Program",$V234,$J234)&gt;$K234*(1+Portfolio!$B$17),3,IF(IF($B234="Program",$V234,$J234)&gt;$K234,2,IF(AND($B234="Program",OR($W234&gt;0,$V234=0)),0,1)))))</f>
        <v/>
      </c>
      <c r="Z234" s="31">
        <f>IF($A234="",0,IF($C234="Portfolio",1,IF(AND($B234="Project",$C234&lt;&gt;"",$C234&lt;&gt;"Outside the portfolio"),IFERROR(IF(AND(INDEX($B$6:$B$305,MATCH($C234,$A$6:$A$305,0))="Program",INDEX($C$6:$C$305,MATCH($C234,$A$6:$A$305,0))="Portfolio"),1,0),0),0)))</f>
        <v/>
      </c>
      <c r="AA234" s="31">
        <f>IF(AND($A234&lt;&gt;"",$E234="",OR($Q234=1,$D234="Proposed")),1,0)</f>
        <v/>
      </c>
      <c r="AB234" s="31">
        <f>IF(AND($A234&lt;&gt;"",$B234="Program",$F234="",$Q234=1),1,0)</f>
        <v/>
      </c>
      <c r="AC234" s="31">
        <f>IF(OR($A234="",$D234="Completed",$D234="Terminated"),0,IF($C234="",1,IF($C234="Portfolio",0,IF($C234="Outside the portfolio",IF($Q234=1,2,0),IF($B234="Project",IF(IFERROR(INDEX($B$6:$B$305,MATCH($C234,$A$6:$A$305,0)),"")="Program",0,1),1)))))</f>
        <v/>
      </c>
      <c r="AD234" s="31">
        <f>IF(AND($A234&lt;&gt;"",OR($M234="■ Red",$M234="◧ Amber"),$L234=""),1,0)</f>
        <v/>
      </c>
      <c r="AE234" s="31">
        <f>$AA234+$AB234+IF($AC234&gt;0,1,0)+$AD234</f>
        <v/>
      </c>
      <c r="AJ234" s="14" t="n"/>
      <c r="AK234" s="29" t="n"/>
      <c r="AL234" s="31">
        <f>IF(AND($Q234=1,$Z234=1),1,0)</f>
        <v/>
      </c>
      <c r="AM234" s="31">
        <f>IF(AND($AL234=1,$AJ234&lt;&gt;""),MAX(0,TODAY()-$AJ234),"")</f>
        <v/>
      </c>
      <c r="AN234" s="31">
        <f>IF(OR($AL234=0,COUNT($AJ$6:$AJ$305)=0),0,IF($AJ234="",1,IF(TODAY()-$AJ234&gt;Board!$B$40,1,0)))</f>
        <v/>
      </c>
      <c r="AO234" s="31">
        <f>IF($AL234=0,0,IF($M234="■ Red",3,IF($M234="◧ Amber",2,IF($M234="□ On track",1,0))))</f>
        <v/>
      </c>
      <c r="AP234" s="31">
        <f>IF($AL234=0,0,IF($AK234="Will not hold",3,IF($AK234="At risk",2,IF($AK234="Will hold",1,0))))</f>
        <v/>
      </c>
      <c r="AQ234" s="31">
        <f>IF($AL234=0,"",IF($AO234=3,0,IF($AO234=2,1,IF(AND($AP234&gt;=2,$AP234&gt;$AO234),2,""))))</f>
        <v/>
      </c>
      <c r="AR234" s="31">
        <f>IF($AQ234="","",$AQ234*1000+234)</f>
        <v/>
      </c>
      <c r="AS234" s="31">
        <f>IF(AND($AL234=1,$AO234&gt;=2,$AP234&gt;=1,$AP234&lt;$AO234),1,0)</f>
        <v/>
      </c>
      <c r="AT234" s="31">
        <f>IF(AND($AL234=1,$AO234&gt;=2,$AP234=0),1,0)</f>
        <v/>
      </c>
      <c r="AU234" s="31">
        <f>IF(AND($AL234=1,$U234&lt;&gt;"",$U234&lt;TODAY()),1,0)</f>
        <v/>
      </c>
      <c r="AV234" s="31">
        <f>IF(OR($A234="",$AJ234="",Portfolio!$B$10=""),0,IF($AJ234&lt;=Portfolio!$B$10,0,IF(AND($D234="Completed",$Z234=1),1,IF(AND($D234="Terminated",$Z234=1),2,IF(AND($Q234=1,$Z234=0),3,0)))))</f>
        <v/>
      </c>
      <c r="AW234" s="31">
        <f>IF($AV234&gt;0,COUNTIF($AV$6:$AV234,"&gt;0"),"")</f>
        <v/>
      </c>
      <c r="AX234" s="31">
        <f>IF($AL234=0,"",IF(AND($B234="Project",$H234&lt;&gt;"",$H234&lt;TODAY()),"Planned finish "&amp;TEXT($H234,"d mmm")&amp;" has passed",IF($X234&gt;=2,(NETWORKDAYS($H234,$U234)-1)&amp;" working days past plan","")))</f>
        <v/>
      </c>
      <c r="AY234" s="31">
        <f>IF($AL234=0,"",IF($Y234&gt;=2,"Over budget by "&amp;TEXT(IF($B234="Program",$V234,$J234)-$K234,"#,##0"),""))</f>
        <v/>
      </c>
      <c r="AZ234" s="31">
        <f>IF(AND($AL234=1,$U234&lt;&gt;""),IF(AND(N($U234)&gt;=TODAY(),N($U234)&lt;=TODAY()+Board!$B$41),1,0),0)</f>
        <v/>
      </c>
    </row>
    <row r="235">
      <c r="A235" s="29" t="n"/>
      <c r="B235" s="29" t="n"/>
      <c r="C235" s="29" t="n"/>
      <c r="D235" s="29" t="n"/>
      <c r="E235" s="29" t="n"/>
      <c r="F235" s="29" t="n"/>
      <c r="G235" s="29" t="n"/>
      <c r="H235" s="30" t="n"/>
      <c r="I235" s="30" t="n"/>
      <c r="J235" s="19" t="n"/>
      <c r="K235" s="19" t="n"/>
      <c r="L235" s="26" t="n"/>
      <c r="M235" s="31">
        <f>IF($A235="","",IF($D235="","Not read",IF($Q235=0,"Not counted",IF(MAX($X235,$Y235)=3,"■ Red",IF(MAX($X235,$Y235)=2,"◧ Amber",IF(MAX($X235,$Y235)=1,"□ On track","Not read"))))))</f>
        <v/>
      </c>
      <c r="N235" s="31">
        <f>IF(OR($A235="",$B235&lt;&gt;"Program"),"","■ "&amp;COUNTIFS($C$6:$C$305,$A235,$M$6:$M$305,"■ Red")&amp;" Red, ◧ "&amp;COUNTIFS($C$6:$C$305,$A235,$M$6:$M$305,"◧ Amber")&amp;" Amber")</f>
        <v/>
      </c>
      <c r="O235" s="32">
        <f>IF(OR($A235="",$E235=""),"",COUNTIFS($E$6:$E$305,$E235,$D$6:$D$305,"Active")+COUNTIFS($E$6:$E$305,$E235,$D$6:$D$305,"Paused"))</f>
        <v/>
      </c>
      <c r="P235" s="31">
        <f>IF($A235="","",IF($AE235=0,"○ Clear",IF($AA235=1,"△ No owner",IF($AC235=1,"△ Check Sits under",IF($AC235=2,"△ Outside the portfolio",IF($AB235=1,"△ No sponsor","△ No variance note"))))&amp;IF($AE235&gt;1," (+"&amp;($AE235-1)&amp;" more)","")))</f>
        <v/>
      </c>
      <c r="Q235" s="31">
        <f>IF(AND($A235&lt;&gt;"",OR($D235="Active",$D235="Paused")),1,0)</f>
        <v/>
      </c>
      <c r="R235" s="31">
        <f>IFERROR(INDEX($A$6:$A$305,MATCH(228,$S$6:$S$305,0)),"")</f>
        <v/>
      </c>
      <c r="S235" s="31">
        <f>IF(AND($A235&lt;&gt;"",$B235="Program"),COUNTIFS($B$6:$B235,"Program",$A$6:$A235,"&lt;&gt;"),"")</f>
        <v/>
      </c>
      <c r="T235" s="33">
        <f>IF(AND($A235&lt;&gt;"",$B235="Program"),SUMPRODUCT(MAX(($C$6:$C$305=$A235)*($B$6:$B$305="Project")*($D$6:$D$305&lt;&gt;"Proposed")*$I$6:$I$305)),0)</f>
        <v/>
      </c>
      <c r="U235" s="33">
        <f>IF($I235&lt;&gt;"",$I235,IF($T235&gt;0,$T235,""))</f>
        <v/>
      </c>
      <c r="V235" s="31">
        <f>IF(AND($A235&lt;&gt;"",$B235="Program"),SUMIFS($J$6:$J$305,$C$6:$C$305,$A235,$B$6:$B$305,"Project",$D$6:$D$305,"&lt;&gt;Proposed"),0)</f>
        <v/>
      </c>
      <c r="W235" s="31">
        <f>IF(AND($A235&lt;&gt;"",$B235="Program"),COUNTIFS($C$6:$C$305,$A235,$B$6:$B$305,"Project",$D$6:$D$305,"&lt;&gt;Proposed")-COUNTIFS($C$6:$C$305,$A235,$B$6:$B$305,"Project",$D$6:$D$305,"&lt;&gt;Proposed",$J$6:$J$305,"&gt;=0"),0)</f>
        <v/>
      </c>
      <c r="X235" s="31">
        <f>IF(OR($Q235=0,$H235=""),0,IF(AND($B235="Project",$H235&lt;TODAY()),3,IF($U235="",0,IF($U235&lt;=$H235,1,IF(NETWORKDAYS($H235,$U235)-1&gt;IF($B235="Program",Portfolio!$B$16,Portfolio!$B$15),3,2)))))</f>
        <v/>
      </c>
      <c r="Y235" s="31">
        <f>IF(OR($Q235=0,$K235="",$K235=0),0,IF(AND($B235="Project",$J235=""),0,IF(IF($B235="Program",$V235,$J235)&gt;$K235*(1+Portfolio!$B$17),3,IF(IF($B235="Program",$V235,$J235)&gt;$K235,2,IF(AND($B235="Program",OR($W235&gt;0,$V235=0)),0,1)))))</f>
        <v/>
      </c>
      <c r="Z235" s="31">
        <f>IF($A235="",0,IF($C235="Portfolio",1,IF(AND($B235="Project",$C235&lt;&gt;"",$C235&lt;&gt;"Outside the portfolio"),IFERROR(IF(AND(INDEX($B$6:$B$305,MATCH($C235,$A$6:$A$305,0))="Program",INDEX($C$6:$C$305,MATCH($C235,$A$6:$A$305,0))="Portfolio"),1,0),0),0)))</f>
        <v/>
      </c>
      <c r="AA235" s="31">
        <f>IF(AND($A235&lt;&gt;"",$E235="",OR($Q235=1,$D235="Proposed")),1,0)</f>
        <v/>
      </c>
      <c r="AB235" s="31">
        <f>IF(AND($A235&lt;&gt;"",$B235="Program",$F235="",$Q235=1),1,0)</f>
        <v/>
      </c>
      <c r="AC235" s="31">
        <f>IF(OR($A235="",$D235="Completed",$D235="Terminated"),0,IF($C235="",1,IF($C235="Portfolio",0,IF($C235="Outside the portfolio",IF($Q235=1,2,0),IF($B235="Project",IF(IFERROR(INDEX($B$6:$B$305,MATCH($C235,$A$6:$A$305,0)),"")="Program",0,1),1)))))</f>
        <v/>
      </c>
      <c r="AD235" s="31">
        <f>IF(AND($A235&lt;&gt;"",OR($M235="■ Red",$M235="◧ Amber"),$L235=""),1,0)</f>
        <v/>
      </c>
      <c r="AE235" s="31">
        <f>$AA235+$AB235+IF($AC235&gt;0,1,0)+$AD235</f>
        <v/>
      </c>
      <c r="AJ235" s="14" t="n"/>
      <c r="AK235" s="29" t="n"/>
      <c r="AL235" s="31">
        <f>IF(AND($Q235=1,$Z235=1),1,0)</f>
        <v/>
      </c>
      <c r="AM235" s="31">
        <f>IF(AND($AL235=1,$AJ235&lt;&gt;""),MAX(0,TODAY()-$AJ235),"")</f>
        <v/>
      </c>
      <c r="AN235" s="31">
        <f>IF(OR($AL235=0,COUNT($AJ$6:$AJ$305)=0),0,IF($AJ235="",1,IF(TODAY()-$AJ235&gt;Board!$B$40,1,0)))</f>
        <v/>
      </c>
      <c r="AO235" s="31">
        <f>IF($AL235=0,0,IF($M235="■ Red",3,IF($M235="◧ Amber",2,IF($M235="□ On track",1,0))))</f>
        <v/>
      </c>
      <c r="AP235" s="31">
        <f>IF($AL235=0,0,IF($AK235="Will not hold",3,IF($AK235="At risk",2,IF($AK235="Will hold",1,0))))</f>
        <v/>
      </c>
      <c r="AQ235" s="31">
        <f>IF($AL235=0,"",IF($AO235=3,0,IF($AO235=2,1,IF(AND($AP235&gt;=2,$AP235&gt;$AO235),2,""))))</f>
        <v/>
      </c>
      <c r="AR235" s="31">
        <f>IF($AQ235="","",$AQ235*1000+235)</f>
        <v/>
      </c>
      <c r="AS235" s="31">
        <f>IF(AND($AL235=1,$AO235&gt;=2,$AP235&gt;=1,$AP235&lt;$AO235),1,0)</f>
        <v/>
      </c>
      <c r="AT235" s="31">
        <f>IF(AND($AL235=1,$AO235&gt;=2,$AP235=0),1,0)</f>
        <v/>
      </c>
      <c r="AU235" s="31">
        <f>IF(AND($AL235=1,$U235&lt;&gt;"",$U235&lt;TODAY()),1,0)</f>
        <v/>
      </c>
      <c r="AV235" s="31">
        <f>IF(OR($A235="",$AJ235="",Portfolio!$B$10=""),0,IF($AJ235&lt;=Portfolio!$B$10,0,IF(AND($D235="Completed",$Z235=1),1,IF(AND($D235="Terminated",$Z235=1),2,IF(AND($Q235=1,$Z235=0),3,0)))))</f>
        <v/>
      </c>
      <c r="AW235" s="31">
        <f>IF($AV235&gt;0,COUNTIF($AV$6:$AV235,"&gt;0"),"")</f>
        <v/>
      </c>
      <c r="AX235" s="31">
        <f>IF($AL235=0,"",IF(AND($B235="Project",$H235&lt;&gt;"",$H235&lt;TODAY()),"Planned finish "&amp;TEXT($H235,"d mmm")&amp;" has passed",IF($X235&gt;=2,(NETWORKDAYS($H235,$U235)-1)&amp;" working days past plan","")))</f>
        <v/>
      </c>
      <c r="AY235" s="31">
        <f>IF($AL235=0,"",IF($Y235&gt;=2,"Over budget by "&amp;TEXT(IF($B235="Program",$V235,$J235)-$K235,"#,##0"),""))</f>
        <v/>
      </c>
      <c r="AZ235" s="31">
        <f>IF(AND($AL235=1,$U235&lt;&gt;""),IF(AND(N($U235)&gt;=TODAY(),N($U235)&lt;=TODAY()+Board!$B$41),1,0),0)</f>
        <v/>
      </c>
    </row>
    <row r="236">
      <c r="A236" s="29" t="n"/>
      <c r="B236" s="29" t="n"/>
      <c r="C236" s="29" t="n"/>
      <c r="D236" s="29" t="n"/>
      <c r="E236" s="29" t="n"/>
      <c r="F236" s="29" t="n"/>
      <c r="G236" s="29" t="n"/>
      <c r="H236" s="30" t="n"/>
      <c r="I236" s="30" t="n"/>
      <c r="J236" s="19" t="n"/>
      <c r="K236" s="19" t="n"/>
      <c r="L236" s="26" t="n"/>
      <c r="M236" s="31">
        <f>IF($A236="","",IF($D236="","Not read",IF($Q236=0,"Not counted",IF(MAX($X236,$Y236)=3,"■ Red",IF(MAX($X236,$Y236)=2,"◧ Amber",IF(MAX($X236,$Y236)=1,"□ On track","Not read"))))))</f>
        <v/>
      </c>
      <c r="N236" s="31">
        <f>IF(OR($A236="",$B236&lt;&gt;"Program"),"","■ "&amp;COUNTIFS($C$6:$C$305,$A236,$M$6:$M$305,"■ Red")&amp;" Red, ◧ "&amp;COUNTIFS($C$6:$C$305,$A236,$M$6:$M$305,"◧ Amber")&amp;" Amber")</f>
        <v/>
      </c>
      <c r="O236" s="32">
        <f>IF(OR($A236="",$E236=""),"",COUNTIFS($E$6:$E$305,$E236,$D$6:$D$305,"Active")+COUNTIFS($E$6:$E$305,$E236,$D$6:$D$305,"Paused"))</f>
        <v/>
      </c>
      <c r="P236" s="31">
        <f>IF($A236="","",IF($AE236=0,"○ Clear",IF($AA236=1,"△ No owner",IF($AC236=1,"△ Check Sits under",IF($AC236=2,"△ Outside the portfolio",IF($AB236=1,"△ No sponsor","△ No variance note"))))&amp;IF($AE236&gt;1," (+"&amp;($AE236-1)&amp;" more)","")))</f>
        <v/>
      </c>
      <c r="Q236" s="31">
        <f>IF(AND($A236&lt;&gt;"",OR($D236="Active",$D236="Paused")),1,0)</f>
        <v/>
      </c>
      <c r="R236" s="31">
        <f>IFERROR(INDEX($A$6:$A$305,MATCH(229,$S$6:$S$305,0)),"")</f>
        <v/>
      </c>
      <c r="S236" s="31">
        <f>IF(AND($A236&lt;&gt;"",$B236="Program"),COUNTIFS($B$6:$B236,"Program",$A$6:$A236,"&lt;&gt;"),"")</f>
        <v/>
      </c>
      <c r="T236" s="33">
        <f>IF(AND($A236&lt;&gt;"",$B236="Program"),SUMPRODUCT(MAX(($C$6:$C$305=$A236)*($B$6:$B$305="Project")*($D$6:$D$305&lt;&gt;"Proposed")*$I$6:$I$305)),0)</f>
        <v/>
      </c>
      <c r="U236" s="33">
        <f>IF($I236&lt;&gt;"",$I236,IF($T236&gt;0,$T236,""))</f>
        <v/>
      </c>
      <c r="V236" s="31">
        <f>IF(AND($A236&lt;&gt;"",$B236="Program"),SUMIFS($J$6:$J$305,$C$6:$C$305,$A236,$B$6:$B$305,"Project",$D$6:$D$305,"&lt;&gt;Proposed"),0)</f>
        <v/>
      </c>
      <c r="W236" s="31">
        <f>IF(AND($A236&lt;&gt;"",$B236="Program"),COUNTIFS($C$6:$C$305,$A236,$B$6:$B$305,"Project",$D$6:$D$305,"&lt;&gt;Proposed")-COUNTIFS($C$6:$C$305,$A236,$B$6:$B$305,"Project",$D$6:$D$305,"&lt;&gt;Proposed",$J$6:$J$305,"&gt;=0"),0)</f>
        <v/>
      </c>
      <c r="X236" s="31">
        <f>IF(OR($Q236=0,$H236=""),0,IF(AND($B236="Project",$H236&lt;TODAY()),3,IF($U236="",0,IF($U236&lt;=$H236,1,IF(NETWORKDAYS($H236,$U236)-1&gt;IF($B236="Program",Portfolio!$B$16,Portfolio!$B$15),3,2)))))</f>
        <v/>
      </c>
      <c r="Y236" s="31">
        <f>IF(OR($Q236=0,$K236="",$K236=0),0,IF(AND($B236="Project",$J236=""),0,IF(IF($B236="Program",$V236,$J236)&gt;$K236*(1+Portfolio!$B$17),3,IF(IF($B236="Program",$V236,$J236)&gt;$K236,2,IF(AND($B236="Program",OR($W236&gt;0,$V236=0)),0,1)))))</f>
        <v/>
      </c>
      <c r="Z236" s="31">
        <f>IF($A236="",0,IF($C236="Portfolio",1,IF(AND($B236="Project",$C236&lt;&gt;"",$C236&lt;&gt;"Outside the portfolio"),IFERROR(IF(AND(INDEX($B$6:$B$305,MATCH($C236,$A$6:$A$305,0))="Program",INDEX($C$6:$C$305,MATCH($C236,$A$6:$A$305,0))="Portfolio"),1,0),0),0)))</f>
        <v/>
      </c>
      <c r="AA236" s="31">
        <f>IF(AND($A236&lt;&gt;"",$E236="",OR($Q236=1,$D236="Proposed")),1,0)</f>
        <v/>
      </c>
      <c r="AB236" s="31">
        <f>IF(AND($A236&lt;&gt;"",$B236="Program",$F236="",$Q236=1),1,0)</f>
        <v/>
      </c>
      <c r="AC236" s="31">
        <f>IF(OR($A236="",$D236="Completed",$D236="Terminated"),0,IF($C236="",1,IF($C236="Portfolio",0,IF($C236="Outside the portfolio",IF($Q236=1,2,0),IF($B236="Project",IF(IFERROR(INDEX($B$6:$B$305,MATCH($C236,$A$6:$A$305,0)),"")="Program",0,1),1)))))</f>
        <v/>
      </c>
      <c r="AD236" s="31">
        <f>IF(AND($A236&lt;&gt;"",OR($M236="■ Red",$M236="◧ Amber"),$L236=""),1,0)</f>
        <v/>
      </c>
      <c r="AE236" s="31">
        <f>$AA236+$AB236+IF($AC236&gt;0,1,0)+$AD236</f>
        <v/>
      </c>
      <c r="AJ236" s="14" t="n"/>
      <c r="AK236" s="29" t="n"/>
      <c r="AL236" s="31">
        <f>IF(AND($Q236=1,$Z236=1),1,0)</f>
        <v/>
      </c>
      <c r="AM236" s="31">
        <f>IF(AND($AL236=1,$AJ236&lt;&gt;""),MAX(0,TODAY()-$AJ236),"")</f>
        <v/>
      </c>
      <c r="AN236" s="31">
        <f>IF(OR($AL236=0,COUNT($AJ$6:$AJ$305)=0),0,IF($AJ236="",1,IF(TODAY()-$AJ236&gt;Board!$B$40,1,0)))</f>
        <v/>
      </c>
      <c r="AO236" s="31">
        <f>IF($AL236=0,0,IF($M236="■ Red",3,IF($M236="◧ Amber",2,IF($M236="□ On track",1,0))))</f>
        <v/>
      </c>
      <c r="AP236" s="31">
        <f>IF($AL236=0,0,IF($AK236="Will not hold",3,IF($AK236="At risk",2,IF($AK236="Will hold",1,0))))</f>
        <v/>
      </c>
      <c r="AQ236" s="31">
        <f>IF($AL236=0,"",IF($AO236=3,0,IF($AO236=2,1,IF(AND($AP236&gt;=2,$AP236&gt;$AO236),2,""))))</f>
        <v/>
      </c>
      <c r="AR236" s="31">
        <f>IF($AQ236="","",$AQ236*1000+236)</f>
        <v/>
      </c>
      <c r="AS236" s="31">
        <f>IF(AND($AL236=1,$AO236&gt;=2,$AP236&gt;=1,$AP236&lt;$AO236),1,0)</f>
        <v/>
      </c>
      <c r="AT236" s="31">
        <f>IF(AND($AL236=1,$AO236&gt;=2,$AP236=0),1,0)</f>
        <v/>
      </c>
      <c r="AU236" s="31">
        <f>IF(AND($AL236=1,$U236&lt;&gt;"",$U236&lt;TODAY()),1,0)</f>
        <v/>
      </c>
      <c r="AV236" s="31">
        <f>IF(OR($A236="",$AJ236="",Portfolio!$B$10=""),0,IF($AJ236&lt;=Portfolio!$B$10,0,IF(AND($D236="Completed",$Z236=1),1,IF(AND($D236="Terminated",$Z236=1),2,IF(AND($Q236=1,$Z236=0),3,0)))))</f>
        <v/>
      </c>
      <c r="AW236" s="31">
        <f>IF($AV236&gt;0,COUNTIF($AV$6:$AV236,"&gt;0"),"")</f>
        <v/>
      </c>
      <c r="AX236" s="31">
        <f>IF($AL236=0,"",IF(AND($B236="Project",$H236&lt;&gt;"",$H236&lt;TODAY()),"Planned finish "&amp;TEXT($H236,"d mmm")&amp;" has passed",IF($X236&gt;=2,(NETWORKDAYS($H236,$U236)-1)&amp;" working days past plan","")))</f>
        <v/>
      </c>
      <c r="AY236" s="31">
        <f>IF($AL236=0,"",IF($Y236&gt;=2,"Over budget by "&amp;TEXT(IF($B236="Program",$V236,$J236)-$K236,"#,##0"),""))</f>
        <v/>
      </c>
      <c r="AZ236" s="31">
        <f>IF(AND($AL236=1,$U236&lt;&gt;""),IF(AND(N($U236)&gt;=TODAY(),N($U236)&lt;=TODAY()+Board!$B$41),1,0),0)</f>
        <v/>
      </c>
    </row>
    <row r="237">
      <c r="A237" s="29" t="n"/>
      <c r="B237" s="29" t="n"/>
      <c r="C237" s="29" t="n"/>
      <c r="D237" s="29" t="n"/>
      <c r="E237" s="29" t="n"/>
      <c r="F237" s="29" t="n"/>
      <c r="G237" s="29" t="n"/>
      <c r="H237" s="30" t="n"/>
      <c r="I237" s="30" t="n"/>
      <c r="J237" s="19" t="n"/>
      <c r="K237" s="19" t="n"/>
      <c r="L237" s="26" t="n"/>
      <c r="M237" s="31">
        <f>IF($A237="","",IF($D237="","Not read",IF($Q237=0,"Not counted",IF(MAX($X237,$Y237)=3,"■ Red",IF(MAX($X237,$Y237)=2,"◧ Amber",IF(MAX($X237,$Y237)=1,"□ On track","Not read"))))))</f>
        <v/>
      </c>
      <c r="N237" s="31">
        <f>IF(OR($A237="",$B237&lt;&gt;"Program"),"","■ "&amp;COUNTIFS($C$6:$C$305,$A237,$M$6:$M$305,"■ Red")&amp;" Red, ◧ "&amp;COUNTIFS($C$6:$C$305,$A237,$M$6:$M$305,"◧ Amber")&amp;" Amber")</f>
        <v/>
      </c>
      <c r="O237" s="32">
        <f>IF(OR($A237="",$E237=""),"",COUNTIFS($E$6:$E$305,$E237,$D$6:$D$305,"Active")+COUNTIFS($E$6:$E$305,$E237,$D$6:$D$305,"Paused"))</f>
        <v/>
      </c>
      <c r="P237" s="31">
        <f>IF($A237="","",IF($AE237=0,"○ Clear",IF($AA237=1,"△ No owner",IF($AC237=1,"△ Check Sits under",IF($AC237=2,"△ Outside the portfolio",IF($AB237=1,"△ No sponsor","△ No variance note"))))&amp;IF($AE237&gt;1," (+"&amp;($AE237-1)&amp;" more)","")))</f>
        <v/>
      </c>
      <c r="Q237" s="31">
        <f>IF(AND($A237&lt;&gt;"",OR($D237="Active",$D237="Paused")),1,0)</f>
        <v/>
      </c>
      <c r="R237" s="31">
        <f>IFERROR(INDEX($A$6:$A$305,MATCH(230,$S$6:$S$305,0)),"")</f>
        <v/>
      </c>
      <c r="S237" s="31">
        <f>IF(AND($A237&lt;&gt;"",$B237="Program"),COUNTIFS($B$6:$B237,"Program",$A$6:$A237,"&lt;&gt;"),"")</f>
        <v/>
      </c>
      <c r="T237" s="33">
        <f>IF(AND($A237&lt;&gt;"",$B237="Program"),SUMPRODUCT(MAX(($C$6:$C$305=$A237)*($B$6:$B$305="Project")*($D$6:$D$305&lt;&gt;"Proposed")*$I$6:$I$305)),0)</f>
        <v/>
      </c>
      <c r="U237" s="33">
        <f>IF($I237&lt;&gt;"",$I237,IF($T237&gt;0,$T237,""))</f>
        <v/>
      </c>
      <c r="V237" s="31">
        <f>IF(AND($A237&lt;&gt;"",$B237="Program"),SUMIFS($J$6:$J$305,$C$6:$C$305,$A237,$B$6:$B$305,"Project",$D$6:$D$305,"&lt;&gt;Proposed"),0)</f>
        <v/>
      </c>
      <c r="W237" s="31">
        <f>IF(AND($A237&lt;&gt;"",$B237="Program"),COUNTIFS($C$6:$C$305,$A237,$B$6:$B$305,"Project",$D$6:$D$305,"&lt;&gt;Proposed")-COUNTIFS($C$6:$C$305,$A237,$B$6:$B$305,"Project",$D$6:$D$305,"&lt;&gt;Proposed",$J$6:$J$305,"&gt;=0"),0)</f>
        <v/>
      </c>
      <c r="X237" s="31">
        <f>IF(OR($Q237=0,$H237=""),0,IF(AND($B237="Project",$H237&lt;TODAY()),3,IF($U237="",0,IF($U237&lt;=$H237,1,IF(NETWORKDAYS($H237,$U237)-1&gt;IF($B237="Program",Portfolio!$B$16,Portfolio!$B$15),3,2)))))</f>
        <v/>
      </c>
      <c r="Y237" s="31">
        <f>IF(OR($Q237=0,$K237="",$K237=0),0,IF(AND($B237="Project",$J237=""),0,IF(IF($B237="Program",$V237,$J237)&gt;$K237*(1+Portfolio!$B$17),3,IF(IF($B237="Program",$V237,$J237)&gt;$K237,2,IF(AND($B237="Program",OR($W237&gt;0,$V237=0)),0,1)))))</f>
        <v/>
      </c>
      <c r="Z237" s="31">
        <f>IF($A237="",0,IF($C237="Portfolio",1,IF(AND($B237="Project",$C237&lt;&gt;"",$C237&lt;&gt;"Outside the portfolio"),IFERROR(IF(AND(INDEX($B$6:$B$305,MATCH($C237,$A$6:$A$305,0))="Program",INDEX($C$6:$C$305,MATCH($C237,$A$6:$A$305,0))="Portfolio"),1,0),0),0)))</f>
        <v/>
      </c>
      <c r="AA237" s="31">
        <f>IF(AND($A237&lt;&gt;"",$E237="",OR($Q237=1,$D237="Proposed")),1,0)</f>
        <v/>
      </c>
      <c r="AB237" s="31">
        <f>IF(AND($A237&lt;&gt;"",$B237="Program",$F237="",$Q237=1),1,0)</f>
        <v/>
      </c>
      <c r="AC237" s="31">
        <f>IF(OR($A237="",$D237="Completed",$D237="Terminated"),0,IF($C237="",1,IF($C237="Portfolio",0,IF($C237="Outside the portfolio",IF($Q237=1,2,0),IF($B237="Project",IF(IFERROR(INDEX($B$6:$B$305,MATCH($C237,$A$6:$A$305,0)),"")="Program",0,1),1)))))</f>
        <v/>
      </c>
      <c r="AD237" s="31">
        <f>IF(AND($A237&lt;&gt;"",OR($M237="■ Red",$M237="◧ Amber"),$L237=""),1,0)</f>
        <v/>
      </c>
      <c r="AE237" s="31">
        <f>$AA237+$AB237+IF($AC237&gt;0,1,0)+$AD237</f>
        <v/>
      </c>
      <c r="AJ237" s="14" t="n"/>
      <c r="AK237" s="29" t="n"/>
      <c r="AL237" s="31">
        <f>IF(AND($Q237=1,$Z237=1),1,0)</f>
        <v/>
      </c>
      <c r="AM237" s="31">
        <f>IF(AND($AL237=1,$AJ237&lt;&gt;""),MAX(0,TODAY()-$AJ237),"")</f>
        <v/>
      </c>
      <c r="AN237" s="31">
        <f>IF(OR($AL237=0,COUNT($AJ$6:$AJ$305)=0),0,IF($AJ237="",1,IF(TODAY()-$AJ237&gt;Board!$B$40,1,0)))</f>
        <v/>
      </c>
      <c r="AO237" s="31">
        <f>IF($AL237=0,0,IF($M237="■ Red",3,IF($M237="◧ Amber",2,IF($M237="□ On track",1,0))))</f>
        <v/>
      </c>
      <c r="AP237" s="31">
        <f>IF($AL237=0,0,IF($AK237="Will not hold",3,IF($AK237="At risk",2,IF($AK237="Will hold",1,0))))</f>
        <v/>
      </c>
      <c r="AQ237" s="31">
        <f>IF($AL237=0,"",IF($AO237=3,0,IF($AO237=2,1,IF(AND($AP237&gt;=2,$AP237&gt;$AO237),2,""))))</f>
        <v/>
      </c>
      <c r="AR237" s="31">
        <f>IF($AQ237="","",$AQ237*1000+237)</f>
        <v/>
      </c>
      <c r="AS237" s="31">
        <f>IF(AND($AL237=1,$AO237&gt;=2,$AP237&gt;=1,$AP237&lt;$AO237),1,0)</f>
        <v/>
      </c>
      <c r="AT237" s="31">
        <f>IF(AND($AL237=1,$AO237&gt;=2,$AP237=0),1,0)</f>
        <v/>
      </c>
      <c r="AU237" s="31">
        <f>IF(AND($AL237=1,$U237&lt;&gt;"",$U237&lt;TODAY()),1,0)</f>
        <v/>
      </c>
      <c r="AV237" s="31">
        <f>IF(OR($A237="",$AJ237="",Portfolio!$B$10=""),0,IF($AJ237&lt;=Portfolio!$B$10,0,IF(AND($D237="Completed",$Z237=1),1,IF(AND($D237="Terminated",$Z237=1),2,IF(AND($Q237=1,$Z237=0),3,0)))))</f>
        <v/>
      </c>
      <c r="AW237" s="31">
        <f>IF($AV237&gt;0,COUNTIF($AV$6:$AV237,"&gt;0"),"")</f>
        <v/>
      </c>
      <c r="AX237" s="31">
        <f>IF($AL237=0,"",IF(AND($B237="Project",$H237&lt;&gt;"",$H237&lt;TODAY()),"Planned finish "&amp;TEXT($H237,"d mmm")&amp;" has passed",IF($X237&gt;=2,(NETWORKDAYS($H237,$U237)-1)&amp;" working days past plan","")))</f>
        <v/>
      </c>
      <c r="AY237" s="31">
        <f>IF($AL237=0,"",IF($Y237&gt;=2,"Over budget by "&amp;TEXT(IF($B237="Program",$V237,$J237)-$K237,"#,##0"),""))</f>
        <v/>
      </c>
      <c r="AZ237" s="31">
        <f>IF(AND($AL237=1,$U237&lt;&gt;""),IF(AND(N($U237)&gt;=TODAY(),N($U237)&lt;=TODAY()+Board!$B$41),1,0),0)</f>
        <v/>
      </c>
    </row>
    <row r="238">
      <c r="A238" s="29" t="n"/>
      <c r="B238" s="29" t="n"/>
      <c r="C238" s="29" t="n"/>
      <c r="D238" s="29" t="n"/>
      <c r="E238" s="29" t="n"/>
      <c r="F238" s="29" t="n"/>
      <c r="G238" s="29" t="n"/>
      <c r="H238" s="30" t="n"/>
      <c r="I238" s="30" t="n"/>
      <c r="J238" s="19" t="n"/>
      <c r="K238" s="19" t="n"/>
      <c r="L238" s="26" t="n"/>
      <c r="M238" s="31">
        <f>IF($A238="","",IF($D238="","Not read",IF($Q238=0,"Not counted",IF(MAX($X238,$Y238)=3,"■ Red",IF(MAX($X238,$Y238)=2,"◧ Amber",IF(MAX($X238,$Y238)=1,"□ On track","Not read"))))))</f>
        <v/>
      </c>
      <c r="N238" s="31">
        <f>IF(OR($A238="",$B238&lt;&gt;"Program"),"","■ "&amp;COUNTIFS($C$6:$C$305,$A238,$M$6:$M$305,"■ Red")&amp;" Red, ◧ "&amp;COUNTIFS($C$6:$C$305,$A238,$M$6:$M$305,"◧ Amber")&amp;" Amber")</f>
        <v/>
      </c>
      <c r="O238" s="32">
        <f>IF(OR($A238="",$E238=""),"",COUNTIFS($E$6:$E$305,$E238,$D$6:$D$305,"Active")+COUNTIFS($E$6:$E$305,$E238,$D$6:$D$305,"Paused"))</f>
        <v/>
      </c>
      <c r="P238" s="31">
        <f>IF($A238="","",IF($AE238=0,"○ Clear",IF($AA238=1,"△ No owner",IF($AC238=1,"△ Check Sits under",IF($AC238=2,"△ Outside the portfolio",IF($AB238=1,"△ No sponsor","△ No variance note"))))&amp;IF($AE238&gt;1," (+"&amp;($AE238-1)&amp;" more)","")))</f>
        <v/>
      </c>
      <c r="Q238" s="31">
        <f>IF(AND($A238&lt;&gt;"",OR($D238="Active",$D238="Paused")),1,0)</f>
        <v/>
      </c>
      <c r="R238" s="31">
        <f>IFERROR(INDEX($A$6:$A$305,MATCH(231,$S$6:$S$305,0)),"")</f>
        <v/>
      </c>
      <c r="S238" s="31">
        <f>IF(AND($A238&lt;&gt;"",$B238="Program"),COUNTIFS($B$6:$B238,"Program",$A$6:$A238,"&lt;&gt;"),"")</f>
        <v/>
      </c>
      <c r="T238" s="33">
        <f>IF(AND($A238&lt;&gt;"",$B238="Program"),SUMPRODUCT(MAX(($C$6:$C$305=$A238)*($B$6:$B$305="Project")*($D$6:$D$305&lt;&gt;"Proposed")*$I$6:$I$305)),0)</f>
        <v/>
      </c>
      <c r="U238" s="33">
        <f>IF($I238&lt;&gt;"",$I238,IF($T238&gt;0,$T238,""))</f>
        <v/>
      </c>
      <c r="V238" s="31">
        <f>IF(AND($A238&lt;&gt;"",$B238="Program"),SUMIFS($J$6:$J$305,$C$6:$C$305,$A238,$B$6:$B$305,"Project",$D$6:$D$305,"&lt;&gt;Proposed"),0)</f>
        <v/>
      </c>
      <c r="W238" s="31">
        <f>IF(AND($A238&lt;&gt;"",$B238="Program"),COUNTIFS($C$6:$C$305,$A238,$B$6:$B$305,"Project",$D$6:$D$305,"&lt;&gt;Proposed")-COUNTIFS($C$6:$C$305,$A238,$B$6:$B$305,"Project",$D$6:$D$305,"&lt;&gt;Proposed",$J$6:$J$305,"&gt;=0"),0)</f>
        <v/>
      </c>
      <c r="X238" s="31">
        <f>IF(OR($Q238=0,$H238=""),0,IF(AND($B238="Project",$H238&lt;TODAY()),3,IF($U238="",0,IF($U238&lt;=$H238,1,IF(NETWORKDAYS($H238,$U238)-1&gt;IF($B238="Program",Portfolio!$B$16,Portfolio!$B$15),3,2)))))</f>
        <v/>
      </c>
      <c r="Y238" s="31">
        <f>IF(OR($Q238=0,$K238="",$K238=0),0,IF(AND($B238="Project",$J238=""),0,IF(IF($B238="Program",$V238,$J238)&gt;$K238*(1+Portfolio!$B$17),3,IF(IF($B238="Program",$V238,$J238)&gt;$K238,2,IF(AND($B238="Program",OR($W238&gt;0,$V238=0)),0,1)))))</f>
        <v/>
      </c>
      <c r="Z238" s="31">
        <f>IF($A238="",0,IF($C238="Portfolio",1,IF(AND($B238="Project",$C238&lt;&gt;"",$C238&lt;&gt;"Outside the portfolio"),IFERROR(IF(AND(INDEX($B$6:$B$305,MATCH($C238,$A$6:$A$305,0))="Program",INDEX($C$6:$C$305,MATCH($C238,$A$6:$A$305,0))="Portfolio"),1,0),0),0)))</f>
        <v/>
      </c>
      <c r="AA238" s="31">
        <f>IF(AND($A238&lt;&gt;"",$E238="",OR($Q238=1,$D238="Proposed")),1,0)</f>
        <v/>
      </c>
      <c r="AB238" s="31">
        <f>IF(AND($A238&lt;&gt;"",$B238="Program",$F238="",$Q238=1),1,0)</f>
        <v/>
      </c>
      <c r="AC238" s="31">
        <f>IF(OR($A238="",$D238="Completed",$D238="Terminated"),0,IF($C238="",1,IF($C238="Portfolio",0,IF($C238="Outside the portfolio",IF($Q238=1,2,0),IF($B238="Project",IF(IFERROR(INDEX($B$6:$B$305,MATCH($C238,$A$6:$A$305,0)),"")="Program",0,1),1)))))</f>
        <v/>
      </c>
      <c r="AD238" s="31">
        <f>IF(AND($A238&lt;&gt;"",OR($M238="■ Red",$M238="◧ Amber"),$L238=""),1,0)</f>
        <v/>
      </c>
      <c r="AE238" s="31">
        <f>$AA238+$AB238+IF($AC238&gt;0,1,0)+$AD238</f>
        <v/>
      </c>
      <c r="AJ238" s="14" t="n"/>
      <c r="AK238" s="29" t="n"/>
      <c r="AL238" s="31">
        <f>IF(AND($Q238=1,$Z238=1),1,0)</f>
        <v/>
      </c>
      <c r="AM238" s="31">
        <f>IF(AND($AL238=1,$AJ238&lt;&gt;""),MAX(0,TODAY()-$AJ238),"")</f>
        <v/>
      </c>
      <c r="AN238" s="31">
        <f>IF(OR($AL238=0,COUNT($AJ$6:$AJ$305)=0),0,IF($AJ238="",1,IF(TODAY()-$AJ238&gt;Board!$B$40,1,0)))</f>
        <v/>
      </c>
      <c r="AO238" s="31">
        <f>IF($AL238=0,0,IF($M238="■ Red",3,IF($M238="◧ Amber",2,IF($M238="□ On track",1,0))))</f>
        <v/>
      </c>
      <c r="AP238" s="31">
        <f>IF($AL238=0,0,IF($AK238="Will not hold",3,IF($AK238="At risk",2,IF($AK238="Will hold",1,0))))</f>
        <v/>
      </c>
      <c r="AQ238" s="31">
        <f>IF($AL238=0,"",IF($AO238=3,0,IF($AO238=2,1,IF(AND($AP238&gt;=2,$AP238&gt;$AO238),2,""))))</f>
        <v/>
      </c>
      <c r="AR238" s="31">
        <f>IF($AQ238="","",$AQ238*1000+238)</f>
        <v/>
      </c>
      <c r="AS238" s="31">
        <f>IF(AND($AL238=1,$AO238&gt;=2,$AP238&gt;=1,$AP238&lt;$AO238),1,0)</f>
        <v/>
      </c>
      <c r="AT238" s="31">
        <f>IF(AND($AL238=1,$AO238&gt;=2,$AP238=0),1,0)</f>
        <v/>
      </c>
      <c r="AU238" s="31">
        <f>IF(AND($AL238=1,$U238&lt;&gt;"",$U238&lt;TODAY()),1,0)</f>
        <v/>
      </c>
      <c r="AV238" s="31">
        <f>IF(OR($A238="",$AJ238="",Portfolio!$B$10=""),0,IF($AJ238&lt;=Portfolio!$B$10,0,IF(AND($D238="Completed",$Z238=1),1,IF(AND($D238="Terminated",$Z238=1),2,IF(AND($Q238=1,$Z238=0),3,0)))))</f>
        <v/>
      </c>
      <c r="AW238" s="31">
        <f>IF($AV238&gt;0,COUNTIF($AV$6:$AV238,"&gt;0"),"")</f>
        <v/>
      </c>
      <c r="AX238" s="31">
        <f>IF($AL238=0,"",IF(AND($B238="Project",$H238&lt;&gt;"",$H238&lt;TODAY()),"Planned finish "&amp;TEXT($H238,"d mmm")&amp;" has passed",IF($X238&gt;=2,(NETWORKDAYS($H238,$U238)-1)&amp;" working days past plan","")))</f>
        <v/>
      </c>
      <c r="AY238" s="31">
        <f>IF($AL238=0,"",IF($Y238&gt;=2,"Over budget by "&amp;TEXT(IF($B238="Program",$V238,$J238)-$K238,"#,##0"),""))</f>
        <v/>
      </c>
      <c r="AZ238" s="31">
        <f>IF(AND($AL238=1,$U238&lt;&gt;""),IF(AND(N($U238)&gt;=TODAY(),N($U238)&lt;=TODAY()+Board!$B$41),1,0),0)</f>
        <v/>
      </c>
    </row>
    <row r="239">
      <c r="A239" s="29" t="n"/>
      <c r="B239" s="29" t="n"/>
      <c r="C239" s="29" t="n"/>
      <c r="D239" s="29" t="n"/>
      <c r="E239" s="29" t="n"/>
      <c r="F239" s="29" t="n"/>
      <c r="G239" s="29" t="n"/>
      <c r="H239" s="30" t="n"/>
      <c r="I239" s="30" t="n"/>
      <c r="J239" s="19" t="n"/>
      <c r="K239" s="19" t="n"/>
      <c r="L239" s="26" t="n"/>
      <c r="M239" s="31">
        <f>IF($A239="","",IF($D239="","Not read",IF($Q239=0,"Not counted",IF(MAX($X239,$Y239)=3,"■ Red",IF(MAX($X239,$Y239)=2,"◧ Amber",IF(MAX($X239,$Y239)=1,"□ On track","Not read"))))))</f>
        <v/>
      </c>
      <c r="N239" s="31">
        <f>IF(OR($A239="",$B239&lt;&gt;"Program"),"","■ "&amp;COUNTIFS($C$6:$C$305,$A239,$M$6:$M$305,"■ Red")&amp;" Red, ◧ "&amp;COUNTIFS($C$6:$C$305,$A239,$M$6:$M$305,"◧ Amber")&amp;" Amber")</f>
        <v/>
      </c>
      <c r="O239" s="32">
        <f>IF(OR($A239="",$E239=""),"",COUNTIFS($E$6:$E$305,$E239,$D$6:$D$305,"Active")+COUNTIFS($E$6:$E$305,$E239,$D$6:$D$305,"Paused"))</f>
        <v/>
      </c>
      <c r="P239" s="31">
        <f>IF($A239="","",IF($AE239=0,"○ Clear",IF($AA239=1,"△ No owner",IF($AC239=1,"△ Check Sits under",IF($AC239=2,"△ Outside the portfolio",IF($AB239=1,"△ No sponsor","△ No variance note"))))&amp;IF($AE239&gt;1," (+"&amp;($AE239-1)&amp;" more)","")))</f>
        <v/>
      </c>
      <c r="Q239" s="31">
        <f>IF(AND($A239&lt;&gt;"",OR($D239="Active",$D239="Paused")),1,0)</f>
        <v/>
      </c>
      <c r="R239" s="31">
        <f>IFERROR(INDEX($A$6:$A$305,MATCH(232,$S$6:$S$305,0)),"")</f>
        <v/>
      </c>
      <c r="S239" s="31">
        <f>IF(AND($A239&lt;&gt;"",$B239="Program"),COUNTIFS($B$6:$B239,"Program",$A$6:$A239,"&lt;&gt;"),"")</f>
        <v/>
      </c>
      <c r="T239" s="33">
        <f>IF(AND($A239&lt;&gt;"",$B239="Program"),SUMPRODUCT(MAX(($C$6:$C$305=$A239)*($B$6:$B$305="Project")*($D$6:$D$305&lt;&gt;"Proposed")*$I$6:$I$305)),0)</f>
        <v/>
      </c>
      <c r="U239" s="33">
        <f>IF($I239&lt;&gt;"",$I239,IF($T239&gt;0,$T239,""))</f>
        <v/>
      </c>
      <c r="V239" s="31">
        <f>IF(AND($A239&lt;&gt;"",$B239="Program"),SUMIFS($J$6:$J$305,$C$6:$C$305,$A239,$B$6:$B$305,"Project",$D$6:$D$305,"&lt;&gt;Proposed"),0)</f>
        <v/>
      </c>
      <c r="W239" s="31">
        <f>IF(AND($A239&lt;&gt;"",$B239="Program"),COUNTIFS($C$6:$C$305,$A239,$B$6:$B$305,"Project",$D$6:$D$305,"&lt;&gt;Proposed")-COUNTIFS($C$6:$C$305,$A239,$B$6:$B$305,"Project",$D$6:$D$305,"&lt;&gt;Proposed",$J$6:$J$305,"&gt;=0"),0)</f>
        <v/>
      </c>
      <c r="X239" s="31">
        <f>IF(OR($Q239=0,$H239=""),0,IF(AND($B239="Project",$H239&lt;TODAY()),3,IF($U239="",0,IF($U239&lt;=$H239,1,IF(NETWORKDAYS($H239,$U239)-1&gt;IF($B239="Program",Portfolio!$B$16,Portfolio!$B$15),3,2)))))</f>
        <v/>
      </c>
      <c r="Y239" s="31">
        <f>IF(OR($Q239=0,$K239="",$K239=0),0,IF(AND($B239="Project",$J239=""),0,IF(IF($B239="Program",$V239,$J239)&gt;$K239*(1+Portfolio!$B$17),3,IF(IF($B239="Program",$V239,$J239)&gt;$K239,2,IF(AND($B239="Program",OR($W239&gt;0,$V239=0)),0,1)))))</f>
        <v/>
      </c>
      <c r="Z239" s="31">
        <f>IF($A239="",0,IF($C239="Portfolio",1,IF(AND($B239="Project",$C239&lt;&gt;"",$C239&lt;&gt;"Outside the portfolio"),IFERROR(IF(AND(INDEX($B$6:$B$305,MATCH($C239,$A$6:$A$305,0))="Program",INDEX($C$6:$C$305,MATCH($C239,$A$6:$A$305,0))="Portfolio"),1,0),0),0)))</f>
        <v/>
      </c>
      <c r="AA239" s="31">
        <f>IF(AND($A239&lt;&gt;"",$E239="",OR($Q239=1,$D239="Proposed")),1,0)</f>
        <v/>
      </c>
      <c r="AB239" s="31">
        <f>IF(AND($A239&lt;&gt;"",$B239="Program",$F239="",$Q239=1),1,0)</f>
        <v/>
      </c>
      <c r="AC239" s="31">
        <f>IF(OR($A239="",$D239="Completed",$D239="Terminated"),0,IF($C239="",1,IF($C239="Portfolio",0,IF($C239="Outside the portfolio",IF($Q239=1,2,0),IF($B239="Project",IF(IFERROR(INDEX($B$6:$B$305,MATCH($C239,$A$6:$A$305,0)),"")="Program",0,1),1)))))</f>
        <v/>
      </c>
      <c r="AD239" s="31">
        <f>IF(AND($A239&lt;&gt;"",OR($M239="■ Red",$M239="◧ Amber"),$L239=""),1,0)</f>
        <v/>
      </c>
      <c r="AE239" s="31">
        <f>$AA239+$AB239+IF($AC239&gt;0,1,0)+$AD239</f>
        <v/>
      </c>
      <c r="AJ239" s="14" t="n"/>
      <c r="AK239" s="29" t="n"/>
      <c r="AL239" s="31">
        <f>IF(AND($Q239=1,$Z239=1),1,0)</f>
        <v/>
      </c>
      <c r="AM239" s="31">
        <f>IF(AND($AL239=1,$AJ239&lt;&gt;""),MAX(0,TODAY()-$AJ239),"")</f>
        <v/>
      </c>
      <c r="AN239" s="31">
        <f>IF(OR($AL239=0,COUNT($AJ$6:$AJ$305)=0),0,IF($AJ239="",1,IF(TODAY()-$AJ239&gt;Board!$B$40,1,0)))</f>
        <v/>
      </c>
      <c r="AO239" s="31">
        <f>IF($AL239=0,0,IF($M239="■ Red",3,IF($M239="◧ Amber",2,IF($M239="□ On track",1,0))))</f>
        <v/>
      </c>
      <c r="AP239" s="31">
        <f>IF($AL239=0,0,IF($AK239="Will not hold",3,IF($AK239="At risk",2,IF($AK239="Will hold",1,0))))</f>
        <v/>
      </c>
      <c r="AQ239" s="31">
        <f>IF($AL239=0,"",IF($AO239=3,0,IF($AO239=2,1,IF(AND($AP239&gt;=2,$AP239&gt;$AO239),2,""))))</f>
        <v/>
      </c>
      <c r="AR239" s="31">
        <f>IF($AQ239="","",$AQ239*1000+239)</f>
        <v/>
      </c>
      <c r="AS239" s="31">
        <f>IF(AND($AL239=1,$AO239&gt;=2,$AP239&gt;=1,$AP239&lt;$AO239),1,0)</f>
        <v/>
      </c>
      <c r="AT239" s="31">
        <f>IF(AND($AL239=1,$AO239&gt;=2,$AP239=0),1,0)</f>
        <v/>
      </c>
      <c r="AU239" s="31">
        <f>IF(AND($AL239=1,$U239&lt;&gt;"",$U239&lt;TODAY()),1,0)</f>
        <v/>
      </c>
      <c r="AV239" s="31">
        <f>IF(OR($A239="",$AJ239="",Portfolio!$B$10=""),0,IF($AJ239&lt;=Portfolio!$B$10,0,IF(AND($D239="Completed",$Z239=1),1,IF(AND($D239="Terminated",$Z239=1),2,IF(AND($Q239=1,$Z239=0),3,0)))))</f>
        <v/>
      </c>
      <c r="AW239" s="31">
        <f>IF($AV239&gt;0,COUNTIF($AV$6:$AV239,"&gt;0"),"")</f>
        <v/>
      </c>
      <c r="AX239" s="31">
        <f>IF($AL239=0,"",IF(AND($B239="Project",$H239&lt;&gt;"",$H239&lt;TODAY()),"Planned finish "&amp;TEXT($H239,"d mmm")&amp;" has passed",IF($X239&gt;=2,(NETWORKDAYS($H239,$U239)-1)&amp;" working days past plan","")))</f>
        <v/>
      </c>
      <c r="AY239" s="31">
        <f>IF($AL239=0,"",IF($Y239&gt;=2,"Over budget by "&amp;TEXT(IF($B239="Program",$V239,$J239)-$K239,"#,##0"),""))</f>
        <v/>
      </c>
      <c r="AZ239" s="31">
        <f>IF(AND($AL239=1,$U239&lt;&gt;""),IF(AND(N($U239)&gt;=TODAY(),N($U239)&lt;=TODAY()+Board!$B$41),1,0),0)</f>
        <v/>
      </c>
    </row>
    <row r="240">
      <c r="A240" s="29" t="n"/>
      <c r="B240" s="29" t="n"/>
      <c r="C240" s="29" t="n"/>
      <c r="D240" s="29" t="n"/>
      <c r="E240" s="29" t="n"/>
      <c r="F240" s="29" t="n"/>
      <c r="G240" s="29" t="n"/>
      <c r="H240" s="30" t="n"/>
      <c r="I240" s="30" t="n"/>
      <c r="J240" s="19" t="n"/>
      <c r="K240" s="19" t="n"/>
      <c r="L240" s="26" t="n"/>
      <c r="M240" s="31">
        <f>IF($A240="","",IF($D240="","Not read",IF($Q240=0,"Not counted",IF(MAX($X240,$Y240)=3,"■ Red",IF(MAX($X240,$Y240)=2,"◧ Amber",IF(MAX($X240,$Y240)=1,"□ On track","Not read"))))))</f>
        <v/>
      </c>
      <c r="N240" s="31">
        <f>IF(OR($A240="",$B240&lt;&gt;"Program"),"","■ "&amp;COUNTIFS($C$6:$C$305,$A240,$M$6:$M$305,"■ Red")&amp;" Red, ◧ "&amp;COUNTIFS($C$6:$C$305,$A240,$M$6:$M$305,"◧ Amber")&amp;" Amber")</f>
        <v/>
      </c>
      <c r="O240" s="32">
        <f>IF(OR($A240="",$E240=""),"",COUNTIFS($E$6:$E$305,$E240,$D$6:$D$305,"Active")+COUNTIFS($E$6:$E$305,$E240,$D$6:$D$305,"Paused"))</f>
        <v/>
      </c>
      <c r="P240" s="31">
        <f>IF($A240="","",IF($AE240=0,"○ Clear",IF($AA240=1,"△ No owner",IF($AC240=1,"△ Check Sits under",IF($AC240=2,"△ Outside the portfolio",IF($AB240=1,"△ No sponsor","△ No variance note"))))&amp;IF($AE240&gt;1," (+"&amp;($AE240-1)&amp;" more)","")))</f>
        <v/>
      </c>
      <c r="Q240" s="31">
        <f>IF(AND($A240&lt;&gt;"",OR($D240="Active",$D240="Paused")),1,0)</f>
        <v/>
      </c>
      <c r="R240" s="31">
        <f>IFERROR(INDEX($A$6:$A$305,MATCH(233,$S$6:$S$305,0)),"")</f>
        <v/>
      </c>
      <c r="S240" s="31">
        <f>IF(AND($A240&lt;&gt;"",$B240="Program"),COUNTIFS($B$6:$B240,"Program",$A$6:$A240,"&lt;&gt;"),"")</f>
        <v/>
      </c>
      <c r="T240" s="33">
        <f>IF(AND($A240&lt;&gt;"",$B240="Program"),SUMPRODUCT(MAX(($C$6:$C$305=$A240)*($B$6:$B$305="Project")*($D$6:$D$305&lt;&gt;"Proposed")*$I$6:$I$305)),0)</f>
        <v/>
      </c>
      <c r="U240" s="33">
        <f>IF($I240&lt;&gt;"",$I240,IF($T240&gt;0,$T240,""))</f>
        <v/>
      </c>
      <c r="V240" s="31">
        <f>IF(AND($A240&lt;&gt;"",$B240="Program"),SUMIFS($J$6:$J$305,$C$6:$C$305,$A240,$B$6:$B$305,"Project",$D$6:$D$305,"&lt;&gt;Proposed"),0)</f>
        <v/>
      </c>
      <c r="W240" s="31">
        <f>IF(AND($A240&lt;&gt;"",$B240="Program"),COUNTIFS($C$6:$C$305,$A240,$B$6:$B$305,"Project",$D$6:$D$305,"&lt;&gt;Proposed")-COUNTIFS($C$6:$C$305,$A240,$B$6:$B$305,"Project",$D$6:$D$305,"&lt;&gt;Proposed",$J$6:$J$305,"&gt;=0"),0)</f>
        <v/>
      </c>
      <c r="X240" s="31">
        <f>IF(OR($Q240=0,$H240=""),0,IF(AND($B240="Project",$H240&lt;TODAY()),3,IF($U240="",0,IF($U240&lt;=$H240,1,IF(NETWORKDAYS($H240,$U240)-1&gt;IF($B240="Program",Portfolio!$B$16,Portfolio!$B$15),3,2)))))</f>
        <v/>
      </c>
      <c r="Y240" s="31">
        <f>IF(OR($Q240=0,$K240="",$K240=0),0,IF(AND($B240="Project",$J240=""),0,IF(IF($B240="Program",$V240,$J240)&gt;$K240*(1+Portfolio!$B$17),3,IF(IF($B240="Program",$V240,$J240)&gt;$K240,2,IF(AND($B240="Program",OR($W240&gt;0,$V240=0)),0,1)))))</f>
        <v/>
      </c>
      <c r="Z240" s="31">
        <f>IF($A240="",0,IF($C240="Portfolio",1,IF(AND($B240="Project",$C240&lt;&gt;"",$C240&lt;&gt;"Outside the portfolio"),IFERROR(IF(AND(INDEX($B$6:$B$305,MATCH($C240,$A$6:$A$305,0))="Program",INDEX($C$6:$C$305,MATCH($C240,$A$6:$A$305,0))="Portfolio"),1,0),0),0)))</f>
        <v/>
      </c>
      <c r="AA240" s="31">
        <f>IF(AND($A240&lt;&gt;"",$E240="",OR($Q240=1,$D240="Proposed")),1,0)</f>
        <v/>
      </c>
      <c r="AB240" s="31">
        <f>IF(AND($A240&lt;&gt;"",$B240="Program",$F240="",$Q240=1),1,0)</f>
        <v/>
      </c>
      <c r="AC240" s="31">
        <f>IF(OR($A240="",$D240="Completed",$D240="Terminated"),0,IF($C240="",1,IF($C240="Portfolio",0,IF($C240="Outside the portfolio",IF($Q240=1,2,0),IF($B240="Project",IF(IFERROR(INDEX($B$6:$B$305,MATCH($C240,$A$6:$A$305,0)),"")="Program",0,1),1)))))</f>
        <v/>
      </c>
      <c r="AD240" s="31">
        <f>IF(AND($A240&lt;&gt;"",OR($M240="■ Red",$M240="◧ Amber"),$L240=""),1,0)</f>
        <v/>
      </c>
      <c r="AE240" s="31">
        <f>$AA240+$AB240+IF($AC240&gt;0,1,0)+$AD240</f>
        <v/>
      </c>
      <c r="AJ240" s="14" t="n"/>
      <c r="AK240" s="29" t="n"/>
      <c r="AL240" s="31">
        <f>IF(AND($Q240=1,$Z240=1),1,0)</f>
        <v/>
      </c>
      <c r="AM240" s="31">
        <f>IF(AND($AL240=1,$AJ240&lt;&gt;""),MAX(0,TODAY()-$AJ240),"")</f>
        <v/>
      </c>
      <c r="AN240" s="31">
        <f>IF(OR($AL240=0,COUNT($AJ$6:$AJ$305)=0),0,IF($AJ240="",1,IF(TODAY()-$AJ240&gt;Board!$B$40,1,0)))</f>
        <v/>
      </c>
      <c r="AO240" s="31">
        <f>IF($AL240=0,0,IF($M240="■ Red",3,IF($M240="◧ Amber",2,IF($M240="□ On track",1,0))))</f>
        <v/>
      </c>
      <c r="AP240" s="31">
        <f>IF($AL240=0,0,IF($AK240="Will not hold",3,IF($AK240="At risk",2,IF($AK240="Will hold",1,0))))</f>
        <v/>
      </c>
      <c r="AQ240" s="31">
        <f>IF($AL240=0,"",IF($AO240=3,0,IF($AO240=2,1,IF(AND($AP240&gt;=2,$AP240&gt;$AO240),2,""))))</f>
        <v/>
      </c>
      <c r="AR240" s="31">
        <f>IF($AQ240="","",$AQ240*1000+240)</f>
        <v/>
      </c>
      <c r="AS240" s="31">
        <f>IF(AND($AL240=1,$AO240&gt;=2,$AP240&gt;=1,$AP240&lt;$AO240),1,0)</f>
        <v/>
      </c>
      <c r="AT240" s="31">
        <f>IF(AND($AL240=1,$AO240&gt;=2,$AP240=0),1,0)</f>
        <v/>
      </c>
      <c r="AU240" s="31">
        <f>IF(AND($AL240=1,$U240&lt;&gt;"",$U240&lt;TODAY()),1,0)</f>
        <v/>
      </c>
      <c r="AV240" s="31">
        <f>IF(OR($A240="",$AJ240="",Portfolio!$B$10=""),0,IF($AJ240&lt;=Portfolio!$B$10,0,IF(AND($D240="Completed",$Z240=1),1,IF(AND($D240="Terminated",$Z240=1),2,IF(AND($Q240=1,$Z240=0),3,0)))))</f>
        <v/>
      </c>
      <c r="AW240" s="31">
        <f>IF($AV240&gt;0,COUNTIF($AV$6:$AV240,"&gt;0"),"")</f>
        <v/>
      </c>
      <c r="AX240" s="31">
        <f>IF($AL240=0,"",IF(AND($B240="Project",$H240&lt;&gt;"",$H240&lt;TODAY()),"Planned finish "&amp;TEXT($H240,"d mmm")&amp;" has passed",IF($X240&gt;=2,(NETWORKDAYS($H240,$U240)-1)&amp;" working days past plan","")))</f>
        <v/>
      </c>
      <c r="AY240" s="31">
        <f>IF($AL240=0,"",IF($Y240&gt;=2,"Over budget by "&amp;TEXT(IF($B240="Program",$V240,$J240)-$K240,"#,##0"),""))</f>
        <v/>
      </c>
      <c r="AZ240" s="31">
        <f>IF(AND($AL240=1,$U240&lt;&gt;""),IF(AND(N($U240)&gt;=TODAY(),N($U240)&lt;=TODAY()+Board!$B$41),1,0),0)</f>
        <v/>
      </c>
    </row>
    <row r="241">
      <c r="A241" s="29" t="n"/>
      <c r="B241" s="29" t="n"/>
      <c r="C241" s="29" t="n"/>
      <c r="D241" s="29" t="n"/>
      <c r="E241" s="29" t="n"/>
      <c r="F241" s="29" t="n"/>
      <c r="G241" s="29" t="n"/>
      <c r="H241" s="30" t="n"/>
      <c r="I241" s="30" t="n"/>
      <c r="J241" s="19" t="n"/>
      <c r="K241" s="19" t="n"/>
      <c r="L241" s="26" t="n"/>
      <c r="M241" s="31">
        <f>IF($A241="","",IF($D241="","Not read",IF($Q241=0,"Not counted",IF(MAX($X241,$Y241)=3,"■ Red",IF(MAX($X241,$Y241)=2,"◧ Amber",IF(MAX($X241,$Y241)=1,"□ On track","Not read"))))))</f>
        <v/>
      </c>
      <c r="N241" s="31">
        <f>IF(OR($A241="",$B241&lt;&gt;"Program"),"","■ "&amp;COUNTIFS($C$6:$C$305,$A241,$M$6:$M$305,"■ Red")&amp;" Red, ◧ "&amp;COUNTIFS($C$6:$C$305,$A241,$M$6:$M$305,"◧ Amber")&amp;" Amber")</f>
        <v/>
      </c>
      <c r="O241" s="32">
        <f>IF(OR($A241="",$E241=""),"",COUNTIFS($E$6:$E$305,$E241,$D$6:$D$305,"Active")+COUNTIFS($E$6:$E$305,$E241,$D$6:$D$305,"Paused"))</f>
        <v/>
      </c>
      <c r="P241" s="31">
        <f>IF($A241="","",IF($AE241=0,"○ Clear",IF($AA241=1,"△ No owner",IF($AC241=1,"△ Check Sits under",IF($AC241=2,"△ Outside the portfolio",IF($AB241=1,"△ No sponsor","△ No variance note"))))&amp;IF($AE241&gt;1," (+"&amp;($AE241-1)&amp;" more)","")))</f>
        <v/>
      </c>
      <c r="Q241" s="31">
        <f>IF(AND($A241&lt;&gt;"",OR($D241="Active",$D241="Paused")),1,0)</f>
        <v/>
      </c>
      <c r="R241" s="31">
        <f>IFERROR(INDEX($A$6:$A$305,MATCH(234,$S$6:$S$305,0)),"")</f>
        <v/>
      </c>
      <c r="S241" s="31">
        <f>IF(AND($A241&lt;&gt;"",$B241="Program"),COUNTIFS($B$6:$B241,"Program",$A$6:$A241,"&lt;&gt;"),"")</f>
        <v/>
      </c>
      <c r="T241" s="33">
        <f>IF(AND($A241&lt;&gt;"",$B241="Program"),SUMPRODUCT(MAX(($C$6:$C$305=$A241)*($B$6:$B$305="Project")*($D$6:$D$305&lt;&gt;"Proposed")*$I$6:$I$305)),0)</f>
        <v/>
      </c>
      <c r="U241" s="33">
        <f>IF($I241&lt;&gt;"",$I241,IF($T241&gt;0,$T241,""))</f>
        <v/>
      </c>
      <c r="V241" s="31">
        <f>IF(AND($A241&lt;&gt;"",$B241="Program"),SUMIFS($J$6:$J$305,$C$6:$C$305,$A241,$B$6:$B$305,"Project",$D$6:$D$305,"&lt;&gt;Proposed"),0)</f>
        <v/>
      </c>
      <c r="W241" s="31">
        <f>IF(AND($A241&lt;&gt;"",$B241="Program"),COUNTIFS($C$6:$C$305,$A241,$B$6:$B$305,"Project",$D$6:$D$305,"&lt;&gt;Proposed")-COUNTIFS($C$6:$C$305,$A241,$B$6:$B$305,"Project",$D$6:$D$305,"&lt;&gt;Proposed",$J$6:$J$305,"&gt;=0"),0)</f>
        <v/>
      </c>
      <c r="X241" s="31">
        <f>IF(OR($Q241=0,$H241=""),0,IF(AND($B241="Project",$H241&lt;TODAY()),3,IF($U241="",0,IF($U241&lt;=$H241,1,IF(NETWORKDAYS($H241,$U241)-1&gt;IF($B241="Program",Portfolio!$B$16,Portfolio!$B$15),3,2)))))</f>
        <v/>
      </c>
      <c r="Y241" s="31">
        <f>IF(OR($Q241=0,$K241="",$K241=0),0,IF(AND($B241="Project",$J241=""),0,IF(IF($B241="Program",$V241,$J241)&gt;$K241*(1+Portfolio!$B$17),3,IF(IF($B241="Program",$V241,$J241)&gt;$K241,2,IF(AND($B241="Program",OR($W241&gt;0,$V241=0)),0,1)))))</f>
        <v/>
      </c>
      <c r="Z241" s="31">
        <f>IF($A241="",0,IF($C241="Portfolio",1,IF(AND($B241="Project",$C241&lt;&gt;"",$C241&lt;&gt;"Outside the portfolio"),IFERROR(IF(AND(INDEX($B$6:$B$305,MATCH($C241,$A$6:$A$305,0))="Program",INDEX($C$6:$C$305,MATCH($C241,$A$6:$A$305,0))="Portfolio"),1,0),0),0)))</f>
        <v/>
      </c>
      <c r="AA241" s="31">
        <f>IF(AND($A241&lt;&gt;"",$E241="",OR($Q241=1,$D241="Proposed")),1,0)</f>
        <v/>
      </c>
      <c r="AB241" s="31">
        <f>IF(AND($A241&lt;&gt;"",$B241="Program",$F241="",$Q241=1),1,0)</f>
        <v/>
      </c>
      <c r="AC241" s="31">
        <f>IF(OR($A241="",$D241="Completed",$D241="Terminated"),0,IF($C241="",1,IF($C241="Portfolio",0,IF($C241="Outside the portfolio",IF($Q241=1,2,0),IF($B241="Project",IF(IFERROR(INDEX($B$6:$B$305,MATCH($C241,$A$6:$A$305,0)),"")="Program",0,1),1)))))</f>
        <v/>
      </c>
      <c r="AD241" s="31">
        <f>IF(AND($A241&lt;&gt;"",OR($M241="■ Red",$M241="◧ Amber"),$L241=""),1,0)</f>
        <v/>
      </c>
      <c r="AE241" s="31">
        <f>$AA241+$AB241+IF($AC241&gt;0,1,0)+$AD241</f>
        <v/>
      </c>
      <c r="AJ241" s="14" t="n"/>
      <c r="AK241" s="29" t="n"/>
      <c r="AL241" s="31">
        <f>IF(AND($Q241=1,$Z241=1),1,0)</f>
        <v/>
      </c>
      <c r="AM241" s="31">
        <f>IF(AND($AL241=1,$AJ241&lt;&gt;""),MAX(0,TODAY()-$AJ241),"")</f>
        <v/>
      </c>
      <c r="AN241" s="31">
        <f>IF(OR($AL241=0,COUNT($AJ$6:$AJ$305)=0),0,IF($AJ241="",1,IF(TODAY()-$AJ241&gt;Board!$B$40,1,0)))</f>
        <v/>
      </c>
      <c r="AO241" s="31">
        <f>IF($AL241=0,0,IF($M241="■ Red",3,IF($M241="◧ Amber",2,IF($M241="□ On track",1,0))))</f>
        <v/>
      </c>
      <c r="AP241" s="31">
        <f>IF($AL241=0,0,IF($AK241="Will not hold",3,IF($AK241="At risk",2,IF($AK241="Will hold",1,0))))</f>
        <v/>
      </c>
      <c r="AQ241" s="31">
        <f>IF($AL241=0,"",IF($AO241=3,0,IF($AO241=2,1,IF(AND($AP241&gt;=2,$AP241&gt;$AO241),2,""))))</f>
        <v/>
      </c>
      <c r="AR241" s="31">
        <f>IF($AQ241="","",$AQ241*1000+241)</f>
        <v/>
      </c>
      <c r="AS241" s="31">
        <f>IF(AND($AL241=1,$AO241&gt;=2,$AP241&gt;=1,$AP241&lt;$AO241),1,0)</f>
        <v/>
      </c>
      <c r="AT241" s="31">
        <f>IF(AND($AL241=1,$AO241&gt;=2,$AP241=0),1,0)</f>
        <v/>
      </c>
      <c r="AU241" s="31">
        <f>IF(AND($AL241=1,$U241&lt;&gt;"",$U241&lt;TODAY()),1,0)</f>
        <v/>
      </c>
      <c r="AV241" s="31">
        <f>IF(OR($A241="",$AJ241="",Portfolio!$B$10=""),0,IF($AJ241&lt;=Portfolio!$B$10,0,IF(AND($D241="Completed",$Z241=1),1,IF(AND($D241="Terminated",$Z241=1),2,IF(AND($Q241=1,$Z241=0),3,0)))))</f>
        <v/>
      </c>
      <c r="AW241" s="31">
        <f>IF($AV241&gt;0,COUNTIF($AV$6:$AV241,"&gt;0"),"")</f>
        <v/>
      </c>
      <c r="AX241" s="31">
        <f>IF($AL241=0,"",IF(AND($B241="Project",$H241&lt;&gt;"",$H241&lt;TODAY()),"Planned finish "&amp;TEXT($H241,"d mmm")&amp;" has passed",IF($X241&gt;=2,(NETWORKDAYS($H241,$U241)-1)&amp;" working days past plan","")))</f>
        <v/>
      </c>
      <c r="AY241" s="31">
        <f>IF($AL241=0,"",IF($Y241&gt;=2,"Over budget by "&amp;TEXT(IF($B241="Program",$V241,$J241)-$K241,"#,##0"),""))</f>
        <v/>
      </c>
      <c r="AZ241" s="31">
        <f>IF(AND($AL241=1,$U241&lt;&gt;""),IF(AND(N($U241)&gt;=TODAY(),N($U241)&lt;=TODAY()+Board!$B$41),1,0),0)</f>
        <v/>
      </c>
    </row>
    <row r="242">
      <c r="A242" s="29" t="n"/>
      <c r="B242" s="29" t="n"/>
      <c r="C242" s="29" t="n"/>
      <c r="D242" s="29" t="n"/>
      <c r="E242" s="29" t="n"/>
      <c r="F242" s="29" t="n"/>
      <c r="G242" s="29" t="n"/>
      <c r="H242" s="30" t="n"/>
      <c r="I242" s="30" t="n"/>
      <c r="J242" s="19" t="n"/>
      <c r="K242" s="19" t="n"/>
      <c r="L242" s="26" t="n"/>
      <c r="M242" s="31">
        <f>IF($A242="","",IF($D242="","Not read",IF($Q242=0,"Not counted",IF(MAX($X242,$Y242)=3,"■ Red",IF(MAX($X242,$Y242)=2,"◧ Amber",IF(MAX($X242,$Y242)=1,"□ On track","Not read"))))))</f>
        <v/>
      </c>
      <c r="N242" s="31">
        <f>IF(OR($A242="",$B242&lt;&gt;"Program"),"","■ "&amp;COUNTIFS($C$6:$C$305,$A242,$M$6:$M$305,"■ Red")&amp;" Red, ◧ "&amp;COUNTIFS($C$6:$C$305,$A242,$M$6:$M$305,"◧ Amber")&amp;" Amber")</f>
        <v/>
      </c>
      <c r="O242" s="32">
        <f>IF(OR($A242="",$E242=""),"",COUNTIFS($E$6:$E$305,$E242,$D$6:$D$305,"Active")+COUNTIFS($E$6:$E$305,$E242,$D$6:$D$305,"Paused"))</f>
        <v/>
      </c>
      <c r="P242" s="31">
        <f>IF($A242="","",IF($AE242=0,"○ Clear",IF($AA242=1,"△ No owner",IF($AC242=1,"△ Check Sits under",IF($AC242=2,"△ Outside the portfolio",IF($AB242=1,"△ No sponsor","△ No variance note"))))&amp;IF($AE242&gt;1," (+"&amp;($AE242-1)&amp;" more)","")))</f>
        <v/>
      </c>
      <c r="Q242" s="31">
        <f>IF(AND($A242&lt;&gt;"",OR($D242="Active",$D242="Paused")),1,0)</f>
        <v/>
      </c>
      <c r="R242" s="31">
        <f>IFERROR(INDEX($A$6:$A$305,MATCH(235,$S$6:$S$305,0)),"")</f>
        <v/>
      </c>
      <c r="S242" s="31">
        <f>IF(AND($A242&lt;&gt;"",$B242="Program"),COUNTIFS($B$6:$B242,"Program",$A$6:$A242,"&lt;&gt;"),"")</f>
        <v/>
      </c>
      <c r="T242" s="33">
        <f>IF(AND($A242&lt;&gt;"",$B242="Program"),SUMPRODUCT(MAX(($C$6:$C$305=$A242)*($B$6:$B$305="Project")*($D$6:$D$305&lt;&gt;"Proposed")*$I$6:$I$305)),0)</f>
        <v/>
      </c>
      <c r="U242" s="33">
        <f>IF($I242&lt;&gt;"",$I242,IF($T242&gt;0,$T242,""))</f>
        <v/>
      </c>
      <c r="V242" s="31">
        <f>IF(AND($A242&lt;&gt;"",$B242="Program"),SUMIFS($J$6:$J$305,$C$6:$C$305,$A242,$B$6:$B$305,"Project",$D$6:$D$305,"&lt;&gt;Proposed"),0)</f>
        <v/>
      </c>
      <c r="W242" s="31">
        <f>IF(AND($A242&lt;&gt;"",$B242="Program"),COUNTIFS($C$6:$C$305,$A242,$B$6:$B$305,"Project",$D$6:$D$305,"&lt;&gt;Proposed")-COUNTIFS($C$6:$C$305,$A242,$B$6:$B$305,"Project",$D$6:$D$305,"&lt;&gt;Proposed",$J$6:$J$305,"&gt;=0"),0)</f>
        <v/>
      </c>
      <c r="X242" s="31">
        <f>IF(OR($Q242=0,$H242=""),0,IF(AND($B242="Project",$H242&lt;TODAY()),3,IF($U242="",0,IF($U242&lt;=$H242,1,IF(NETWORKDAYS($H242,$U242)-1&gt;IF($B242="Program",Portfolio!$B$16,Portfolio!$B$15),3,2)))))</f>
        <v/>
      </c>
      <c r="Y242" s="31">
        <f>IF(OR($Q242=0,$K242="",$K242=0),0,IF(AND($B242="Project",$J242=""),0,IF(IF($B242="Program",$V242,$J242)&gt;$K242*(1+Portfolio!$B$17),3,IF(IF($B242="Program",$V242,$J242)&gt;$K242,2,IF(AND($B242="Program",OR($W242&gt;0,$V242=0)),0,1)))))</f>
        <v/>
      </c>
      <c r="Z242" s="31">
        <f>IF($A242="",0,IF($C242="Portfolio",1,IF(AND($B242="Project",$C242&lt;&gt;"",$C242&lt;&gt;"Outside the portfolio"),IFERROR(IF(AND(INDEX($B$6:$B$305,MATCH($C242,$A$6:$A$305,0))="Program",INDEX($C$6:$C$305,MATCH($C242,$A$6:$A$305,0))="Portfolio"),1,0),0),0)))</f>
        <v/>
      </c>
      <c r="AA242" s="31">
        <f>IF(AND($A242&lt;&gt;"",$E242="",OR($Q242=1,$D242="Proposed")),1,0)</f>
        <v/>
      </c>
      <c r="AB242" s="31">
        <f>IF(AND($A242&lt;&gt;"",$B242="Program",$F242="",$Q242=1),1,0)</f>
        <v/>
      </c>
      <c r="AC242" s="31">
        <f>IF(OR($A242="",$D242="Completed",$D242="Terminated"),0,IF($C242="",1,IF($C242="Portfolio",0,IF($C242="Outside the portfolio",IF($Q242=1,2,0),IF($B242="Project",IF(IFERROR(INDEX($B$6:$B$305,MATCH($C242,$A$6:$A$305,0)),"")="Program",0,1),1)))))</f>
        <v/>
      </c>
      <c r="AD242" s="31">
        <f>IF(AND($A242&lt;&gt;"",OR($M242="■ Red",$M242="◧ Amber"),$L242=""),1,0)</f>
        <v/>
      </c>
      <c r="AE242" s="31">
        <f>$AA242+$AB242+IF($AC242&gt;0,1,0)+$AD242</f>
        <v/>
      </c>
      <c r="AJ242" s="14" t="n"/>
      <c r="AK242" s="29" t="n"/>
      <c r="AL242" s="31">
        <f>IF(AND($Q242=1,$Z242=1),1,0)</f>
        <v/>
      </c>
      <c r="AM242" s="31">
        <f>IF(AND($AL242=1,$AJ242&lt;&gt;""),MAX(0,TODAY()-$AJ242),"")</f>
        <v/>
      </c>
      <c r="AN242" s="31">
        <f>IF(OR($AL242=0,COUNT($AJ$6:$AJ$305)=0),0,IF($AJ242="",1,IF(TODAY()-$AJ242&gt;Board!$B$40,1,0)))</f>
        <v/>
      </c>
      <c r="AO242" s="31">
        <f>IF($AL242=0,0,IF($M242="■ Red",3,IF($M242="◧ Amber",2,IF($M242="□ On track",1,0))))</f>
        <v/>
      </c>
      <c r="AP242" s="31">
        <f>IF($AL242=0,0,IF($AK242="Will not hold",3,IF($AK242="At risk",2,IF($AK242="Will hold",1,0))))</f>
        <v/>
      </c>
      <c r="AQ242" s="31">
        <f>IF($AL242=0,"",IF($AO242=3,0,IF($AO242=2,1,IF(AND($AP242&gt;=2,$AP242&gt;$AO242),2,""))))</f>
        <v/>
      </c>
      <c r="AR242" s="31">
        <f>IF($AQ242="","",$AQ242*1000+242)</f>
        <v/>
      </c>
      <c r="AS242" s="31">
        <f>IF(AND($AL242=1,$AO242&gt;=2,$AP242&gt;=1,$AP242&lt;$AO242),1,0)</f>
        <v/>
      </c>
      <c r="AT242" s="31">
        <f>IF(AND($AL242=1,$AO242&gt;=2,$AP242=0),1,0)</f>
        <v/>
      </c>
      <c r="AU242" s="31">
        <f>IF(AND($AL242=1,$U242&lt;&gt;"",$U242&lt;TODAY()),1,0)</f>
        <v/>
      </c>
      <c r="AV242" s="31">
        <f>IF(OR($A242="",$AJ242="",Portfolio!$B$10=""),0,IF($AJ242&lt;=Portfolio!$B$10,0,IF(AND($D242="Completed",$Z242=1),1,IF(AND($D242="Terminated",$Z242=1),2,IF(AND($Q242=1,$Z242=0),3,0)))))</f>
        <v/>
      </c>
      <c r="AW242" s="31">
        <f>IF($AV242&gt;0,COUNTIF($AV$6:$AV242,"&gt;0"),"")</f>
        <v/>
      </c>
      <c r="AX242" s="31">
        <f>IF($AL242=0,"",IF(AND($B242="Project",$H242&lt;&gt;"",$H242&lt;TODAY()),"Planned finish "&amp;TEXT($H242,"d mmm")&amp;" has passed",IF($X242&gt;=2,(NETWORKDAYS($H242,$U242)-1)&amp;" working days past plan","")))</f>
        <v/>
      </c>
      <c r="AY242" s="31">
        <f>IF($AL242=0,"",IF($Y242&gt;=2,"Over budget by "&amp;TEXT(IF($B242="Program",$V242,$J242)-$K242,"#,##0"),""))</f>
        <v/>
      </c>
      <c r="AZ242" s="31">
        <f>IF(AND($AL242=1,$U242&lt;&gt;""),IF(AND(N($U242)&gt;=TODAY(),N($U242)&lt;=TODAY()+Board!$B$41),1,0),0)</f>
        <v/>
      </c>
    </row>
    <row r="243">
      <c r="A243" s="29" t="n"/>
      <c r="B243" s="29" t="n"/>
      <c r="C243" s="29" t="n"/>
      <c r="D243" s="29" t="n"/>
      <c r="E243" s="29" t="n"/>
      <c r="F243" s="29" t="n"/>
      <c r="G243" s="29" t="n"/>
      <c r="H243" s="30" t="n"/>
      <c r="I243" s="30" t="n"/>
      <c r="J243" s="19" t="n"/>
      <c r="K243" s="19" t="n"/>
      <c r="L243" s="26" t="n"/>
      <c r="M243" s="31">
        <f>IF($A243="","",IF($D243="","Not read",IF($Q243=0,"Not counted",IF(MAX($X243,$Y243)=3,"■ Red",IF(MAX($X243,$Y243)=2,"◧ Amber",IF(MAX($X243,$Y243)=1,"□ On track","Not read"))))))</f>
        <v/>
      </c>
      <c r="N243" s="31">
        <f>IF(OR($A243="",$B243&lt;&gt;"Program"),"","■ "&amp;COUNTIFS($C$6:$C$305,$A243,$M$6:$M$305,"■ Red")&amp;" Red, ◧ "&amp;COUNTIFS($C$6:$C$305,$A243,$M$6:$M$305,"◧ Amber")&amp;" Amber")</f>
        <v/>
      </c>
      <c r="O243" s="32">
        <f>IF(OR($A243="",$E243=""),"",COUNTIFS($E$6:$E$305,$E243,$D$6:$D$305,"Active")+COUNTIFS($E$6:$E$305,$E243,$D$6:$D$305,"Paused"))</f>
        <v/>
      </c>
      <c r="P243" s="31">
        <f>IF($A243="","",IF($AE243=0,"○ Clear",IF($AA243=1,"△ No owner",IF($AC243=1,"△ Check Sits under",IF($AC243=2,"△ Outside the portfolio",IF($AB243=1,"△ No sponsor","△ No variance note"))))&amp;IF($AE243&gt;1," (+"&amp;($AE243-1)&amp;" more)","")))</f>
        <v/>
      </c>
      <c r="Q243" s="31">
        <f>IF(AND($A243&lt;&gt;"",OR($D243="Active",$D243="Paused")),1,0)</f>
        <v/>
      </c>
      <c r="R243" s="31">
        <f>IFERROR(INDEX($A$6:$A$305,MATCH(236,$S$6:$S$305,0)),"")</f>
        <v/>
      </c>
      <c r="S243" s="31">
        <f>IF(AND($A243&lt;&gt;"",$B243="Program"),COUNTIFS($B$6:$B243,"Program",$A$6:$A243,"&lt;&gt;"),"")</f>
        <v/>
      </c>
      <c r="T243" s="33">
        <f>IF(AND($A243&lt;&gt;"",$B243="Program"),SUMPRODUCT(MAX(($C$6:$C$305=$A243)*($B$6:$B$305="Project")*($D$6:$D$305&lt;&gt;"Proposed")*$I$6:$I$305)),0)</f>
        <v/>
      </c>
      <c r="U243" s="33">
        <f>IF($I243&lt;&gt;"",$I243,IF($T243&gt;0,$T243,""))</f>
        <v/>
      </c>
      <c r="V243" s="31">
        <f>IF(AND($A243&lt;&gt;"",$B243="Program"),SUMIFS($J$6:$J$305,$C$6:$C$305,$A243,$B$6:$B$305,"Project",$D$6:$D$305,"&lt;&gt;Proposed"),0)</f>
        <v/>
      </c>
      <c r="W243" s="31">
        <f>IF(AND($A243&lt;&gt;"",$B243="Program"),COUNTIFS($C$6:$C$305,$A243,$B$6:$B$305,"Project",$D$6:$D$305,"&lt;&gt;Proposed")-COUNTIFS($C$6:$C$305,$A243,$B$6:$B$305,"Project",$D$6:$D$305,"&lt;&gt;Proposed",$J$6:$J$305,"&gt;=0"),0)</f>
        <v/>
      </c>
      <c r="X243" s="31">
        <f>IF(OR($Q243=0,$H243=""),0,IF(AND($B243="Project",$H243&lt;TODAY()),3,IF($U243="",0,IF($U243&lt;=$H243,1,IF(NETWORKDAYS($H243,$U243)-1&gt;IF($B243="Program",Portfolio!$B$16,Portfolio!$B$15),3,2)))))</f>
        <v/>
      </c>
      <c r="Y243" s="31">
        <f>IF(OR($Q243=0,$K243="",$K243=0),0,IF(AND($B243="Project",$J243=""),0,IF(IF($B243="Program",$V243,$J243)&gt;$K243*(1+Portfolio!$B$17),3,IF(IF($B243="Program",$V243,$J243)&gt;$K243,2,IF(AND($B243="Program",OR($W243&gt;0,$V243=0)),0,1)))))</f>
        <v/>
      </c>
      <c r="Z243" s="31">
        <f>IF($A243="",0,IF($C243="Portfolio",1,IF(AND($B243="Project",$C243&lt;&gt;"",$C243&lt;&gt;"Outside the portfolio"),IFERROR(IF(AND(INDEX($B$6:$B$305,MATCH($C243,$A$6:$A$305,0))="Program",INDEX($C$6:$C$305,MATCH($C243,$A$6:$A$305,0))="Portfolio"),1,0),0),0)))</f>
        <v/>
      </c>
      <c r="AA243" s="31">
        <f>IF(AND($A243&lt;&gt;"",$E243="",OR($Q243=1,$D243="Proposed")),1,0)</f>
        <v/>
      </c>
      <c r="AB243" s="31">
        <f>IF(AND($A243&lt;&gt;"",$B243="Program",$F243="",$Q243=1),1,0)</f>
        <v/>
      </c>
      <c r="AC243" s="31">
        <f>IF(OR($A243="",$D243="Completed",$D243="Terminated"),0,IF($C243="",1,IF($C243="Portfolio",0,IF($C243="Outside the portfolio",IF($Q243=1,2,0),IF($B243="Project",IF(IFERROR(INDEX($B$6:$B$305,MATCH($C243,$A$6:$A$305,0)),"")="Program",0,1),1)))))</f>
        <v/>
      </c>
      <c r="AD243" s="31">
        <f>IF(AND($A243&lt;&gt;"",OR($M243="■ Red",$M243="◧ Amber"),$L243=""),1,0)</f>
        <v/>
      </c>
      <c r="AE243" s="31">
        <f>$AA243+$AB243+IF($AC243&gt;0,1,0)+$AD243</f>
        <v/>
      </c>
      <c r="AJ243" s="14" t="n"/>
      <c r="AK243" s="29" t="n"/>
      <c r="AL243" s="31">
        <f>IF(AND($Q243=1,$Z243=1),1,0)</f>
        <v/>
      </c>
      <c r="AM243" s="31">
        <f>IF(AND($AL243=1,$AJ243&lt;&gt;""),MAX(0,TODAY()-$AJ243),"")</f>
        <v/>
      </c>
      <c r="AN243" s="31">
        <f>IF(OR($AL243=0,COUNT($AJ$6:$AJ$305)=0),0,IF($AJ243="",1,IF(TODAY()-$AJ243&gt;Board!$B$40,1,0)))</f>
        <v/>
      </c>
      <c r="AO243" s="31">
        <f>IF($AL243=0,0,IF($M243="■ Red",3,IF($M243="◧ Amber",2,IF($M243="□ On track",1,0))))</f>
        <v/>
      </c>
      <c r="AP243" s="31">
        <f>IF($AL243=0,0,IF($AK243="Will not hold",3,IF($AK243="At risk",2,IF($AK243="Will hold",1,0))))</f>
        <v/>
      </c>
      <c r="AQ243" s="31">
        <f>IF($AL243=0,"",IF($AO243=3,0,IF($AO243=2,1,IF(AND($AP243&gt;=2,$AP243&gt;$AO243),2,""))))</f>
        <v/>
      </c>
      <c r="AR243" s="31">
        <f>IF($AQ243="","",$AQ243*1000+243)</f>
        <v/>
      </c>
      <c r="AS243" s="31">
        <f>IF(AND($AL243=1,$AO243&gt;=2,$AP243&gt;=1,$AP243&lt;$AO243),1,0)</f>
        <v/>
      </c>
      <c r="AT243" s="31">
        <f>IF(AND($AL243=1,$AO243&gt;=2,$AP243=0),1,0)</f>
        <v/>
      </c>
      <c r="AU243" s="31">
        <f>IF(AND($AL243=1,$U243&lt;&gt;"",$U243&lt;TODAY()),1,0)</f>
        <v/>
      </c>
      <c r="AV243" s="31">
        <f>IF(OR($A243="",$AJ243="",Portfolio!$B$10=""),0,IF($AJ243&lt;=Portfolio!$B$10,0,IF(AND($D243="Completed",$Z243=1),1,IF(AND($D243="Terminated",$Z243=1),2,IF(AND($Q243=1,$Z243=0),3,0)))))</f>
        <v/>
      </c>
      <c r="AW243" s="31">
        <f>IF($AV243&gt;0,COUNTIF($AV$6:$AV243,"&gt;0"),"")</f>
        <v/>
      </c>
      <c r="AX243" s="31">
        <f>IF($AL243=0,"",IF(AND($B243="Project",$H243&lt;&gt;"",$H243&lt;TODAY()),"Planned finish "&amp;TEXT($H243,"d mmm")&amp;" has passed",IF($X243&gt;=2,(NETWORKDAYS($H243,$U243)-1)&amp;" working days past plan","")))</f>
        <v/>
      </c>
      <c r="AY243" s="31">
        <f>IF($AL243=0,"",IF($Y243&gt;=2,"Over budget by "&amp;TEXT(IF($B243="Program",$V243,$J243)-$K243,"#,##0"),""))</f>
        <v/>
      </c>
      <c r="AZ243" s="31">
        <f>IF(AND($AL243=1,$U243&lt;&gt;""),IF(AND(N($U243)&gt;=TODAY(),N($U243)&lt;=TODAY()+Board!$B$41),1,0),0)</f>
        <v/>
      </c>
    </row>
    <row r="244">
      <c r="A244" s="29" t="n"/>
      <c r="B244" s="29" t="n"/>
      <c r="C244" s="29" t="n"/>
      <c r="D244" s="29" t="n"/>
      <c r="E244" s="29" t="n"/>
      <c r="F244" s="29" t="n"/>
      <c r="G244" s="29" t="n"/>
      <c r="H244" s="30" t="n"/>
      <c r="I244" s="30" t="n"/>
      <c r="J244" s="19" t="n"/>
      <c r="K244" s="19" t="n"/>
      <c r="L244" s="26" t="n"/>
      <c r="M244" s="31">
        <f>IF($A244="","",IF($D244="","Not read",IF($Q244=0,"Not counted",IF(MAX($X244,$Y244)=3,"■ Red",IF(MAX($X244,$Y244)=2,"◧ Amber",IF(MAX($X244,$Y244)=1,"□ On track","Not read"))))))</f>
        <v/>
      </c>
      <c r="N244" s="31">
        <f>IF(OR($A244="",$B244&lt;&gt;"Program"),"","■ "&amp;COUNTIFS($C$6:$C$305,$A244,$M$6:$M$305,"■ Red")&amp;" Red, ◧ "&amp;COUNTIFS($C$6:$C$305,$A244,$M$6:$M$305,"◧ Amber")&amp;" Amber")</f>
        <v/>
      </c>
      <c r="O244" s="32">
        <f>IF(OR($A244="",$E244=""),"",COUNTIFS($E$6:$E$305,$E244,$D$6:$D$305,"Active")+COUNTIFS($E$6:$E$305,$E244,$D$6:$D$305,"Paused"))</f>
        <v/>
      </c>
      <c r="P244" s="31">
        <f>IF($A244="","",IF($AE244=0,"○ Clear",IF($AA244=1,"△ No owner",IF($AC244=1,"△ Check Sits under",IF($AC244=2,"△ Outside the portfolio",IF($AB244=1,"△ No sponsor","△ No variance note"))))&amp;IF($AE244&gt;1," (+"&amp;($AE244-1)&amp;" more)","")))</f>
        <v/>
      </c>
      <c r="Q244" s="31">
        <f>IF(AND($A244&lt;&gt;"",OR($D244="Active",$D244="Paused")),1,0)</f>
        <v/>
      </c>
      <c r="R244" s="31">
        <f>IFERROR(INDEX($A$6:$A$305,MATCH(237,$S$6:$S$305,0)),"")</f>
        <v/>
      </c>
      <c r="S244" s="31">
        <f>IF(AND($A244&lt;&gt;"",$B244="Program"),COUNTIFS($B$6:$B244,"Program",$A$6:$A244,"&lt;&gt;"),"")</f>
        <v/>
      </c>
      <c r="T244" s="33">
        <f>IF(AND($A244&lt;&gt;"",$B244="Program"),SUMPRODUCT(MAX(($C$6:$C$305=$A244)*($B$6:$B$305="Project")*($D$6:$D$305&lt;&gt;"Proposed")*$I$6:$I$305)),0)</f>
        <v/>
      </c>
      <c r="U244" s="33">
        <f>IF($I244&lt;&gt;"",$I244,IF($T244&gt;0,$T244,""))</f>
        <v/>
      </c>
      <c r="V244" s="31">
        <f>IF(AND($A244&lt;&gt;"",$B244="Program"),SUMIFS($J$6:$J$305,$C$6:$C$305,$A244,$B$6:$B$305,"Project",$D$6:$D$305,"&lt;&gt;Proposed"),0)</f>
        <v/>
      </c>
      <c r="W244" s="31">
        <f>IF(AND($A244&lt;&gt;"",$B244="Program"),COUNTIFS($C$6:$C$305,$A244,$B$6:$B$305,"Project",$D$6:$D$305,"&lt;&gt;Proposed")-COUNTIFS($C$6:$C$305,$A244,$B$6:$B$305,"Project",$D$6:$D$305,"&lt;&gt;Proposed",$J$6:$J$305,"&gt;=0"),0)</f>
        <v/>
      </c>
      <c r="X244" s="31">
        <f>IF(OR($Q244=0,$H244=""),0,IF(AND($B244="Project",$H244&lt;TODAY()),3,IF($U244="",0,IF($U244&lt;=$H244,1,IF(NETWORKDAYS($H244,$U244)-1&gt;IF($B244="Program",Portfolio!$B$16,Portfolio!$B$15),3,2)))))</f>
        <v/>
      </c>
      <c r="Y244" s="31">
        <f>IF(OR($Q244=0,$K244="",$K244=0),0,IF(AND($B244="Project",$J244=""),0,IF(IF($B244="Program",$V244,$J244)&gt;$K244*(1+Portfolio!$B$17),3,IF(IF($B244="Program",$V244,$J244)&gt;$K244,2,IF(AND($B244="Program",OR($W244&gt;0,$V244=0)),0,1)))))</f>
        <v/>
      </c>
      <c r="Z244" s="31">
        <f>IF($A244="",0,IF($C244="Portfolio",1,IF(AND($B244="Project",$C244&lt;&gt;"",$C244&lt;&gt;"Outside the portfolio"),IFERROR(IF(AND(INDEX($B$6:$B$305,MATCH($C244,$A$6:$A$305,0))="Program",INDEX($C$6:$C$305,MATCH($C244,$A$6:$A$305,0))="Portfolio"),1,0),0),0)))</f>
        <v/>
      </c>
      <c r="AA244" s="31">
        <f>IF(AND($A244&lt;&gt;"",$E244="",OR($Q244=1,$D244="Proposed")),1,0)</f>
        <v/>
      </c>
      <c r="AB244" s="31">
        <f>IF(AND($A244&lt;&gt;"",$B244="Program",$F244="",$Q244=1),1,0)</f>
        <v/>
      </c>
      <c r="AC244" s="31">
        <f>IF(OR($A244="",$D244="Completed",$D244="Terminated"),0,IF($C244="",1,IF($C244="Portfolio",0,IF($C244="Outside the portfolio",IF($Q244=1,2,0),IF($B244="Project",IF(IFERROR(INDEX($B$6:$B$305,MATCH($C244,$A$6:$A$305,0)),"")="Program",0,1),1)))))</f>
        <v/>
      </c>
      <c r="AD244" s="31">
        <f>IF(AND($A244&lt;&gt;"",OR($M244="■ Red",$M244="◧ Amber"),$L244=""),1,0)</f>
        <v/>
      </c>
      <c r="AE244" s="31">
        <f>$AA244+$AB244+IF($AC244&gt;0,1,0)+$AD244</f>
        <v/>
      </c>
      <c r="AJ244" s="14" t="n"/>
      <c r="AK244" s="29" t="n"/>
      <c r="AL244" s="31">
        <f>IF(AND($Q244=1,$Z244=1),1,0)</f>
        <v/>
      </c>
      <c r="AM244" s="31">
        <f>IF(AND($AL244=1,$AJ244&lt;&gt;""),MAX(0,TODAY()-$AJ244),"")</f>
        <v/>
      </c>
      <c r="AN244" s="31">
        <f>IF(OR($AL244=0,COUNT($AJ$6:$AJ$305)=0),0,IF($AJ244="",1,IF(TODAY()-$AJ244&gt;Board!$B$40,1,0)))</f>
        <v/>
      </c>
      <c r="AO244" s="31">
        <f>IF($AL244=0,0,IF($M244="■ Red",3,IF($M244="◧ Amber",2,IF($M244="□ On track",1,0))))</f>
        <v/>
      </c>
      <c r="AP244" s="31">
        <f>IF($AL244=0,0,IF($AK244="Will not hold",3,IF($AK244="At risk",2,IF($AK244="Will hold",1,0))))</f>
        <v/>
      </c>
      <c r="AQ244" s="31">
        <f>IF($AL244=0,"",IF($AO244=3,0,IF($AO244=2,1,IF(AND($AP244&gt;=2,$AP244&gt;$AO244),2,""))))</f>
        <v/>
      </c>
      <c r="AR244" s="31">
        <f>IF($AQ244="","",$AQ244*1000+244)</f>
        <v/>
      </c>
      <c r="AS244" s="31">
        <f>IF(AND($AL244=1,$AO244&gt;=2,$AP244&gt;=1,$AP244&lt;$AO244),1,0)</f>
        <v/>
      </c>
      <c r="AT244" s="31">
        <f>IF(AND($AL244=1,$AO244&gt;=2,$AP244=0),1,0)</f>
        <v/>
      </c>
      <c r="AU244" s="31">
        <f>IF(AND($AL244=1,$U244&lt;&gt;"",$U244&lt;TODAY()),1,0)</f>
        <v/>
      </c>
      <c r="AV244" s="31">
        <f>IF(OR($A244="",$AJ244="",Portfolio!$B$10=""),0,IF($AJ244&lt;=Portfolio!$B$10,0,IF(AND($D244="Completed",$Z244=1),1,IF(AND($D244="Terminated",$Z244=1),2,IF(AND($Q244=1,$Z244=0),3,0)))))</f>
        <v/>
      </c>
      <c r="AW244" s="31">
        <f>IF($AV244&gt;0,COUNTIF($AV$6:$AV244,"&gt;0"),"")</f>
        <v/>
      </c>
      <c r="AX244" s="31">
        <f>IF($AL244=0,"",IF(AND($B244="Project",$H244&lt;&gt;"",$H244&lt;TODAY()),"Planned finish "&amp;TEXT($H244,"d mmm")&amp;" has passed",IF($X244&gt;=2,(NETWORKDAYS($H244,$U244)-1)&amp;" working days past plan","")))</f>
        <v/>
      </c>
      <c r="AY244" s="31">
        <f>IF($AL244=0,"",IF($Y244&gt;=2,"Over budget by "&amp;TEXT(IF($B244="Program",$V244,$J244)-$K244,"#,##0"),""))</f>
        <v/>
      </c>
      <c r="AZ244" s="31">
        <f>IF(AND($AL244=1,$U244&lt;&gt;""),IF(AND(N($U244)&gt;=TODAY(),N($U244)&lt;=TODAY()+Board!$B$41),1,0),0)</f>
        <v/>
      </c>
    </row>
    <row r="245">
      <c r="A245" s="29" t="n"/>
      <c r="B245" s="29" t="n"/>
      <c r="C245" s="29" t="n"/>
      <c r="D245" s="29" t="n"/>
      <c r="E245" s="29" t="n"/>
      <c r="F245" s="29" t="n"/>
      <c r="G245" s="29" t="n"/>
      <c r="H245" s="30" t="n"/>
      <c r="I245" s="30" t="n"/>
      <c r="J245" s="19" t="n"/>
      <c r="K245" s="19" t="n"/>
      <c r="L245" s="26" t="n"/>
      <c r="M245" s="31">
        <f>IF($A245="","",IF($D245="","Not read",IF($Q245=0,"Not counted",IF(MAX($X245,$Y245)=3,"■ Red",IF(MAX($X245,$Y245)=2,"◧ Amber",IF(MAX($X245,$Y245)=1,"□ On track","Not read"))))))</f>
        <v/>
      </c>
      <c r="N245" s="31">
        <f>IF(OR($A245="",$B245&lt;&gt;"Program"),"","■ "&amp;COUNTIFS($C$6:$C$305,$A245,$M$6:$M$305,"■ Red")&amp;" Red, ◧ "&amp;COUNTIFS($C$6:$C$305,$A245,$M$6:$M$305,"◧ Amber")&amp;" Amber")</f>
        <v/>
      </c>
      <c r="O245" s="32">
        <f>IF(OR($A245="",$E245=""),"",COUNTIFS($E$6:$E$305,$E245,$D$6:$D$305,"Active")+COUNTIFS($E$6:$E$305,$E245,$D$6:$D$305,"Paused"))</f>
        <v/>
      </c>
      <c r="P245" s="31">
        <f>IF($A245="","",IF($AE245=0,"○ Clear",IF($AA245=1,"△ No owner",IF($AC245=1,"△ Check Sits under",IF($AC245=2,"△ Outside the portfolio",IF($AB245=1,"△ No sponsor","△ No variance note"))))&amp;IF($AE245&gt;1," (+"&amp;($AE245-1)&amp;" more)","")))</f>
        <v/>
      </c>
      <c r="Q245" s="31">
        <f>IF(AND($A245&lt;&gt;"",OR($D245="Active",$D245="Paused")),1,0)</f>
        <v/>
      </c>
      <c r="R245" s="31">
        <f>IFERROR(INDEX($A$6:$A$305,MATCH(238,$S$6:$S$305,0)),"")</f>
        <v/>
      </c>
      <c r="S245" s="31">
        <f>IF(AND($A245&lt;&gt;"",$B245="Program"),COUNTIFS($B$6:$B245,"Program",$A$6:$A245,"&lt;&gt;"),"")</f>
        <v/>
      </c>
      <c r="T245" s="33">
        <f>IF(AND($A245&lt;&gt;"",$B245="Program"),SUMPRODUCT(MAX(($C$6:$C$305=$A245)*($B$6:$B$305="Project")*($D$6:$D$305&lt;&gt;"Proposed")*$I$6:$I$305)),0)</f>
        <v/>
      </c>
      <c r="U245" s="33">
        <f>IF($I245&lt;&gt;"",$I245,IF($T245&gt;0,$T245,""))</f>
        <v/>
      </c>
      <c r="V245" s="31">
        <f>IF(AND($A245&lt;&gt;"",$B245="Program"),SUMIFS($J$6:$J$305,$C$6:$C$305,$A245,$B$6:$B$305,"Project",$D$6:$D$305,"&lt;&gt;Proposed"),0)</f>
        <v/>
      </c>
      <c r="W245" s="31">
        <f>IF(AND($A245&lt;&gt;"",$B245="Program"),COUNTIFS($C$6:$C$305,$A245,$B$6:$B$305,"Project",$D$6:$D$305,"&lt;&gt;Proposed")-COUNTIFS($C$6:$C$305,$A245,$B$6:$B$305,"Project",$D$6:$D$305,"&lt;&gt;Proposed",$J$6:$J$305,"&gt;=0"),0)</f>
        <v/>
      </c>
      <c r="X245" s="31">
        <f>IF(OR($Q245=0,$H245=""),0,IF(AND($B245="Project",$H245&lt;TODAY()),3,IF($U245="",0,IF($U245&lt;=$H245,1,IF(NETWORKDAYS($H245,$U245)-1&gt;IF($B245="Program",Portfolio!$B$16,Portfolio!$B$15),3,2)))))</f>
        <v/>
      </c>
      <c r="Y245" s="31">
        <f>IF(OR($Q245=0,$K245="",$K245=0),0,IF(AND($B245="Project",$J245=""),0,IF(IF($B245="Program",$V245,$J245)&gt;$K245*(1+Portfolio!$B$17),3,IF(IF($B245="Program",$V245,$J245)&gt;$K245,2,IF(AND($B245="Program",OR($W245&gt;0,$V245=0)),0,1)))))</f>
        <v/>
      </c>
      <c r="Z245" s="31">
        <f>IF($A245="",0,IF($C245="Portfolio",1,IF(AND($B245="Project",$C245&lt;&gt;"",$C245&lt;&gt;"Outside the portfolio"),IFERROR(IF(AND(INDEX($B$6:$B$305,MATCH($C245,$A$6:$A$305,0))="Program",INDEX($C$6:$C$305,MATCH($C245,$A$6:$A$305,0))="Portfolio"),1,0),0),0)))</f>
        <v/>
      </c>
      <c r="AA245" s="31">
        <f>IF(AND($A245&lt;&gt;"",$E245="",OR($Q245=1,$D245="Proposed")),1,0)</f>
        <v/>
      </c>
      <c r="AB245" s="31">
        <f>IF(AND($A245&lt;&gt;"",$B245="Program",$F245="",$Q245=1),1,0)</f>
        <v/>
      </c>
      <c r="AC245" s="31">
        <f>IF(OR($A245="",$D245="Completed",$D245="Terminated"),0,IF($C245="",1,IF($C245="Portfolio",0,IF($C245="Outside the portfolio",IF($Q245=1,2,0),IF($B245="Project",IF(IFERROR(INDEX($B$6:$B$305,MATCH($C245,$A$6:$A$305,0)),"")="Program",0,1),1)))))</f>
        <v/>
      </c>
      <c r="AD245" s="31">
        <f>IF(AND($A245&lt;&gt;"",OR($M245="■ Red",$M245="◧ Amber"),$L245=""),1,0)</f>
        <v/>
      </c>
      <c r="AE245" s="31">
        <f>$AA245+$AB245+IF($AC245&gt;0,1,0)+$AD245</f>
        <v/>
      </c>
      <c r="AJ245" s="14" t="n"/>
      <c r="AK245" s="29" t="n"/>
      <c r="AL245" s="31">
        <f>IF(AND($Q245=1,$Z245=1),1,0)</f>
        <v/>
      </c>
      <c r="AM245" s="31">
        <f>IF(AND($AL245=1,$AJ245&lt;&gt;""),MAX(0,TODAY()-$AJ245),"")</f>
        <v/>
      </c>
      <c r="AN245" s="31">
        <f>IF(OR($AL245=0,COUNT($AJ$6:$AJ$305)=0),0,IF($AJ245="",1,IF(TODAY()-$AJ245&gt;Board!$B$40,1,0)))</f>
        <v/>
      </c>
      <c r="AO245" s="31">
        <f>IF($AL245=0,0,IF($M245="■ Red",3,IF($M245="◧ Amber",2,IF($M245="□ On track",1,0))))</f>
        <v/>
      </c>
      <c r="AP245" s="31">
        <f>IF($AL245=0,0,IF($AK245="Will not hold",3,IF($AK245="At risk",2,IF($AK245="Will hold",1,0))))</f>
        <v/>
      </c>
      <c r="AQ245" s="31">
        <f>IF($AL245=0,"",IF($AO245=3,0,IF($AO245=2,1,IF(AND($AP245&gt;=2,$AP245&gt;$AO245),2,""))))</f>
        <v/>
      </c>
      <c r="AR245" s="31">
        <f>IF($AQ245="","",$AQ245*1000+245)</f>
        <v/>
      </c>
      <c r="AS245" s="31">
        <f>IF(AND($AL245=1,$AO245&gt;=2,$AP245&gt;=1,$AP245&lt;$AO245),1,0)</f>
        <v/>
      </c>
      <c r="AT245" s="31">
        <f>IF(AND($AL245=1,$AO245&gt;=2,$AP245=0),1,0)</f>
        <v/>
      </c>
      <c r="AU245" s="31">
        <f>IF(AND($AL245=1,$U245&lt;&gt;"",$U245&lt;TODAY()),1,0)</f>
        <v/>
      </c>
      <c r="AV245" s="31">
        <f>IF(OR($A245="",$AJ245="",Portfolio!$B$10=""),0,IF($AJ245&lt;=Portfolio!$B$10,0,IF(AND($D245="Completed",$Z245=1),1,IF(AND($D245="Terminated",$Z245=1),2,IF(AND($Q245=1,$Z245=0),3,0)))))</f>
        <v/>
      </c>
      <c r="AW245" s="31">
        <f>IF($AV245&gt;0,COUNTIF($AV$6:$AV245,"&gt;0"),"")</f>
        <v/>
      </c>
      <c r="AX245" s="31">
        <f>IF($AL245=0,"",IF(AND($B245="Project",$H245&lt;&gt;"",$H245&lt;TODAY()),"Planned finish "&amp;TEXT($H245,"d mmm")&amp;" has passed",IF($X245&gt;=2,(NETWORKDAYS($H245,$U245)-1)&amp;" working days past plan","")))</f>
        <v/>
      </c>
      <c r="AY245" s="31">
        <f>IF($AL245=0,"",IF($Y245&gt;=2,"Over budget by "&amp;TEXT(IF($B245="Program",$V245,$J245)-$K245,"#,##0"),""))</f>
        <v/>
      </c>
      <c r="AZ245" s="31">
        <f>IF(AND($AL245=1,$U245&lt;&gt;""),IF(AND(N($U245)&gt;=TODAY(),N($U245)&lt;=TODAY()+Board!$B$41),1,0),0)</f>
        <v/>
      </c>
    </row>
    <row r="246">
      <c r="A246" s="29" t="n"/>
      <c r="B246" s="29" t="n"/>
      <c r="C246" s="29" t="n"/>
      <c r="D246" s="29" t="n"/>
      <c r="E246" s="29" t="n"/>
      <c r="F246" s="29" t="n"/>
      <c r="G246" s="29" t="n"/>
      <c r="H246" s="30" t="n"/>
      <c r="I246" s="30" t="n"/>
      <c r="J246" s="19" t="n"/>
      <c r="K246" s="19" t="n"/>
      <c r="L246" s="26" t="n"/>
      <c r="M246" s="31">
        <f>IF($A246="","",IF($D246="","Not read",IF($Q246=0,"Not counted",IF(MAX($X246,$Y246)=3,"■ Red",IF(MAX($X246,$Y246)=2,"◧ Amber",IF(MAX($X246,$Y246)=1,"□ On track","Not read"))))))</f>
        <v/>
      </c>
      <c r="N246" s="31">
        <f>IF(OR($A246="",$B246&lt;&gt;"Program"),"","■ "&amp;COUNTIFS($C$6:$C$305,$A246,$M$6:$M$305,"■ Red")&amp;" Red, ◧ "&amp;COUNTIFS($C$6:$C$305,$A246,$M$6:$M$305,"◧ Amber")&amp;" Amber")</f>
        <v/>
      </c>
      <c r="O246" s="32">
        <f>IF(OR($A246="",$E246=""),"",COUNTIFS($E$6:$E$305,$E246,$D$6:$D$305,"Active")+COUNTIFS($E$6:$E$305,$E246,$D$6:$D$305,"Paused"))</f>
        <v/>
      </c>
      <c r="P246" s="31">
        <f>IF($A246="","",IF($AE246=0,"○ Clear",IF($AA246=1,"△ No owner",IF($AC246=1,"△ Check Sits under",IF($AC246=2,"△ Outside the portfolio",IF($AB246=1,"△ No sponsor","△ No variance note"))))&amp;IF($AE246&gt;1," (+"&amp;($AE246-1)&amp;" more)","")))</f>
        <v/>
      </c>
      <c r="Q246" s="31">
        <f>IF(AND($A246&lt;&gt;"",OR($D246="Active",$D246="Paused")),1,0)</f>
        <v/>
      </c>
      <c r="R246" s="31">
        <f>IFERROR(INDEX($A$6:$A$305,MATCH(239,$S$6:$S$305,0)),"")</f>
        <v/>
      </c>
      <c r="S246" s="31">
        <f>IF(AND($A246&lt;&gt;"",$B246="Program"),COUNTIFS($B$6:$B246,"Program",$A$6:$A246,"&lt;&gt;"),"")</f>
        <v/>
      </c>
      <c r="T246" s="33">
        <f>IF(AND($A246&lt;&gt;"",$B246="Program"),SUMPRODUCT(MAX(($C$6:$C$305=$A246)*($B$6:$B$305="Project")*($D$6:$D$305&lt;&gt;"Proposed")*$I$6:$I$305)),0)</f>
        <v/>
      </c>
      <c r="U246" s="33">
        <f>IF($I246&lt;&gt;"",$I246,IF($T246&gt;0,$T246,""))</f>
        <v/>
      </c>
      <c r="V246" s="31">
        <f>IF(AND($A246&lt;&gt;"",$B246="Program"),SUMIFS($J$6:$J$305,$C$6:$C$305,$A246,$B$6:$B$305,"Project",$D$6:$D$305,"&lt;&gt;Proposed"),0)</f>
        <v/>
      </c>
      <c r="W246" s="31">
        <f>IF(AND($A246&lt;&gt;"",$B246="Program"),COUNTIFS($C$6:$C$305,$A246,$B$6:$B$305,"Project",$D$6:$D$305,"&lt;&gt;Proposed")-COUNTIFS($C$6:$C$305,$A246,$B$6:$B$305,"Project",$D$6:$D$305,"&lt;&gt;Proposed",$J$6:$J$305,"&gt;=0"),0)</f>
        <v/>
      </c>
      <c r="X246" s="31">
        <f>IF(OR($Q246=0,$H246=""),0,IF(AND($B246="Project",$H246&lt;TODAY()),3,IF($U246="",0,IF($U246&lt;=$H246,1,IF(NETWORKDAYS($H246,$U246)-1&gt;IF($B246="Program",Portfolio!$B$16,Portfolio!$B$15),3,2)))))</f>
        <v/>
      </c>
      <c r="Y246" s="31">
        <f>IF(OR($Q246=0,$K246="",$K246=0),0,IF(AND($B246="Project",$J246=""),0,IF(IF($B246="Program",$V246,$J246)&gt;$K246*(1+Portfolio!$B$17),3,IF(IF($B246="Program",$V246,$J246)&gt;$K246,2,IF(AND($B246="Program",OR($W246&gt;0,$V246=0)),0,1)))))</f>
        <v/>
      </c>
      <c r="Z246" s="31">
        <f>IF($A246="",0,IF($C246="Portfolio",1,IF(AND($B246="Project",$C246&lt;&gt;"",$C246&lt;&gt;"Outside the portfolio"),IFERROR(IF(AND(INDEX($B$6:$B$305,MATCH($C246,$A$6:$A$305,0))="Program",INDEX($C$6:$C$305,MATCH($C246,$A$6:$A$305,0))="Portfolio"),1,0),0),0)))</f>
        <v/>
      </c>
      <c r="AA246" s="31">
        <f>IF(AND($A246&lt;&gt;"",$E246="",OR($Q246=1,$D246="Proposed")),1,0)</f>
        <v/>
      </c>
      <c r="AB246" s="31">
        <f>IF(AND($A246&lt;&gt;"",$B246="Program",$F246="",$Q246=1),1,0)</f>
        <v/>
      </c>
      <c r="AC246" s="31">
        <f>IF(OR($A246="",$D246="Completed",$D246="Terminated"),0,IF($C246="",1,IF($C246="Portfolio",0,IF($C246="Outside the portfolio",IF($Q246=1,2,0),IF($B246="Project",IF(IFERROR(INDEX($B$6:$B$305,MATCH($C246,$A$6:$A$305,0)),"")="Program",0,1),1)))))</f>
        <v/>
      </c>
      <c r="AD246" s="31">
        <f>IF(AND($A246&lt;&gt;"",OR($M246="■ Red",$M246="◧ Amber"),$L246=""),1,0)</f>
        <v/>
      </c>
      <c r="AE246" s="31">
        <f>$AA246+$AB246+IF($AC246&gt;0,1,0)+$AD246</f>
        <v/>
      </c>
      <c r="AJ246" s="14" t="n"/>
      <c r="AK246" s="29" t="n"/>
      <c r="AL246" s="31">
        <f>IF(AND($Q246=1,$Z246=1),1,0)</f>
        <v/>
      </c>
      <c r="AM246" s="31">
        <f>IF(AND($AL246=1,$AJ246&lt;&gt;""),MAX(0,TODAY()-$AJ246),"")</f>
        <v/>
      </c>
      <c r="AN246" s="31">
        <f>IF(OR($AL246=0,COUNT($AJ$6:$AJ$305)=0),0,IF($AJ246="",1,IF(TODAY()-$AJ246&gt;Board!$B$40,1,0)))</f>
        <v/>
      </c>
      <c r="AO246" s="31">
        <f>IF($AL246=0,0,IF($M246="■ Red",3,IF($M246="◧ Amber",2,IF($M246="□ On track",1,0))))</f>
        <v/>
      </c>
      <c r="AP246" s="31">
        <f>IF($AL246=0,0,IF($AK246="Will not hold",3,IF($AK246="At risk",2,IF($AK246="Will hold",1,0))))</f>
        <v/>
      </c>
      <c r="AQ246" s="31">
        <f>IF($AL246=0,"",IF($AO246=3,0,IF($AO246=2,1,IF(AND($AP246&gt;=2,$AP246&gt;$AO246),2,""))))</f>
        <v/>
      </c>
      <c r="AR246" s="31">
        <f>IF($AQ246="","",$AQ246*1000+246)</f>
        <v/>
      </c>
      <c r="AS246" s="31">
        <f>IF(AND($AL246=1,$AO246&gt;=2,$AP246&gt;=1,$AP246&lt;$AO246),1,0)</f>
        <v/>
      </c>
      <c r="AT246" s="31">
        <f>IF(AND($AL246=1,$AO246&gt;=2,$AP246=0),1,0)</f>
        <v/>
      </c>
      <c r="AU246" s="31">
        <f>IF(AND($AL246=1,$U246&lt;&gt;"",$U246&lt;TODAY()),1,0)</f>
        <v/>
      </c>
      <c r="AV246" s="31">
        <f>IF(OR($A246="",$AJ246="",Portfolio!$B$10=""),0,IF($AJ246&lt;=Portfolio!$B$10,0,IF(AND($D246="Completed",$Z246=1),1,IF(AND($D246="Terminated",$Z246=1),2,IF(AND($Q246=1,$Z246=0),3,0)))))</f>
        <v/>
      </c>
      <c r="AW246" s="31">
        <f>IF($AV246&gt;0,COUNTIF($AV$6:$AV246,"&gt;0"),"")</f>
        <v/>
      </c>
      <c r="AX246" s="31">
        <f>IF($AL246=0,"",IF(AND($B246="Project",$H246&lt;&gt;"",$H246&lt;TODAY()),"Planned finish "&amp;TEXT($H246,"d mmm")&amp;" has passed",IF($X246&gt;=2,(NETWORKDAYS($H246,$U246)-1)&amp;" working days past plan","")))</f>
        <v/>
      </c>
      <c r="AY246" s="31">
        <f>IF($AL246=0,"",IF($Y246&gt;=2,"Over budget by "&amp;TEXT(IF($B246="Program",$V246,$J246)-$K246,"#,##0"),""))</f>
        <v/>
      </c>
      <c r="AZ246" s="31">
        <f>IF(AND($AL246=1,$U246&lt;&gt;""),IF(AND(N($U246)&gt;=TODAY(),N($U246)&lt;=TODAY()+Board!$B$41),1,0),0)</f>
        <v/>
      </c>
    </row>
    <row r="247">
      <c r="A247" s="29" t="n"/>
      <c r="B247" s="29" t="n"/>
      <c r="C247" s="29" t="n"/>
      <c r="D247" s="29" t="n"/>
      <c r="E247" s="29" t="n"/>
      <c r="F247" s="29" t="n"/>
      <c r="G247" s="29" t="n"/>
      <c r="H247" s="30" t="n"/>
      <c r="I247" s="30" t="n"/>
      <c r="J247" s="19" t="n"/>
      <c r="K247" s="19" t="n"/>
      <c r="L247" s="26" t="n"/>
      <c r="M247" s="31">
        <f>IF($A247="","",IF($D247="","Not read",IF($Q247=0,"Not counted",IF(MAX($X247,$Y247)=3,"■ Red",IF(MAX($X247,$Y247)=2,"◧ Amber",IF(MAX($X247,$Y247)=1,"□ On track","Not read"))))))</f>
        <v/>
      </c>
      <c r="N247" s="31">
        <f>IF(OR($A247="",$B247&lt;&gt;"Program"),"","■ "&amp;COUNTIFS($C$6:$C$305,$A247,$M$6:$M$305,"■ Red")&amp;" Red, ◧ "&amp;COUNTIFS($C$6:$C$305,$A247,$M$6:$M$305,"◧ Amber")&amp;" Amber")</f>
        <v/>
      </c>
      <c r="O247" s="32">
        <f>IF(OR($A247="",$E247=""),"",COUNTIFS($E$6:$E$305,$E247,$D$6:$D$305,"Active")+COUNTIFS($E$6:$E$305,$E247,$D$6:$D$305,"Paused"))</f>
        <v/>
      </c>
      <c r="P247" s="31">
        <f>IF($A247="","",IF($AE247=0,"○ Clear",IF($AA247=1,"△ No owner",IF($AC247=1,"△ Check Sits under",IF($AC247=2,"△ Outside the portfolio",IF($AB247=1,"△ No sponsor","△ No variance note"))))&amp;IF($AE247&gt;1," (+"&amp;($AE247-1)&amp;" more)","")))</f>
        <v/>
      </c>
      <c r="Q247" s="31">
        <f>IF(AND($A247&lt;&gt;"",OR($D247="Active",$D247="Paused")),1,0)</f>
        <v/>
      </c>
      <c r="R247" s="31">
        <f>IFERROR(INDEX($A$6:$A$305,MATCH(240,$S$6:$S$305,0)),"")</f>
        <v/>
      </c>
      <c r="S247" s="31">
        <f>IF(AND($A247&lt;&gt;"",$B247="Program"),COUNTIFS($B$6:$B247,"Program",$A$6:$A247,"&lt;&gt;"),"")</f>
        <v/>
      </c>
      <c r="T247" s="33">
        <f>IF(AND($A247&lt;&gt;"",$B247="Program"),SUMPRODUCT(MAX(($C$6:$C$305=$A247)*($B$6:$B$305="Project")*($D$6:$D$305&lt;&gt;"Proposed")*$I$6:$I$305)),0)</f>
        <v/>
      </c>
      <c r="U247" s="33">
        <f>IF($I247&lt;&gt;"",$I247,IF($T247&gt;0,$T247,""))</f>
        <v/>
      </c>
      <c r="V247" s="31">
        <f>IF(AND($A247&lt;&gt;"",$B247="Program"),SUMIFS($J$6:$J$305,$C$6:$C$305,$A247,$B$6:$B$305,"Project",$D$6:$D$305,"&lt;&gt;Proposed"),0)</f>
        <v/>
      </c>
      <c r="W247" s="31">
        <f>IF(AND($A247&lt;&gt;"",$B247="Program"),COUNTIFS($C$6:$C$305,$A247,$B$6:$B$305,"Project",$D$6:$D$305,"&lt;&gt;Proposed")-COUNTIFS($C$6:$C$305,$A247,$B$6:$B$305,"Project",$D$6:$D$305,"&lt;&gt;Proposed",$J$6:$J$305,"&gt;=0"),0)</f>
        <v/>
      </c>
      <c r="X247" s="31">
        <f>IF(OR($Q247=0,$H247=""),0,IF(AND($B247="Project",$H247&lt;TODAY()),3,IF($U247="",0,IF($U247&lt;=$H247,1,IF(NETWORKDAYS($H247,$U247)-1&gt;IF($B247="Program",Portfolio!$B$16,Portfolio!$B$15),3,2)))))</f>
        <v/>
      </c>
      <c r="Y247" s="31">
        <f>IF(OR($Q247=0,$K247="",$K247=0),0,IF(AND($B247="Project",$J247=""),0,IF(IF($B247="Program",$V247,$J247)&gt;$K247*(1+Portfolio!$B$17),3,IF(IF($B247="Program",$V247,$J247)&gt;$K247,2,IF(AND($B247="Program",OR($W247&gt;0,$V247=0)),0,1)))))</f>
        <v/>
      </c>
      <c r="Z247" s="31">
        <f>IF($A247="",0,IF($C247="Portfolio",1,IF(AND($B247="Project",$C247&lt;&gt;"",$C247&lt;&gt;"Outside the portfolio"),IFERROR(IF(AND(INDEX($B$6:$B$305,MATCH($C247,$A$6:$A$305,0))="Program",INDEX($C$6:$C$305,MATCH($C247,$A$6:$A$305,0))="Portfolio"),1,0),0),0)))</f>
        <v/>
      </c>
      <c r="AA247" s="31">
        <f>IF(AND($A247&lt;&gt;"",$E247="",OR($Q247=1,$D247="Proposed")),1,0)</f>
        <v/>
      </c>
      <c r="AB247" s="31">
        <f>IF(AND($A247&lt;&gt;"",$B247="Program",$F247="",$Q247=1),1,0)</f>
        <v/>
      </c>
      <c r="AC247" s="31">
        <f>IF(OR($A247="",$D247="Completed",$D247="Terminated"),0,IF($C247="",1,IF($C247="Portfolio",0,IF($C247="Outside the portfolio",IF($Q247=1,2,0),IF($B247="Project",IF(IFERROR(INDEX($B$6:$B$305,MATCH($C247,$A$6:$A$305,0)),"")="Program",0,1),1)))))</f>
        <v/>
      </c>
      <c r="AD247" s="31">
        <f>IF(AND($A247&lt;&gt;"",OR($M247="■ Red",$M247="◧ Amber"),$L247=""),1,0)</f>
        <v/>
      </c>
      <c r="AE247" s="31">
        <f>$AA247+$AB247+IF($AC247&gt;0,1,0)+$AD247</f>
        <v/>
      </c>
      <c r="AJ247" s="14" t="n"/>
      <c r="AK247" s="29" t="n"/>
      <c r="AL247" s="31">
        <f>IF(AND($Q247=1,$Z247=1),1,0)</f>
        <v/>
      </c>
      <c r="AM247" s="31">
        <f>IF(AND($AL247=1,$AJ247&lt;&gt;""),MAX(0,TODAY()-$AJ247),"")</f>
        <v/>
      </c>
      <c r="AN247" s="31">
        <f>IF(OR($AL247=0,COUNT($AJ$6:$AJ$305)=0),0,IF($AJ247="",1,IF(TODAY()-$AJ247&gt;Board!$B$40,1,0)))</f>
        <v/>
      </c>
      <c r="AO247" s="31">
        <f>IF($AL247=0,0,IF($M247="■ Red",3,IF($M247="◧ Amber",2,IF($M247="□ On track",1,0))))</f>
        <v/>
      </c>
      <c r="AP247" s="31">
        <f>IF($AL247=0,0,IF($AK247="Will not hold",3,IF($AK247="At risk",2,IF($AK247="Will hold",1,0))))</f>
        <v/>
      </c>
      <c r="AQ247" s="31">
        <f>IF($AL247=0,"",IF($AO247=3,0,IF($AO247=2,1,IF(AND($AP247&gt;=2,$AP247&gt;$AO247),2,""))))</f>
        <v/>
      </c>
      <c r="AR247" s="31">
        <f>IF($AQ247="","",$AQ247*1000+247)</f>
        <v/>
      </c>
      <c r="AS247" s="31">
        <f>IF(AND($AL247=1,$AO247&gt;=2,$AP247&gt;=1,$AP247&lt;$AO247),1,0)</f>
        <v/>
      </c>
      <c r="AT247" s="31">
        <f>IF(AND($AL247=1,$AO247&gt;=2,$AP247=0),1,0)</f>
        <v/>
      </c>
      <c r="AU247" s="31">
        <f>IF(AND($AL247=1,$U247&lt;&gt;"",$U247&lt;TODAY()),1,0)</f>
        <v/>
      </c>
      <c r="AV247" s="31">
        <f>IF(OR($A247="",$AJ247="",Portfolio!$B$10=""),0,IF($AJ247&lt;=Portfolio!$B$10,0,IF(AND($D247="Completed",$Z247=1),1,IF(AND($D247="Terminated",$Z247=1),2,IF(AND($Q247=1,$Z247=0),3,0)))))</f>
        <v/>
      </c>
      <c r="AW247" s="31">
        <f>IF($AV247&gt;0,COUNTIF($AV$6:$AV247,"&gt;0"),"")</f>
        <v/>
      </c>
      <c r="AX247" s="31">
        <f>IF($AL247=0,"",IF(AND($B247="Project",$H247&lt;&gt;"",$H247&lt;TODAY()),"Planned finish "&amp;TEXT($H247,"d mmm")&amp;" has passed",IF($X247&gt;=2,(NETWORKDAYS($H247,$U247)-1)&amp;" working days past plan","")))</f>
        <v/>
      </c>
      <c r="AY247" s="31">
        <f>IF($AL247=0,"",IF($Y247&gt;=2,"Over budget by "&amp;TEXT(IF($B247="Program",$V247,$J247)-$K247,"#,##0"),""))</f>
        <v/>
      </c>
      <c r="AZ247" s="31">
        <f>IF(AND($AL247=1,$U247&lt;&gt;""),IF(AND(N($U247)&gt;=TODAY(),N($U247)&lt;=TODAY()+Board!$B$41),1,0),0)</f>
        <v/>
      </c>
    </row>
    <row r="248">
      <c r="A248" s="29" t="n"/>
      <c r="B248" s="29" t="n"/>
      <c r="C248" s="29" t="n"/>
      <c r="D248" s="29" t="n"/>
      <c r="E248" s="29" t="n"/>
      <c r="F248" s="29" t="n"/>
      <c r="G248" s="29" t="n"/>
      <c r="H248" s="30" t="n"/>
      <c r="I248" s="30" t="n"/>
      <c r="J248" s="19" t="n"/>
      <c r="K248" s="19" t="n"/>
      <c r="L248" s="26" t="n"/>
      <c r="M248" s="31">
        <f>IF($A248="","",IF($D248="","Not read",IF($Q248=0,"Not counted",IF(MAX($X248,$Y248)=3,"■ Red",IF(MAX($X248,$Y248)=2,"◧ Amber",IF(MAX($X248,$Y248)=1,"□ On track","Not read"))))))</f>
        <v/>
      </c>
      <c r="N248" s="31">
        <f>IF(OR($A248="",$B248&lt;&gt;"Program"),"","■ "&amp;COUNTIFS($C$6:$C$305,$A248,$M$6:$M$305,"■ Red")&amp;" Red, ◧ "&amp;COUNTIFS($C$6:$C$305,$A248,$M$6:$M$305,"◧ Amber")&amp;" Amber")</f>
        <v/>
      </c>
      <c r="O248" s="32">
        <f>IF(OR($A248="",$E248=""),"",COUNTIFS($E$6:$E$305,$E248,$D$6:$D$305,"Active")+COUNTIFS($E$6:$E$305,$E248,$D$6:$D$305,"Paused"))</f>
        <v/>
      </c>
      <c r="P248" s="31">
        <f>IF($A248="","",IF($AE248=0,"○ Clear",IF($AA248=1,"△ No owner",IF($AC248=1,"△ Check Sits under",IF($AC248=2,"△ Outside the portfolio",IF($AB248=1,"△ No sponsor","△ No variance note"))))&amp;IF($AE248&gt;1," (+"&amp;($AE248-1)&amp;" more)","")))</f>
        <v/>
      </c>
      <c r="Q248" s="31">
        <f>IF(AND($A248&lt;&gt;"",OR($D248="Active",$D248="Paused")),1,0)</f>
        <v/>
      </c>
      <c r="R248" s="31">
        <f>IFERROR(INDEX($A$6:$A$305,MATCH(241,$S$6:$S$305,0)),"")</f>
        <v/>
      </c>
      <c r="S248" s="31">
        <f>IF(AND($A248&lt;&gt;"",$B248="Program"),COUNTIFS($B$6:$B248,"Program",$A$6:$A248,"&lt;&gt;"),"")</f>
        <v/>
      </c>
      <c r="T248" s="33">
        <f>IF(AND($A248&lt;&gt;"",$B248="Program"),SUMPRODUCT(MAX(($C$6:$C$305=$A248)*($B$6:$B$305="Project")*($D$6:$D$305&lt;&gt;"Proposed")*$I$6:$I$305)),0)</f>
        <v/>
      </c>
      <c r="U248" s="33">
        <f>IF($I248&lt;&gt;"",$I248,IF($T248&gt;0,$T248,""))</f>
        <v/>
      </c>
      <c r="V248" s="31">
        <f>IF(AND($A248&lt;&gt;"",$B248="Program"),SUMIFS($J$6:$J$305,$C$6:$C$305,$A248,$B$6:$B$305,"Project",$D$6:$D$305,"&lt;&gt;Proposed"),0)</f>
        <v/>
      </c>
      <c r="W248" s="31">
        <f>IF(AND($A248&lt;&gt;"",$B248="Program"),COUNTIFS($C$6:$C$305,$A248,$B$6:$B$305,"Project",$D$6:$D$305,"&lt;&gt;Proposed")-COUNTIFS($C$6:$C$305,$A248,$B$6:$B$305,"Project",$D$6:$D$305,"&lt;&gt;Proposed",$J$6:$J$305,"&gt;=0"),0)</f>
        <v/>
      </c>
      <c r="X248" s="31">
        <f>IF(OR($Q248=0,$H248=""),0,IF(AND($B248="Project",$H248&lt;TODAY()),3,IF($U248="",0,IF($U248&lt;=$H248,1,IF(NETWORKDAYS($H248,$U248)-1&gt;IF($B248="Program",Portfolio!$B$16,Portfolio!$B$15),3,2)))))</f>
        <v/>
      </c>
      <c r="Y248" s="31">
        <f>IF(OR($Q248=0,$K248="",$K248=0),0,IF(AND($B248="Project",$J248=""),0,IF(IF($B248="Program",$V248,$J248)&gt;$K248*(1+Portfolio!$B$17),3,IF(IF($B248="Program",$V248,$J248)&gt;$K248,2,IF(AND($B248="Program",OR($W248&gt;0,$V248=0)),0,1)))))</f>
        <v/>
      </c>
      <c r="Z248" s="31">
        <f>IF($A248="",0,IF($C248="Portfolio",1,IF(AND($B248="Project",$C248&lt;&gt;"",$C248&lt;&gt;"Outside the portfolio"),IFERROR(IF(AND(INDEX($B$6:$B$305,MATCH($C248,$A$6:$A$305,0))="Program",INDEX($C$6:$C$305,MATCH($C248,$A$6:$A$305,0))="Portfolio"),1,0),0),0)))</f>
        <v/>
      </c>
      <c r="AA248" s="31">
        <f>IF(AND($A248&lt;&gt;"",$E248="",OR($Q248=1,$D248="Proposed")),1,0)</f>
        <v/>
      </c>
      <c r="AB248" s="31">
        <f>IF(AND($A248&lt;&gt;"",$B248="Program",$F248="",$Q248=1),1,0)</f>
        <v/>
      </c>
      <c r="AC248" s="31">
        <f>IF(OR($A248="",$D248="Completed",$D248="Terminated"),0,IF($C248="",1,IF($C248="Portfolio",0,IF($C248="Outside the portfolio",IF($Q248=1,2,0),IF($B248="Project",IF(IFERROR(INDEX($B$6:$B$305,MATCH($C248,$A$6:$A$305,0)),"")="Program",0,1),1)))))</f>
        <v/>
      </c>
      <c r="AD248" s="31">
        <f>IF(AND($A248&lt;&gt;"",OR($M248="■ Red",$M248="◧ Amber"),$L248=""),1,0)</f>
        <v/>
      </c>
      <c r="AE248" s="31">
        <f>$AA248+$AB248+IF($AC248&gt;0,1,0)+$AD248</f>
        <v/>
      </c>
      <c r="AJ248" s="14" t="n"/>
      <c r="AK248" s="29" t="n"/>
      <c r="AL248" s="31">
        <f>IF(AND($Q248=1,$Z248=1),1,0)</f>
        <v/>
      </c>
      <c r="AM248" s="31">
        <f>IF(AND($AL248=1,$AJ248&lt;&gt;""),MAX(0,TODAY()-$AJ248),"")</f>
        <v/>
      </c>
      <c r="AN248" s="31">
        <f>IF(OR($AL248=0,COUNT($AJ$6:$AJ$305)=0),0,IF($AJ248="",1,IF(TODAY()-$AJ248&gt;Board!$B$40,1,0)))</f>
        <v/>
      </c>
      <c r="AO248" s="31">
        <f>IF($AL248=0,0,IF($M248="■ Red",3,IF($M248="◧ Amber",2,IF($M248="□ On track",1,0))))</f>
        <v/>
      </c>
      <c r="AP248" s="31">
        <f>IF($AL248=0,0,IF($AK248="Will not hold",3,IF($AK248="At risk",2,IF($AK248="Will hold",1,0))))</f>
        <v/>
      </c>
      <c r="AQ248" s="31">
        <f>IF($AL248=0,"",IF($AO248=3,0,IF($AO248=2,1,IF(AND($AP248&gt;=2,$AP248&gt;$AO248),2,""))))</f>
        <v/>
      </c>
      <c r="AR248" s="31">
        <f>IF($AQ248="","",$AQ248*1000+248)</f>
        <v/>
      </c>
      <c r="AS248" s="31">
        <f>IF(AND($AL248=1,$AO248&gt;=2,$AP248&gt;=1,$AP248&lt;$AO248),1,0)</f>
        <v/>
      </c>
      <c r="AT248" s="31">
        <f>IF(AND($AL248=1,$AO248&gt;=2,$AP248=0),1,0)</f>
        <v/>
      </c>
      <c r="AU248" s="31">
        <f>IF(AND($AL248=1,$U248&lt;&gt;"",$U248&lt;TODAY()),1,0)</f>
        <v/>
      </c>
      <c r="AV248" s="31">
        <f>IF(OR($A248="",$AJ248="",Portfolio!$B$10=""),0,IF($AJ248&lt;=Portfolio!$B$10,0,IF(AND($D248="Completed",$Z248=1),1,IF(AND($D248="Terminated",$Z248=1),2,IF(AND($Q248=1,$Z248=0),3,0)))))</f>
        <v/>
      </c>
      <c r="AW248" s="31">
        <f>IF($AV248&gt;0,COUNTIF($AV$6:$AV248,"&gt;0"),"")</f>
        <v/>
      </c>
      <c r="AX248" s="31">
        <f>IF($AL248=0,"",IF(AND($B248="Project",$H248&lt;&gt;"",$H248&lt;TODAY()),"Planned finish "&amp;TEXT($H248,"d mmm")&amp;" has passed",IF($X248&gt;=2,(NETWORKDAYS($H248,$U248)-1)&amp;" working days past plan","")))</f>
        <v/>
      </c>
      <c r="AY248" s="31">
        <f>IF($AL248=0,"",IF($Y248&gt;=2,"Over budget by "&amp;TEXT(IF($B248="Program",$V248,$J248)-$K248,"#,##0"),""))</f>
        <v/>
      </c>
      <c r="AZ248" s="31">
        <f>IF(AND($AL248=1,$U248&lt;&gt;""),IF(AND(N($U248)&gt;=TODAY(),N($U248)&lt;=TODAY()+Board!$B$41),1,0),0)</f>
        <v/>
      </c>
    </row>
    <row r="249">
      <c r="A249" s="29" t="n"/>
      <c r="B249" s="29" t="n"/>
      <c r="C249" s="29" t="n"/>
      <c r="D249" s="29" t="n"/>
      <c r="E249" s="29" t="n"/>
      <c r="F249" s="29" t="n"/>
      <c r="G249" s="29" t="n"/>
      <c r="H249" s="30" t="n"/>
      <c r="I249" s="30" t="n"/>
      <c r="J249" s="19" t="n"/>
      <c r="K249" s="19" t="n"/>
      <c r="L249" s="26" t="n"/>
      <c r="M249" s="31">
        <f>IF($A249="","",IF($D249="","Not read",IF($Q249=0,"Not counted",IF(MAX($X249,$Y249)=3,"■ Red",IF(MAX($X249,$Y249)=2,"◧ Amber",IF(MAX($X249,$Y249)=1,"□ On track","Not read"))))))</f>
        <v/>
      </c>
      <c r="N249" s="31">
        <f>IF(OR($A249="",$B249&lt;&gt;"Program"),"","■ "&amp;COUNTIFS($C$6:$C$305,$A249,$M$6:$M$305,"■ Red")&amp;" Red, ◧ "&amp;COUNTIFS($C$6:$C$305,$A249,$M$6:$M$305,"◧ Amber")&amp;" Amber")</f>
        <v/>
      </c>
      <c r="O249" s="32">
        <f>IF(OR($A249="",$E249=""),"",COUNTIFS($E$6:$E$305,$E249,$D$6:$D$305,"Active")+COUNTIFS($E$6:$E$305,$E249,$D$6:$D$305,"Paused"))</f>
        <v/>
      </c>
      <c r="P249" s="31">
        <f>IF($A249="","",IF($AE249=0,"○ Clear",IF($AA249=1,"△ No owner",IF($AC249=1,"△ Check Sits under",IF($AC249=2,"△ Outside the portfolio",IF($AB249=1,"△ No sponsor","△ No variance note"))))&amp;IF($AE249&gt;1," (+"&amp;($AE249-1)&amp;" more)","")))</f>
        <v/>
      </c>
      <c r="Q249" s="31">
        <f>IF(AND($A249&lt;&gt;"",OR($D249="Active",$D249="Paused")),1,0)</f>
        <v/>
      </c>
      <c r="R249" s="31">
        <f>IFERROR(INDEX($A$6:$A$305,MATCH(242,$S$6:$S$305,0)),"")</f>
        <v/>
      </c>
      <c r="S249" s="31">
        <f>IF(AND($A249&lt;&gt;"",$B249="Program"),COUNTIFS($B$6:$B249,"Program",$A$6:$A249,"&lt;&gt;"),"")</f>
        <v/>
      </c>
      <c r="T249" s="33">
        <f>IF(AND($A249&lt;&gt;"",$B249="Program"),SUMPRODUCT(MAX(($C$6:$C$305=$A249)*($B$6:$B$305="Project")*($D$6:$D$305&lt;&gt;"Proposed")*$I$6:$I$305)),0)</f>
        <v/>
      </c>
      <c r="U249" s="33">
        <f>IF($I249&lt;&gt;"",$I249,IF($T249&gt;0,$T249,""))</f>
        <v/>
      </c>
      <c r="V249" s="31">
        <f>IF(AND($A249&lt;&gt;"",$B249="Program"),SUMIFS($J$6:$J$305,$C$6:$C$305,$A249,$B$6:$B$305,"Project",$D$6:$D$305,"&lt;&gt;Proposed"),0)</f>
        <v/>
      </c>
      <c r="W249" s="31">
        <f>IF(AND($A249&lt;&gt;"",$B249="Program"),COUNTIFS($C$6:$C$305,$A249,$B$6:$B$305,"Project",$D$6:$D$305,"&lt;&gt;Proposed")-COUNTIFS($C$6:$C$305,$A249,$B$6:$B$305,"Project",$D$6:$D$305,"&lt;&gt;Proposed",$J$6:$J$305,"&gt;=0"),0)</f>
        <v/>
      </c>
      <c r="X249" s="31">
        <f>IF(OR($Q249=0,$H249=""),0,IF(AND($B249="Project",$H249&lt;TODAY()),3,IF($U249="",0,IF($U249&lt;=$H249,1,IF(NETWORKDAYS($H249,$U249)-1&gt;IF($B249="Program",Portfolio!$B$16,Portfolio!$B$15),3,2)))))</f>
        <v/>
      </c>
      <c r="Y249" s="31">
        <f>IF(OR($Q249=0,$K249="",$K249=0),0,IF(AND($B249="Project",$J249=""),0,IF(IF($B249="Program",$V249,$J249)&gt;$K249*(1+Portfolio!$B$17),3,IF(IF($B249="Program",$V249,$J249)&gt;$K249,2,IF(AND($B249="Program",OR($W249&gt;0,$V249=0)),0,1)))))</f>
        <v/>
      </c>
      <c r="Z249" s="31">
        <f>IF($A249="",0,IF($C249="Portfolio",1,IF(AND($B249="Project",$C249&lt;&gt;"",$C249&lt;&gt;"Outside the portfolio"),IFERROR(IF(AND(INDEX($B$6:$B$305,MATCH($C249,$A$6:$A$305,0))="Program",INDEX($C$6:$C$305,MATCH($C249,$A$6:$A$305,0))="Portfolio"),1,0),0),0)))</f>
        <v/>
      </c>
      <c r="AA249" s="31">
        <f>IF(AND($A249&lt;&gt;"",$E249="",OR($Q249=1,$D249="Proposed")),1,0)</f>
        <v/>
      </c>
      <c r="AB249" s="31">
        <f>IF(AND($A249&lt;&gt;"",$B249="Program",$F249="",$Q249=1),1,0)</f>
        <v/>
      </c>
      <c r="AC249" s="31">
        <f>IF(OR($A249="",$D249="Completed",$D249="Terminated"),0,IF($C249="",1,IF($C249="Portfolio",0,IF($C249="Outside the portfolio",IF($Q249=1,2,0),IF($B249="Project",IF(IFERROR(INDEX($B$6:$B$305,MATCH($C249,$A$6:$A$305,0)),"")="Program",0,1),1)))))</f>
        <v/>
      </c>
      <c r="AD249" s="31">
        <f>IF(AND($A249&lt;&gt;"",OR($M249="■ Red",$M249="◧ Amber"),$L249=""),1,0)</f>
        <v/>
      </c>
      <c r="AE249" s="31">
        <f>$AA249+$AB249+IF($AC249&gt;0,1,0)+$AD249</f>
        <v/>
      </c>
      <c r="AJ249" s="14" t="n"/>
      <c r="AK249" s="29" t="n"/>
      <c r="AL249" s="31">
        <f>IF(AND($Q249=1,$Z249=1),1,0)</f>
        <v/>
      </c>
      <c r="AM249" s="31">
        <f>IF(AND($AL249=1,$AJ249&lt;&gt;""),MAX(0,TODAY()-$AJ249),"")</f>
        <v/>
      </c>
      <c r="AN249" s="31">
        <f>IF(OR($AL249=0,COUNT($AJ$6:$AJ$305)=0),0,IF($AJ249="",1,IF(TODAY()-$AJ249&gt;Board!$B$40,1,0)))</f>
        <v/>
      </c>
      <c r="AO249" s="31">
        <f>IF($AL249=0,0,IF($M249="■ Red",3,IF($M249="◧ Amber",2,IF($M249="□ On track",1,0))))</f>
        <v/>
      </c>
      <c r="AP249" s="31">
        <f>IF($AL249=0,0,IF($AK249="Will not hold",3,IF($AK249="At risk",2,IF($AK249="Will hold",1,0))))</f>
        <v/>
      </c>
      <c r="AQ249" s="31">
        <f>IF($AL249=0,"",IF($AO249=3,0,IF($AO249=2,1,IF(AND($AP249&gt;=2,$AP249&gt;$AO249),2,""))))</f>
        <v/>
      </c>
      <c r="AR249" s="31">
        <f>IF($AQ249="","",$AQ249*1000+249)</f>
        <v/>
      </c>
      <c r="AS249" s="31">
        <f>IF(AND($AL249=1,$AO249&gt;=2,$AP249&gt;=1,$AP249&lt;$AO249),1,0)</f>
        <v/>
      </c>
      <c r="AT249" s="31">
        <f>IF(AND($AL249=1,$AO249&gt;=2,$AP249=0),1,0)</f>
        <v/>
      </c>
      <c r="AU249" s="31">
        <f>IF(AND($AL249=1,$U249&lt;&gt;"",$U249&lt;TODAY()),1,0)</f>
        <v/>
      </c>
      <c r="AV249" s="31">
        <f>IF(OR($A249="",$AJ249="",Portfolio!$B$10=""),0,IF($AJ249&lt;=Portfolio!$B$10,0,IF(AND($D249="Completed",$Z249=1),1,IF(AND($D249="Terminated",$Z249=1),2,IF(AND($Q249=1,$Z249=0),3,0)))))</f>
        <v/>
      </c>
      <c r="AW249" s="31">
        <f>IF($AV249&gt;0,COUNTIF($AV$6:$AV249,"&gt;0"),"")</f>
        <v/>
      </c>
      <c r="AX249" s="31">
        <f>IF($AL249=0,"",IF(AND($B249="Project",$H249&lt;&gt;"",$H249&lt;TODAY()),"Planned finish "&amp;TEXT($H249,"d mmm")&amp;" has passed",IF($X249&gt;=2,(NETWORKDAYS($H249,$U249)-1)&amp;" working days past plan","")))</f>
        <v/>
      </c>
      <c r="AY249" s="31">
        <f>IF($AL249=0,"",IF($Y249&gt;=2,"Over budget by "&amp;TEXT(IF($B249="Program",$V249,$J249)-$K249,"#,##0"),""))</f>
        <v/>
      </c>
      <c r="AZ249" s="31">
        <f>IF(AND($AL249=1,$U249&lt;&gt;""),IF(AND(N($U249)&gt;=TODAY(),N($U249)&lt;=TODAY()+Board!$B$41),1,0),0)</f>
        <v/>
      </c>
    </row>
    <row r="250">
      <c r="A250" s="29" t="n"/>
      <c r="B250" s="29" t="n"/>
      <c r="C250" s="29" t="n"/>
      <c r="D250" s="29" t="n"/>
      <c r="E250" s="29" t="n"/>
      <c r="F250" s="29" t="n"/>
      <c r="G250" s="29" t="n"/>
      <c r="H250" s="30" t="n"/>
      <c r="I250" s="30" t="n"/>
      <c r="J250" s="19" t="n"/>
      <c r="K250" s="19" t="n"/>
      <c r="L250" s="26" t="n"/>
      <c r="M250" s="31">
        <f>IF($A250="","",IF($D250="","Not read",IF($Q250=0,"Not counted",IF(MAX($X250,$Y250)=3,"■ Red",IF(MAX($X250,$Y250)=2,"◧ Amber",IF(MAX($X250,$Y250)=1,"□ On track","Not read"))))))</f>
        <v/>
      </c>
      <c r="N250" s="31">
        <f>IF(OR($A250="",$B250&lt;&gt;"Program"),"","■ "&amp;COUNTIFS($C$6:$C$305,$A250,$M$6:$M$305,"■ Red")&amp;" Red, ◧ "&amp;COUNTIFS($C$6:$C$305,$A250,$M$6:$M$305,"◧ Amber")&amp;" Amber")</f>
        <v/>
      </c>
      <c r="O250" s="32">
        <f>IF(OR($A250="",$E250=""),"",COUNTIFS($E$6:$E$305,$E250,$D$6:$D$305,"Active")+COUNTIFS($E$6:$E$305,$E250,$D$6:$D$305,"Paused"))</f>
        <v/>
      </c>
      <c r="P250" s="31">
        <f>IF($A250="","",IF($AE250=0,"○ Clear",IF($AA250=1,"△ No owner",IF($AC250=1,"△ Check Sits under",IF($AC250=2,"△ Outside the portfolio",IF($AB250=1,"△ No sponsor","△ No variance note"))))&amp;IF($AE250&gt;1," (+"&amp;($AE250-1)&amp;" more)","")))</f>
        <v/>
      </c>
      <c r="Q250" s="31">
        <f>IF(AND($A250&lt;&gt;"",OR($D250="Active",$D250="Paused")),1,0)</f>
        <v/>
      </c>
      <c r="R250" s="31">
        <f>IFERROR(INDEX($A$6:$A$305,MATCH(243,$S$6:$S$305,0)),"")</f>
        <v/>
      </c>
      <c r="S250" s="31">
        <f>IF(AND($A250&lt;&gt;"",$B250="Program"),COUNTIFS($B$6:$B250,"Program",$A$6:$A250,"&lt;&gt;"),"")</f>
        <v/>
      </c>
      <c r="T250" s="33">
        <f>IF(AND($A250&lt;&gt;"",$B250="Program"),SUMPRODUCT(MAX(($C$6:$C$305=$A250)*($B$6:$B$305="Project")*($D$6:$D$305&lt;&gt;"Proposed")*$I$6:$I$305)),0)</f>
        <v/>
      </c>
      <c r="U250" s="33">
        <f>IF($I250&lt;&gt;"",$I250,IF($T250&gt;0,$T250,""))</f>
        <v/>
      </c>
      <c r="V250" s="31">
        <f>IF(AND($A250&lt;&gt;"",$B250="Program"),SUMIFS($J$6:$J$305,$C$6:$C$305,$A250,$B$6:$B$305,"Project",$D$6:$D$305,"&lt;&gt;Proposed"),0)</f>
        <v/>
      </c>
      <c r="W250" s="31">
        <f>IF(AND($A250&lt;&gt;"",$B250="Program"),COUNTIFS($C$6:$C$305,$A250,$B$6:$B$305,"Project",$D$6:$D$305,"&lt;&gt;Proposed")-COUNTIFS($C$6:$C$305,$A250,$B$6:$B$305,"Project",$D$6:$D$305,"&lt;&gt;Proposed",$J$6:$J$305,"&gt;=0"),0)</f>
        <v/>
      </c>
      <c r="X250" s="31">
        <f>IF(OR($Q250=0,$H250=""),0,IF(AND($B250="Project",$H250&lt;TODAY()),3,IF($U250="",0,IF($U250&lt;=$H250,1,IF(NETWORKDAYS($H250,$U250)-1&gt;IF($B250="Program",Portfolio!$B$16,Portfolio!$B$15),3,2)))))</f>
        <v/>
      </c>
      <c r="Y250" s="31">
        <f>IF(OR($Q250=0,$K250="",$K250=0),0,IF(AND($B250="Project",$J250=""),0,IF(IF($B250="Program",$V250,$J250)&gt;$K250*(1+Portfolio!$B$17),3,IF(IF($B250="Program",$V250,$J250)&gt;$K250,2,IF(AND($B250="Program",OR($W250&gt;0,$V250=0)),0,1)))))</f>
        <v/>
      </c>
      <c r="Z250" s="31">
        <f>IF($A250="",0,IF($C250="Portfolio",1,IF(AND($B250="Project",$C250&lt;&gt;"",$C250&lt;&gt;"Outside the portfolio"),IFERROR(IF(AND(INDEX($B$6:$B$305,MATCH($C250,$A$6:$A$305,0))="Program",INDEX($C$6:$C$305,MATCH($C250,$A$6:$A$305,0))="Portfolio"),1,0),0),0)))</f>
        <v/>
      </c>
      <c r="AA250" s="31">
        <f>IF(AND($A250&lt;&gt;"",$E250="",OR($Q250=1,$D250="Proposed")),1,0)</f>
        <v/>
      </c>
      <c r="AB250" s="31">
        <f>IF(AND($A250&lt;&gt;"",$B250="Program",$F250="",$Q250=1),1,0)</f>
        <v/>
      </c>
      <c r="AC250" s="31">
        <f>IF(OR($A250="",$D250="Completed",$D250="Terminated"),0,IF($C250="",1,IF($C250="Portfolio",0,IF($C250="Outside the portfolio",IF($Q250=1,2,0),IF($B250="Project",IF(IFERROR(INDEX($B$6:$B$305,MATCH($C250,$A$6:$A$305,0)),"")="Program",0,1),1)))))</f>
        <v/>
      </c>
      <c r="AD250" s="31">
        <f>IF(AND($A250&lt;&gt;"",OR($M250="■ Red",$M250="◧ Amber"),$L250=""),1,0)</f>
        <v/>
      </c>
      <c r="AE250" s="31">
        <f>$AA250+$AB250+IF($AC250&gt;0,1,0)+$AD250</f>
        <v/>
      </c>
      <c r="AJ250" s="14" t="n"/>
      <c r="AK250" s="29" t="n"/>
      <c r="AL250" s="31">
        <f>IF(AND($Q250=1,$Z250=1),1,0)</f>
        <v/>
      </c>
      <c r="AM250" s="31">
        <f>IF(AND($AL250=1,$AJ250&lt;&gt;""),MAX(0,TODAY()-$AJ250),"")</f>
        <v/>
      </c>
      <c r="AN250" s="31">
        <f>IF(OR($AL250=0,COUNT($AJ$6:$AJ$305)=0),0,IF($AJ250="",1,IF(TODAY()-$AJ250&gt;Board!$B$40,1,0)))</f>
        <v/>
      </c>
      <c r="AO250" s="31">
        <f>IF($AL250=0,0,IF($M250="■ Red",3,IF($M250="◧ Amber",2,IF($M250="□ On track",1,0))))</f>
        <v/>
      </c>
      <c r="AP250" s="31">
        <f>IF($AL250=0,0,IF($AK250="Will not hold",3,IF($AK250="At risk",2,IF($AK250="Will hold",1,0))))</f>
        <v/>
      </c>
      <c r="AQ250" s="31">
        <f>IF($AL250=0,"",IF($AO250=3,0,IF($AO250=2,1,IF(AND($AP250&gt;=2,$AP250&gt;$AO250),2,""))))</f>
        <v/>
      </c>
      <c r="AR250" s="31">
        <f>IF($AQ250="","",$AQ250*1000+250)</f>
        <v/>
      </c>
      <c r="AS250" s="31">
        <f>IF(AND($AL250=1,$AO250&gt;=2,$AP250&gt;=1,$AP250&lt;$AO250),1,0)</f>
        <v/>
      </c>
      <c r="AT250" s="31">
        <f>IF(AND($AL250=1,$AO250&gt;=2,$AP250=0),1,0)</f>
        <v/>
      </c>
      <c r="AU250" s="31">
        <f>IF(AND($AL250=1,$U250&lt;&gt;"",$U250&lt;TODAY()),1,0)</f>
        <v/>
      </c>
      <c r="AV250" s="31">
        <f>IF(OR($A250="",$AJ250="",Portfolio!$B$10=""),0,IF($AJ250&lt;=Portfolio!$B$10,0,IF(AND($D250="Completed",$Z250=1),1,IF(AND($D250="Terminated",$Z250=1),2,IF(AND($Q250=1,$Z250=0),3,0)))))</f>
        <v/>
      </c>
      <c r="AW250" s="31">
        <f>IF($AV250&gt;0,COUNTIF($AV$6:$AV250,"&gt;0"),"")</f>
        <v/>
      </c>
      <c r="AX250" s="31">
        <f>IF($AL250=0,"",IF(AND($B250="Project",$H250&lt;&gt;"",$H250&lt;TODAY()),"Planned finish "&amp;TEXT($H250,"d mmm")&amp;" has passed",IF($X250&gt;=2,(NETWORKDAYS($H250,$U250)-1)&amp;" working days past plan","")))</f>
        <v/>
      </c>
      <c r="AY250" s="31">
        <f>IF($AL250=0,"",IF($Y250&gt;=2,"Over budget by "&amp;TEXT(IF($B250="Program",$V250,$J250)-$K250,"#,##0"),""))</f>
        <v/>
      </c>
      <c r="AZ250" s="31">
        <f>IF(AND($AL250=1,$U250&lt;&gt;""),IF(AND(N($U250)&gt;=TODAY(),N($U250)&lt;=TODAY()+Board!$B$41),1,0),0)</f>
        <v/>
      </c>
    </row>
    <row r="251">
      <c r="A251" s="29" t="n"/>
      <c r="B251" s="29" t="n"/>
      <c r="C251" s="29" t="n"/>
      <c r="D251" s="29" t="n"/>
      <c r="E251" s="29" t="n"/>
      <c r="F251" s="29" t="n"/>
      <c r="G251" s="29" t="n"/>
      <c r="H251" s="30" t="n"/>
      <c r="I251" s="30" t="n"/>
      <c r="J251" s="19" t="n"/>
      <c r="K251" s="19" t="n"/>
      <c r="L251" s="26" t="n"/>
      <c r="M251" s="31">
        <f>IF($A251="","",IF($D251="","Not read",IF($Q251=0,"Not counted",IF(MAX($X251,$Y251)=3,"■ Red",IF(MAX($X251,$Y251)=2,"◧ Amber",IF(MAX($X251,$Y251)=1,"□ On track","Not read"))))))</f>
        <v/>
      </c>
      <c r="N251" s="31">
        <f>IF(OR($A251="",$B251&lt;&gt;"Program"),"","■ "&amp;COUNTIFS($C$6:$C$305,$A251,$M$6:$M$305,"■ Red")&amp;" Red, ◧ "&amp;COUNTIFS($C$6:$C$305,$A251,$M$6:$M$305,"◧ Amber")&amp;" Amber")</f>
        <v/>
      </c>
      <c r="O251" s="32">
        <f>IF(OR($A251="",$E251=""),"",COUNTIFS($E$6:$E$305,$E251,$D$6:$D$305,"Active")+COUNTIFS($E$6:$E$305,$E251,$D$6:$D$305,"Paused"))</f>
        <v/>
      </c>
      <c r="P251" s="31">
        <f>IF($A251="","",IF($AE251=0,"○ Clear",IF($AA251=1,"△ No owner",IF($AC251=1,"△ Check Sits under",IF($AC251=2,"△ Outside the portfolio",IF($AB251=1,"△ No sponsor","△ No variance note"))))&amp;IF($AE251&gt;1," (+"&amp;($AE251-1)&amp;" more)","")))</f>
        <v/>
      </c>
      <c r="Q251" s="31">
        <f>IF(AND($A251&lt;&gt;"",OR($D251="Active",$D251="Paused")),1,0)</f>
        <v/>
      </c>
      <c r="R251" s="31">
        <f>IFERROR(INDEX($A$6:$A$305,MATCH(244,$S$6:$S$305,0)),"")</f>
        <v/>
      </c>
      <c r="S251" s="31">
        <f>IF(AND($A251&lt;&gt;"",$B251="Program"),COUNTIFS($B$6:$B251,"Program",$A$6:$A251,"&lt;&gt;"),"")</f>
        <v/>
      </c>
      <c r="T251" s="33">
        <f>IF(AND($A251&lt;&gt;"",$B251="Program"),SUMPRODUCT(MAX(($C$6:$C$305=$A251)*($B$6:$B$305="Project")*($D$6:$D$305&lt;&gt;"Proposed")*$I$6:$I$305)),0)</f>
        <v/>
      </c>
      <c r="U251" s="33">
        <f>IF($I251&lt;&gt;"",$I251,IF($T251&gt;0,$T251,""))</f>
        <v/>
      </c>
      <c r="V251" s="31">
        <f>IF(AND($A251&lt;&gt;"",$B251="Program"),SUMIFS($J$6:$J$305,$C$6:$C$305,$A251,$B$6:$B$305,"Project",$D$6:$D$305,"&lt;&gt;Proposed"),0)</f>
        <v/>
      </c>
      <c r="W251" s="31">
        <f>IF(AND($A251&lt;&gt;"",$B251="Program"),COUNTIFS($C$6:$C$305,$A251,$B$6:$B$305,"Project",$D$6:$D$305,"&lt;&gt;Proposed")-COUNTIFS($C$6:$C$305,$A251,$B$6:$B$305,"Project",$D$6:$D$305,"&lt;&gt;Proposed",$J$6:$J$305,"&gt;=0"),0)</f>
        <v/>
      </c>
      <c r="X251" s="31">
        <f>IF(OR($Q251=0,$H251=""),0,IF(AND($B251="Project",$H251&lt;TODAY()),3,IF($U251="",0,IF($U251&lt;=$H251,1,IF(NETWORKDAYS($H251,$U251)-1&gt;IF($B251="Program",Portfolio!$B$16,Portfolio!$B$15),3,2)))))</f>
        <v/>
      </c>
      <c r="Y251" s="31">
        <f>IF(OR($Q251=0,$K251="",$K251=0),0,IF(AND($B251="Project",$J251=""),0,IF(IF($B251="Program",$V251,$J251)&gt;$K251*(1+Portfolio!$B$17),3,IF(IF($B251="Program",$V251,$J251)&gt;$K251,2,IF(AND($B251="Program",OR($W251&gt;0,$V251=0)),0,1)))))</f>
        <v/>
      </c>
      <c r="Z251" s="31">
        <f>IF($A251="",0,IF($C251="Portfolio",1,IF(AND($B251="Project",$C251&lt;&gt;"",$C251&lt;&gt;"Outside the portfolio"),IFERROR(IF(AND(INDEX($B$6:$B$305,MATCH($C251,$A$6:$A$305,0))="Program",INDEX($C$6:$C$305,MATCH($C251,$A$6:$A$305,0))="Portfolio"),1,0),0),0)))</f>
        <v/>
      </c>
      <c r="AA251" s="31">
        <f>IF(AND($A251&lt;&gt;"",$E251="",OR($Q251=1,$D251="Proposed")),1,0)</f>
        <v/>
      </c>
      <c r="AB251" s="31">
        <f>IF(AND($A251&lt;&gt;"",$B251="Program",$F251="",$Q251=1),1,0)</f>
        <v/>
      </c>
      <c r="AC251" s="31">
        <f>IF(OR($A251="",$D251="Completed",$D251="Terminated"),0,IF($C251="",1,IF($C251="Portfolio",0,IF($C251="Outside the portfolio",IF($Q251=1,2,0),IF($B251="Project",IF(IFERROR(INDEX($B$6:$B$305,MATCH($C251,$A$6:$A$305,0)),"")="Program",0,1),1)))))</f>
        <v/>
      </c>
      <c r="AD251" s="31">
        <f>IF(AND($A251&lt;&gt;"",OR($M251="■ Red",$M251="◧ Amber"),$L251=""),1,0)</f>
        <v/>
      </c>
      <c r="AE251" s="31">
        <f>$AA251+$AB251+IF($AC251&gt;0,1,0)+$AD251</f>
        <v/>
      </c>
      <c r="AJ251" s="14" t="n"/>
      <c r="AK251" s="29" t="n"/>
      <c r="AL251" s="31">
        <f>IF(AND($Q251=1,$Z251=1),1,0)</f>
        <v/>
      </c>
      <c r="AM251" s="31">
        <f>IF(AND($AL251=1,$AJ251&lt;&gt;""),MAX(0,TODAY()-$AJ251),"")</f>
        <v/>
      </c>
      <c r="AN251" s="31">
        <f>IF(OR($AL251=0,COUNT($AJ$6:$AJ$305)=0),0,IF($AJ251="",1,IF(TODAY()-$AJ251&gt;Board!$B$40,1,0)))</f>
        <v/>
      </c>
      <c r="AO251" s="31">
        <f>IF($AL251=0,0,IF($M251="■ Red",3,IF($M251="◧ Amber",2,IF($M251="□ On track",1,0))))</f>
        <v/>
      </c>
      <c r="AP251" s="31">
        <f>IF($AL251=0,0,IF($AK251="Will not hold",3,IF($AK251="At risk",2,IF($AK251="Will hold",1,0))))</f>
        <v/>
      </c>
      <c r="AQ251" s="31">
        <f>IF($AL251=0,"",IF($AO251=3,0,IF($AO251=2,1,IF(AND($AP251&gt;=2,$AP251&gt;$AO251),2,""))))</f>
        <v/>
      </c>
      <c r="AR251" s="31">
        <f>IF($AQ251="","",$AQ251*1000+251)</f>
        <v/>
      </c>
      <c r="AS251" s="31">
        <f>IF(AND($AL251=1,$AO251&gt;=2,$AP251&gt;=1,$AP251&lt;$AO251),1,0)</f>
        <v/>
      </c>
      <c r="AT251" s="31">
        <f>IF(AND($AL251=1,$AO251&gt;=2,$AP251=0),1,0)</f>
        <v/>
      </c>
      <c r="AU251" s="31">
        <f>IF(AND($AL251=1,$U251&lt;&gt;"",$U251&lt;TODAY()),1,0)</f>
        <v/>
      </c>
      <c r="AV251" s="31">
        <f>IF(OR($A251="",$AJ251="",Portfolio!$B$10=""),0,IF($AJ251&lt;=Portfolio!$B$10,0,IF(AND($D251="Completed",$Z251=1),1,IF(AND($D251="Terminated",$Z251=1),2,IF(AND($Q251=1,$Z251=0),3,0)))))</f>
        <v/>
      </c>
      <c r="AW251" s="31">
        <f>IF($AV251&gt;0,COUNTIF($AV$6:$AV251,"&gt;0"),"")</f>
        <v/>
      </c>
      <c r="AX251" s="31">
        <f>IF($AL251=0,"",IF(AND($B251="Project",$H251&lt;&gt;"",$H251&lt;TODAY()),"Planned finish "&amp;TEXT($H251,"d mmm")&amp;" has passed",IF($X251&gt;=2,(NETWORKDAYS($H251,$U251)-1)&amp;" working days past plan","")))</f>
        <v/>
      </c>
      <c r="AY251" s="31">
        <f>IF($AL251=0,"",IF($Y251&gt;=2,"Over budget by "&amp;TEXT(IF($B251="Program",$V251,$J251)-$K251,"#,##0"),""))</f>
        <v/>
      </c>
      <c r="AZ251" s="31">
        <f>IF(AND($AL251=1,$U251&lt;&gt;""),IF(AND(N($U251)&gt;=TODAY(),N($U251)&lt;=TODAY()+Board!$B$41),1,0),0)</f>
        <v/>
      </c>
    </row>
    <row r="252">
      <c r="A252" s="29" t="n"/>
      <c r="B252" s="29" t="n"/>
      <c r="C252" s="29" t="n"/>
      <c r="D252" s="29" t="n"/>
      <c r="E252" s="29" t="n"/>
      <c r="F252" s="29" t="n"/>
      <c r="G252" s="29" t="n"/>
      <c r="H252" s="30" t="n"/>
      <c r="I252" s="30" t="n"/>
      <c r="J252" s="19" t="n"/>
      <c r="K252" s="19" t="n"/>
      <c r="L252" s="26" t="n"/>
      <c r="M252" s="31">
        <f>IF($A252="","",IF($D252="","Not read",IF($Q252=0,"Not counted",IF(MAX($X252,$Y252)=3,"■ Red",IF(MAX($X252,$Y252)=2,"◧ Amber",IF(MAX($X252,$Y252)=1,"□ On track","Not read"))))))</f>
        <v/>
      </c>
      <c r="N252" s="31">
        <f>IF(OR($A252="",$B252&lt;&gt;"Program"),"","■ "&amp;COUNTIFS($C$6:$C$305,$A252,$M$6:$M$305,"■ Red")&amp;" Red, ◧ "&amp;COUNTIFS($C$6:$C$305,$A252,$M$6:$M$305,"◧ Amber")&amp;" Amber")</f>
        <v/>
      </c>
      <c r="O252" s="32">
        <f>IF(OR($A252="",$E252=""),"",COUNTIFS($E$6:$E$305,$E252,$D$6:$D$305,"Active")+COUNTIFS($E$6:$E$305,$E252,$D$6:$D$305,"Paused"))</f>
        <v/>
      </c>
      <c r="P252" s="31">
        <f>IF($A252="","",IF($AE252=0,"○ Clear",IF($AA252=1,"△ No owner",IF($AC252=1,"△ Check Sits under",IF($AC252=2,"△ Outside the portfolio",IF($AB252=1,"△ No sponsor","△ No variance note"))))&amp;IF($AE252&gt;1," (+"&amp;($AE252-1)&amp;" more)","")))</f>
        <v/>
      </c>
      <c r="Q252" s="31">
        <f>IF(AND($A252&lt;&gt;"",OR($D252="Active",$D252="Paused")),1,0)</f>
        <v/>
      </c>
      <c r="R252" s="31">
        <f>IFERROR(INDEX($A$6:$A$305,MATCH(245,$S$6:$S$305,0)),"")</f>
        <v/>
      </c>
      <c r="S252" s="31">
        <f>IF(AND($A252&lt;&gt;"",$B252="Program"),COUNTIFS($B$6:$B252,"Program",$A$6:$A252,"&lt;&gt;"),"")</f>
        <v/>
      </c>
      <c r="T252" s="33">
        <f>IF(AND($A252&lt;&gt;"",$B252="Program"),SUMPRODUCT(MAX(($C$6:$C$305=$A252)*($B$6:$B$305="Project")*($D$6:$D$305&lt;&gt;"Proposed")*$I$6:$I$305)),0)</f>
        <v/>
      </c>
      <c r="U252" s="33">
        <f>IF($I252&lt;&gt;"",$I252,IF($T252&gt;0,$T252,""))</f>
        <v/>
      </c>
      <c r="V252" s="31">
        <f>IF(AND($A252&lt;&gt;"",$B252="Program"),SUMIFS($J$6:$J$305,$C$6:$C$305,$A252,$B$6:$B$305,"Project",$D$6:$D$305,"&lt;&gt;Proposed"),0)</f>
        <v/>
      </c>
      <c r="W252" s="31">
        <f>IF(AND($A252&lt;&gt;"",$B252="Program"),COUNTIFS($C$6:$C$305,$A252,$B$6:$B$305,"Project",$D$6:$D$305,"&lt;&gt;Proposed")-COUNTIFS($C$6:$C$305,$A252,$B$6:$B$305,"Project",$D$6:$D$305,"&lt;&gt;Proposed",$J$6:$J$305,"&gt;=0"),0)</f>
        <v/>
      </c>
      <c r="X252" s="31">
        <f>IF(OR($Q252=0,$H252=""),0,IF(AND($B252="Project",$H252&lt;TODAY()),3,IF($U252="",0,IF($U252&lt;=$H252,1,IF(NETWORKDAYS($H252,$U252)-1&gt;IF($B252="Program",Portfolio!$B$16,Portfolio!$B$15),3,2)))))</f>
        <v/>
      </c>
      <c r="Y252" s="31">
        <f>IF(OR($Q252=0,$K252="",$K252=0),0,IF(AND($B252="Project",$J252=""),0,IF(IF($B252="Program",$V252,$J252)&gt;$K252*(1+Portfolio!$B$17),3,IF(IF($B252="Program",$V252,$J252)&gt;$K252,2,IF(AND($B252="Program",OR($W252&gt;0,$V252=0)),0,1)))))</f>
        <v/>
      </c>
      <c r="Z252" s="31">
        <f>IF($A252="",0,IF($C252="Portfolio",1,IF(AND($B252="Project",$C252&lt;&gt;"",$C252&lt;&gt;"Outside the portfolio"),IFERROR(IF(AND(INDEX($B$6:$B$305,MATCH($C252,$A$6:$A$305,0))="Program",INDEX($C$6:$C$305,MATCH($C252,$A$6:$A$305,0))="Portfolio"),1,0),0),0)))</f>
        <v/>
      </c>
      <c r="AA252" s="31">
        <f>IF(AND($A252&lt;&gt;"",$E252="",OR($Q252=1,$D252="Proposed")),1,0)</f>
        <v/>
      </c>
      <c r="AB252" s="31">
        <f>IF(AND($A252&lt;&gt;"",$B252="Program",$F252="",$Q252=1),1,0)</f>
        <v/>
      </c>
      <c r="AC252" s="31">
        <f>IF(OR($A252="",$D252="Completed",$D252="Terminated"),0,IF($C252="",1,IF($C252="Portfolio",0,IF($C252="Outside the portfolio",IF($Q252=1,2,0),IF($B252="Project",IF(IFERROR(INDEX($B$6:$B$305,MATCH($C252,$A$6:$A$305,0)),"")="Program",0,1),1)))))</f>
        <v/>
      </c>
      <c r="AD252" s="31">
        <f>IF(AND($A252&lt;&gt;"",OR($M252="■ Red",$M252="◧ Amber"),$L252=""),1,0)</f>
        <v/>
      </c>
      <c r="AE252" s="31">
        <f>$AA252+$AB252+IF($AC252&gt;0,1,0)+$AD252</f>
        <v/>
      </c>
      <c r="AJ252" s="14" t="n"/>
      <c r="AK252" s="29" t="n"/>
      <c r="AL252" s="31">
        <f>IF(AND($Q252=1,$Z252=1),1,0)</f>
        <v/>
      </c>
      <c r="AM252" s="31">
        <f>IF(AND($AL252=1,$AJ252&lt;&gt;""),MAX(0,TODAY()-$AJ252),"")</f>
        <v/>
      </c>
      <c r="AN252" s="31">
        <f>IF(OR($AL252=0,COUNT($AJ$6:$AJ$305)=0),0,IF($AJ252="",1,IF(TODAY()-$AJ252&gt;Board!$B$40,1,0)))</f>
        <v/>
      </c>
      <c r="AO252" s="31">
        <f>IF($AL252=0,0,IF($M252="■ Red",3,IF($M252="◧ Amber",2,IF($M252="□ On track",1,0))))</f>
        <v/>
      </c>
      <c r="AP252" s="31">
        <f>IF($AL252=0,0,IF($AK252="Will not hold",3,IF($AK252="At risk",2,IF($AK252="Will hold",1,0))))</f>
        <v/>
      </c>
      <c r="AQ252" s="31">
        <f>IF($AL252=0,"",IF($AO252=3,0,IF($AO252=2,1,IF(AND($AP252&gt;=2,$AP252&gt;$AO252),2,""))))</f>
        <v/>
      </c>
      <c r="AR252" s="31">
        <f>IF($AQ252="","",$AQ252*1000+252)</f>
        <v/>
      </c>
      <c r="AS252" s="31">
        <f>IF(AND($AL252=1,$AO252&gt;=2,$AP252&gt;=1,$AP252&lt;$AO252),1,0)</f>
        <v/>
      </c>
      <c r="AT252" s="31">
        <f>IF(AND($AL252=1,$AO252&gt;=2,$AP252=0),1,0)</f>
        <v/>
      </c>
      <c r="AU252" s="31">
        <f>IF(AND($AL252=1,$U252&lt;&gt;"",$U252&lt;TODAY()),1,0)</f>
        <v/>
      </c>
      <c r="AV252" s="31">
        <f>IF(OR($A252="",$AJ252="",Portfolio!$B$10=""),0,IF($AJ252&lt;=Portfolio!$B$10,0,IF(AND($D252="Completed",$Z252=1),1,IF(AND($D252="Terminated",$Z252=1),2,IF(AND($Q252=1,$Z252=0),3,0)))))</f>
        <v/>
      </c>
      <c r="AW252" s="31">
        <f>IF($AV252&gt;0,COUNTIF($AV$6:$AV252,"&gt;0"),"")</f>
        <v/>
      </c>
      <c r="AX252" s="31">
        <f>IF($AL252=0,"",IF(AND($B252="Project",$H252&lt;&gt;"",$H252&lt;TODAY()),"Planned finish "&amp;TEXT($H252,"d mmm")&amp;" has passed",IF($X252&gt;=2,(NETWORKDAYS($H252,$U252)-1)&amp;" working days past plan","")))</f>
        <v/>
      </c>
      <c r="AY252" s="31">
        <f>IF($AL252=0,"",IF($Y252&gt;=2,"Over budget by "&amp;TEXT(IF($B252="Program",$V252,$J252)-$K252,"#,##0"),""))</f>
        <v/>
      </c>
      <c r="AZ252" s="31">
        <f>IF(AND($AL252=1,$U252&lt;&gt;""),IF(AND(N($U252)&gt;=TODAY(),N($U252)&lt;=TODAY()+Board!$B$41),1,0),0)</f>
        <v/>
      </c>
    </row>
    <row r="253">
      <c r="A253" s="29" t="n"/>
      <c r="B253" s="29" t="n"/>
      <c r="C253" s="29" t="n"/>
      <c r="D253" s="29" t="n"/>
      <c r="E253" s="29" t="n"/>
      <c r="F253" s="29" t="n"/>
      <c r="G253" s="29" t="n"/>
      <c r="H253" s="30" t="n"/>
      <c r="I253" s="30" t="n"/>
      <c r="J253" s="19" t="n"/>
      <c r="K253" s="19" t="n"/>
      <c r="L253" s="26" t="n"/>
      <c r="M253" s="31">
        <f>IF($A253="","",IF($D253="","Not read",IF($Q253=0,"Not counted",IF(MAX($X253,$Y253)=3,"■ Red",IF(MAX($X253,$Y253)=2,"◧ Amber",IF(MAX($X253,$Y253)=1,"□ On track","Not read"))))))</f>
        <v/>
      </c>
      <c r="N253" s="31">
        <f>IF(OR($A253="",$B253&lt;&gt;"Program"),"","■ "&amp;COUNTIFS($C$6:$C$305,$A253,$M$6:$M$305,"■ Red")&amp;" Red, ◧ "&amp;COUNTIFS($C$6:$C$305,$A253,$M$6:$M$305,"◧ Amber")&amp;" Amber")</f>
        <v/>
      </c>
      <c r="O253" s="32">
        <f>IF(OR($A253="",$E253=""),"",COUNTIFS($E$6:$E$305,$E253,$D$6:$D$305,"Active")+COUNTIFS($E$6:$E$305,$E253,$D$6:$D$305,"Paused"))</f>
        <v/>
      </c>
      <c r="P253" s="31">
        <f>IF($A253="","",IF($AE253=0,"○ Clear",IF($AA253=1,"△ No owner",IF($AC253=1,"△ Check Sits under",IF($AC253=2,"△ Outside the portfolio",IF($AB253=1,"△ No sponsor","△ No variance note"))))&amp;IF($AE253&gt;1," (+"&amp;($AE253-1)&amp;" more)","")))</f>
        <v/>
      </c>
      <c r="Q253" s="31">
        <f>IF(AND($A253&lt;&gt;"",OR($D253="Active",$D253="Paused")),1,0)</f>
        <v/>
      </c>
      <c r="R253" s="31">
        <f>IFERROR(INDEX($A$6:$A$305,MATCH(246,$S$6:$S$305,0)),"")</f>
        <v/>
      </c>
      <c r="S253" s="31">
        <f>IF(AND($A253&lt;&gt;"",$B253="Program"),COUNTIFS($B$6:$B253,"Program",$A$6:$A253,"&lt;&gt;"),"")</f>
        <v/>
      </c>
      <c r="T253" s="33">
        <f>IF(AND($A253&lt;&gt;"",$B253="Program"),SUMPRODUCT(MAX(($C$6:$C$305=$A253)*($B$6:$B$305="Project")*($D$6:$D$305&lt;&gt;"Proposed")*$I$6:$I$305)),0)</f>
        <v/>
      </c>
      <c r="U253" s="33">
        <f>IF($I253&lt;&gt;"",$I253,IF($T253&gt;0,$T253,""))</f>
        <v/>
      </c>
      <c r="V253" s="31">
        <f>IF(AND($A253&lt;&gt;"",$B253="Program"),SUMIFS($J$6:$J$305,$C$6:$C$305,$A253,$B$6:$B$305,"Project",$D$6:$D$305,"&lt;&gt;Proposed"),0)</f>
        <v/>
      </c>
      <c r="W253" s="31">
        <f>IF(AND($A253&lt;&gt;"",$B253="Program"),COUNTIFS($C$6:$C$305,$A253,$B$6:$B$305,"Project",$D$6:$D$305,"&lt;&gt;Proposed")-COUNTIFS($C$6:$C$305,$A253,$B$6:$B$305,"Project",$D$6:$D$305,"&lt;&gt;Proposed",$J$6:$J$305,"&gt;=0"),0)</f>
        <v/>
      </c>
      <c r="X253" s="31">
        <f>IF(OR($Q253=0,$H253=""),0,IF(AND($B253="Project",$H253&lt;TODAY()),3,IF($U253="",0,IF($U253&lt;=$H253,1,IF(NETWORKDAYS($H253,$U253)-1&gt;IF($B253="Program",Portfolio!$B$16,Portfolio!$B$15),3,2)))))</f>
        <v/>
      </c>
      <c r="Y253" s="31">
        <f>IF(OR($Q253=0,$K253="",$K253=0),0,IF(AND($B253="Project",$J253=""),0,IF(IF($B253="Program",$V253,$J253)&gt;$K253*(1+Portfolio!$B$17),3,IF(IF($B253="Program",$V253,$J253)&gt;$K253,2,IF(AND($B253="Program",OR($W253&gt;0,$V253=0)),0,1)))))</f>
        <v/>
      </c>
      <c r="Z253" s="31">
        <f>IF($A253="",0,IF($C253="Portfolio",1,IF(AND($B253="Project",$C253&lt;&gt;"",$C253&lt;&gt;"Outside the portfolio"),IFERROR(IF(AND(INDEX($B$6:$B$305,MATCH($C253,$A$6:$A$305,0))="Program",INDEX($C$6:$C$305,MATCH($C253,$A$6:$A$305,0))="Portfolio"),1,0),0),0)))</f>
        <v/>
      </c>
      <c r="AA253" s="31">
        <f>IF(AND($A253&lt;&gt;"",$E253="",OR($Q253=1,$D253="Proposed")),1,0)</f>
        <v/>
      </c>
      <c r="AB253" s="31">
        <f>IF(AND($A253&lt;&gt;"",$B253="Program",$F253="",$Q253=1),1,0)</f>
        <v/>
      </c>
      <c r="AC253" s="31">
        <f>IF(OR($A253="",$D253="Completed",$D253="Terminated"),0,IF($C253="",1,IF($C253="Portfolio",0,IF($C253="Outside the portfolio",IF($Q253=1,2,0),IF($B253="Project",IF(IFERROR(INDEX($B$6:$B$305,MATCH($C253,$A$6:$A$305,0)),"")="Program",0,1),1)))))</f>
        <v/>
      </c>
      <c r="AD253" s="31">
        <f>IF(AND($A253&lt;&gt;"",OR($M253="■ Red",$M253="◧ Amber"),$L253=""),1,0)</f>
        <v/>
      </c>
      <c r="AE253" s="31">
        <f>$AA253+$AB253+IF($AC253&gt;0,1,0)+$AD253</f>
        <v/>
      </c>
      <c r="AJ253" s="14" t="n"/>
      <c r="AK253" s="29" t="n"/>
      <c r="AL253" s="31">
        <f>IF(AND($Q253=1,$Z253=1),1,0)</f>
        <v/>
      </c>
      <c r="AM253" s="31">
        <f>IF(AND($AL253=1,$AJ253&lt;&gt;""),MAX(0,TODAY()-$AJ253),"")</f>
        <v/>
      </c>
      <c r="AN253" s="31">
        <f>IF(OR($AL253=0,COUNT($AJ$6:$AJ$305)=0),0,IF($AJ253="",1,IF(TODAY()-$AJ253&gt;Board!$B$40,1,0)))</f>
        <v/>
      </c>
      <c r="AO253" s="31">
        <f>IF($AL253=0,0,IF($M253="■ Red",3,IF($M253="◧ Amber",2,IF($M253="□ On track",1,0))))</f>
        <v/>
      </c>
      <c r="AP253" s="31">
        <f>IF($AL253=0,0,IF($AK253="Will not hold",3,IF($AK253="At risk",2,IF($AK253="Will hold",1,0))))</f>
        <v/>
      </c>
      <c r="AQ253" s="31">
        <f>IF($AL253=0,"",IF($AO253=3,0,IF($AO253=2,1,IF(AND($AP253&gt;=2,$AP253&gt;$AO253),2,""))))</f>
        <v/>
      </c>
      <c r="AR253" s="31">
        <f>IF($AQ253="","",$AQ253*1000+253)</f>
        <v/>
      </c>
      <c r="AS253" s="31">
        <f>IF(AND($AL253=1,$AO253&gt;=2,$AP253&gt;=1,$AP253&lt;$AO253),1,0)</f>
        <v/>
      </c>
      <c r="AT253" s="31">
        <f>IF(AND($AL253=1,$AO253&gt;=2,$AP253=0),1,0)</f>
        <v/>
      </c>
      <c r="AU253" s="31">
        <f>IF(AND($AL253=1,$U253&lt;&gt;"",$U253&lt;TODAY()),1,0)</f>
        <v/>
      </c>
      <c r="AV253" s="31">
        <f>IF(OR($A253="",$AJ253="",Portfolio!$B$10=""),0,IF($AJ253&lt;=Portfolio!$B$10,0,IF(AND($D253="Completed",$Z253=1),1,IF(AND($D253="Terminated",$Z253=1),2,IF(AND($Q253=1,$Z253=0),3,0)))))</f>
        <v/>
      </c>
      <c r="AW253" s="31">
        <f>IF($AV253&gt;0,COUNTIF($AV$6:$AV253,"&gt;0"),"")</f>
        <v/>
      </c>
      <c r="AX253" s="31">
        <f>IF($AL253=0,"",IF(AND($B253="Project",$H253&lt;&gt;"",$H253&lt;TODAY()),"Planned finish "&amp;TEXT($H253,"d mmm")&amp;" has passed",IF($X253&gt;=2,(NETWORKDAYS($H253,$U253)-1)&amp;" working days past plan","")))</f>
        <v/>
      </c>
      <c r="AY253" s="31">
        <f>IF($AL253=0,"",IF($Y253&gt;=2,"Over budget by "&amp;TEXT(IF($B253="Program",$V253,$J253)-$K253,"#,##0"),""))</f>
        <v/>
      </c>
      <c r="AZ253" s="31">
        <f>IF(AND($AL253=1,$U253&lt;&gt;""),IF(AND(N($U253)&gt;=TODAY(),N($U253)&lt;=TODAY()+Board!$B$41),1,0),0)</f>
        <v/>
      </c>
    </row>
    <row r="254">
      <c r="A254" s="29" t="n"/>
      <c r="B254" s="29" t="n"/>
      <c r="C254" s="29" t="n"/>
      <c r="D254" s="29" t="n"/>
      <c r="E254" s="29" t="n"/>
      <c r="F254" s="29" t="n"/>
      <c r="G254" s="29" t="n"/>
      <c r="H254" s="30" t="n"/>
      <c r="I254" s="30" t="n"/>
      <c r="J254" s="19" t="n"/>
      <c r="K254" s="19" t="n"/>
      <c r="L254" s="26" t="n"/>
      <c r="M254" s="31">
        <f>IF($A254="","",IF($D254="","Not read",IF($Q254=0,"Not counted",IF(MAX($X254,$Y254)=3,"■ Red",IF(MAX($X254,$Y254)=2,"◧ Amber",IF(MAX($X254,$Y254)=1,"□ On track","Not read"))))))</f>
        <v/>
      </c>
      <c r="N254" s="31">
        <f>IF(OR($A254="",$B254&lt;&gt;"Program"),"","■ "&amp;COUNTIFS($C$6:$C$305,$A254,$M$6:$M$305,"■ Red")&amp;" Red, ◧ "&amp;COUNTIFS($C$6:$C$305,$A254,$M$6:$M$305,"◧ Amber")&amp;" Amber")</f>
        <v/>
      </c>
      <c r="O254" s="32">
        <f>IF(OR($A254="",$E254=""),"",COUNTIFS($E$6:$E$305,$E254,$D$6:$D$305,"Active")+COUNTIFS($E$6:$E$305,$E254,$D$6:$D$305,"Paused"))</f>
        <v/>
      </c>
      <c r="P254" s="31">
        <f>IF($A254="","",IF($AE254=0,"○ Clear",IF($AA254=1,"△ No owner",IF($AC254=1,"△ Check Sits under",IF($AC254=2,"△ Outside the portfolio",IF($AB254=1,"△ No sponsor","△ No variance note"))))&amp;IF($AE254&gt;1," (+"&amp;($AE254-1)&amp;" more)","")))</f>
        <v/>
      </c>
      <c r="Q254" s="31">
        <f>IF(AND($A254&lt;&gt;"",OR($D254="Active",$D254="Paused")),1,0)</f>
        <v/>
      </c>
      <c r="R254" s="31">
        <f>IFERROR(INDEX($A$6:$A$305,MATCH(247,$S$6:$S$305,0)),"")</f>
        <v/>
      </c>
      <c r="S254" s="31">
        <f>IF(AND($A254&lt;&gt;"",$B254="Program"),COUNTIFS($B$6:$B254,"Program",$A$6:$A254,"&lt;&gt;"),"")</f>
        <v/>
      </c>
      <c r="T254" s="33">
        <f>IF(AND($A254&lt;&gt;"",$B254="Program"),SUMPRODUCT(MAX(($C$6:$C$305=$A254)*($B$6:$B$305="Project")*($D$6:$D$305&lt;&gt;"Proposed")*$I$6:$I$305)),0)</f>
        <v/>
      </c>
      <c r="U254" s="33">
        <f>IF($I254&lt;&gt;"",$I254,IF($T254&gt;0,$T254,""))</f>
        <v/>
      </c>
      <c r="V254" s="31">
        <f>IF(AND($A254&lt;&gt;"",$B254="Program"),SUMIFS($J$6:$J$305,$C$6:$C$305,$A254,$B$6:$B$305,"Project",$D$6:$D$305,"&lt;&gt;Proposed"),0)</f>
        <v/>
      </c>
      <c r="W254" s="31">
        <f>IF(AND($A254&lt;&gt;"",$B254="Program"),COUNTIFS($C$6:$C$305,$A254,$B$6:$B$305,"Project",$D$6:$D$305,"&lt;&gt;Proposed")-COUNTIFS($C$6:$C$305,$A254,$B$6:$B$305,"Project",$D$6:$D$305,"&lt;&gt;Proposed",$J$6:$J$305,"&gt;=0"),0)</f>
        <v/>
      </c>
      <c r="X254" s="31">
        <f>IF(OR($Q254=0,$H254=""),0,IF(AND($B254="Project",$H254&lt;TODAY()),3,IF($U254="",0,IF($U254&lt;=$H254,1,IF(NETWORKDAYS($H254,$U254)-1&gt;IF($B254="Program",Portfolio!$B$16,Portfolio!$B$15),3,2)))))</f>
        <v/>
      </c>
      <c r="Y254" s="31">
        <f>IF(OR($Q254=0,$K254="",$K254=0),0,IF(AND($B254="Project",$J254=""),0,IF(IF($B254="Program",$V254,$J254)&gt;$K254*(1+Portfolio!$B$17),3,IF(IF($B254="Program",$V254,$J254)&gt;$K254,2,IF(AND($B254="Program",OR($W254&gt;0,$V254=0)),0,1)))))</f>
        <v/>
      </c>
      <c r="Z254" s="31">
        <f>IF($A254="",0,IF($C254="Portfolio",1,IF(AND($B254="Project",$C254&lt;&gt;"",$C254&lt;&gt;"Outside the portfolio"),IFERROR(IF(AND(INDEX($B$6:$B$305,MATCH($C254,$A$6:$A$305,0))="Program",INDEX($C$6:$C$305,MATCH($C254,$A$6:$A$305,0))="Portfolio"),1,0),0),0)))</f>
        <v/>
      </c>
      <c r="AA254" s="31">
        <f>IF(AND($A254&lt;&gt;"",$E254="",OR($Q254=1,$D254="Proposed")),1,0)</f>
        <v/>
      </c>
      <c r="AB254" s="31">
        <f>IF(AND($A254&lt;&gt;"",$B254="Program",$F254="",$Q254=1),1,0)</f>
        <v/>
      </c>
      <c r="AC254" s="31">
        <f>IF(OR($A254="",$D254="Completed",$D254="Terminated"),0,IF($C254="",1,IF($C254="Portfolio",0,IF($C254="Outside the portfolio",IF($Q254=1,2,0),IF($B254="Project",IF(IFERROR(INDEX($B$6:$B$305,MATCH($C254,$A$6:$A$305,0)),"")="Program",0,1),1)))))</f>
        <v/>
      </c>
      <c r="AD254" s="31">
        <f>IF(AND($A254&lt;&gt;"",OR($M254="■ Red",$M254="◧ Amber"),$L254=""),1,0)</f>
        <v/>
      </c>
      <c r="AE254" s="31">
        <f>$AA254+$AB254+IF($AC254&gt;0,1,0)+$AD254</f>
        <v/>
      </c>
      <c r="AJ254" s="14" t="n"/>
      <c r="AK254" s="29" t="n"/>
      <c r="AL254" s="31">
        <f>IF(AND($Q254=1,$Z254=1),1,0)</f>
        <v/>
      </c>
      <c r="AM254" s="31">
        <f>IF(AND($AL254=1,$AJ254&lt;&gt;""),MAX(0,TODAY()-$AJ254),"")</f>
        <v/>
      </c>
      <c r="AN254" s="31">
        <f>IF(OR($AL254=0,COUNT($AJ$6:$AJ$305)=0),0,IF($AJ254="",1,IF(TODAY()-$AJ254&gt;Board!$B$40,1,0)))</f>
        <v/>
      </c>
      <c r="AO254" s="31">
        <f>IF($AL254=0,0,IF($M254="■ Red",3,IF($M254="◧ Amber",2,IF($M254="□ On track",1,0))))</f>
        <v/>
      </c>
      <c r="AP254" s="31">
        <f>IF($AL254=0,0,IF($AK254="Will not hold",3,IF($AK254="At risk",2,IF($AK254="Will hold",1,0))))</f>
        <v/>
      </c>
      <c r="AQ254" s="31">
        <f>IF($AL254=0,"",IF($AO254=3,0,IF($AO254=2,1,IF(AND($AP254&gt;=2,$AP254&gt;$AO254),2,""))))</f>
        <v/>
      </c>
      <c r="AR254" s="31">
        <f>IF($AQ254="","",$AQ254*1000+254)</f>
        <v/>
      </c>
      <c r="AS254" s="31">
        <f>IF(AND($AL254=1,$AO254&gt;=2,$AP254&gt;=1,$AP254&lt;$AO254),1,0)</f>
        <v/>
      </c>
      <c r="AT254" s="31">
        <f>IF(AND($AL254=1,$AO254&gt;=2,$AP254=0),1,0)</f>
        <v/>
      </c>
      <c r="AU254" s="31">
        <f>IF(AND($AL254=1,$U254&lt;&gt;"",$U254&lt;TODAY()),1,0)</f>
        <v/>
      </c>
      <c r="AV254" s="31">
        <f>IF(OR($A254="",$AJ254="",Portfolio!$B$10=""),0,IF($AJ254&lt;=Portfolio!$B$10,0,IF(AND($D254="Completed",$Z254=1),1,IF(AND($D254="Terminated",$Z254=1),2,IF(AND($Q254=1,$Z254=0),3,0)))))</f>
        <v/>
      </c>
      <c r="AW254" s="31">
        <f>IF($AV254&gt;0,COUNTIF($AV$6:$AV254,"&gt;0"),"")</f>
        <v/>
      </c>
      <c r="AX254" s="31">
        <f>IF($AL254=0,"",IF(AND($B254="Project",$H254&lt;&gt;"",$H254&lt;TODAY()),"Planned finish "&amp;TEXT($H254,"d mmm")&amp;" has passed",IF($X254&gt;=2,(NETWORKDAYS($H254,$U254)-1)&amp;" working days past plan","")))</f>
        <v/>
      </c>
      <c r="AY254" s="31">
        <f>IF($AL254=0,"",IF($Y254&gt;=2,"Over budget by "&amp;TEXT(IF($B254="Program",$V254,$J254)-$K254,"#,##0"),""))</f>
        <v/>
      </c>
      <c r="AZ254" s="31">
        <f>IF(AND($AL254=1,$U254&lt;&gt;""),IF(AND(N($U254)&gt;=TODAY(),N($U254)&lt;=TODAY()+Board!$B$41),1,0),0)</f>
        <v/>
      </c>
    </row>
    <row r="255">
      <c r="A255" s="29" t="n"/>
      <c r="B255" s="29" t="n"/>
      <c r="C255" s="29" t="n"/>
      <c r="D255" s="29" t="n"/>
      <c r="E255" s="29" t="n"/>
      <c r="F255" s="29" t="n"/>
      <c r="G255" s="29" t="n"/>
      <c r="H255" s="30" t="n"/>
      <c r="I255" s="30" t="n"/>
      <c r="J255" s="19" t="n"/>
      <c r="K255" s="19" t="n"/>
      <c r="L255" s="26" t="n"/>
      <c r="M255" s="31">
        <f>IF($A255="","",IF($D255="","Not read",IF($Q255=0,"Not counted",IF(MAX($X255,$Y255)=3,"■ Red",IF(MAX($X255,$Y255)=2,"◧ Amber",IF(MAX($X255,$Y255)=1,"□ On track","Not read"))))))</f>
        <v/>
      </c>
      <c r="N255" s="31">
        <f>IF(OR($A255="",$B255&lt;&gt;"Program"),"","■ "&amp;COUNTIFS($C$6:$C$305,$A255,$M$6:$M$305,"■ Red")&amp;" Red, ◧ "&amp;COUNTIFS($C$6:$C$305,$A255,$M$6:$M$305,"◧ Amber")&amp;" Amber")</f>
        <v/>
      </c>
      <c r="O255" s="32">
        <f>IF(OR($A255="",$E255=""),"",COUNTIFS($E$6:$E$305,$E255,$D$6:$D$305,"Active")+COUNTIFS($E$6:$E$305,$E255,$D$6:$D$305,"Paused"))</f>
        <v/>
      </c>
      <c r="P255" s="31">
        <f>IF($A255="","",IF($AE255=0,"○ Clear",IF($AA255=1,"△ No owner",IF($AC255=1,"△ Check Sits under",IF($AC255=2,"△ Outside the portfolio",IF($AB255=1,"△ No sponsor","△ No variance note"))))&amp;IF($AE255&gt;1," (+"&amp;($AE255-1)&amp;" more)","")))</f>
        <v/>
      </c>
      <c r="Q255" s="31">
        <f>IF(AND($A255&lt;&gt;"",OR($D255="Active",$D255="Paused")),1,0)</f>
        <v/>
      </c>
      <c r="R255" s="31">
        <f>IFERROR(INDEX($A$6:$A$305,MATCH(248,$S$6:$S$305,0)),"")</f>
        <v/>
      </c>
      <c r="S255" s="31">
        <f>IF(AND($A255&lt;&gt;"",$B255="Program"),COUNTIFS($B$6:$B255,"Program",$A$6:$A255,"&lt;&gt;"),"")</f>
        <v/>
      </c>
      <c r="T255" s="33">
        <f>IF(AND($A255&lt;&gt;"",$B255="Program"),SUMPRODUCT(MAX(($C$6:$C$305=$A255)*($B$6:$B$305="Project")*($D$6:$D$305&lt;&gt;"Proposed")*$I$6:$I$305)),0)</f>
        <v/>
      </c>
      <c r="U255" s="33">
        <f>IF($I255&lt;&gt;"",$I255,IF($T255&gt;0,$T255,""))</f>
        <v/>
      </c>
      <c r="V255" s="31">
        <f>IF(AND($A255&lt;&gt;"",$B255="Program"),SUMIFS($J$6:$J$305,$C$6:$C$305,$A255,$B$6:$B$305,"Project",$D$6:$D$305,"&lt;&gt;Proposed"),0)</f>
        <v/>
      </c>
      <c r="W255" s="31">
        <f>IF(AND($A255&lt;&gt;"",$B255="Program"),COUNTIFS($C$6:$C$305,$A255,$B$6:$B$305,"Project",$D$6:$D$305,"&lt;&gt;Proposed")-COUNTIFS($C$6:$C$305,$A255,$B$6:$B$305,"Project",$D$6:$D$305,"&lt;&gt;Proposed",$J$6:$J$305,"&gt;=0"),0)</f>
        <v/>
      </c>
      <c r="X255" s="31">
        <f>IF(OR($Q255=0,$H255=""),0,IF(AND($B255="Project",$H255&lt;TODAY()),3,IF($U255="",0,IF($U255&lt;=$H255,1,IF(NETWORKDAYS($H255,$U255)-1&gt;IF($B255="Program",Portfolio!$B$16,Portfolio!$B$15),3,2)))))</f>
        <v/>
      </c>
      <c r="Y255" s="31">
        <f>IF(OR($Q255=0,$K255="",$K255=0),0,IF(AND($B255="Project",$J255=""),0,IF(IF($B255="Program",$V255,$J255)&gt;$K255*(1+Portfolio!$B$17),3,IF(IF($B255="Program",$V255,$J255)&gt;$K255,2,IF(AND($B255="Program",OR($W255&gt;0,$V255=0)),0,1)))))</f>
        <v/>
      </c>
      <c r="Z255" s="31">
        <f>IF($A255="",0,IF($C255="Portfolio",1,IF(AND($B255="Project",$C255&lt;&gt;"",$C255&lt;&gt;"Outside the portfolio"),IFERROR(IF(AND(INDEX($B$6:$B$305,MATCH($C255,$A$6:$A$305,0))="Program",INDEX($C$6:$C$305,MATCH($C255,$A$6:$A$305,0))="Portfolio"),1,0),0),0)))</f>
        <v/>
      </c>
      <c r="AA255" s="31">
        <f>IF(AND($A255&lt;&gt;"",$E255="",OR($Q255=1,$D255="Proposed")),1,0)</f>
        <v/>
      </c>
      <c r="AB255" s="31">
        <f>IF(AND($A255&lt;&gt;"",$B255="Program",$F255="",$Q255=1),1,0)</f>
        <v/>
      </c>
      <c r="AC255" s="31">
        <f>IF(OR($A255="",$D255="Completed",$D255="Terminated"),0,IF($C255="",1,IF($C255="Portfolio",0,IF($C255="Outside the portfolio",IF($Q255=1,2,0),IF($B255="Project",IF(IFERROR(INDEX($B$6:$B$305,MATCH($C255,$A$6:$A$305,0)),"")="Program",0,1),1)))))</f>
        <v/>
      </c>
      <c r="AD255" s="31">
        <f>IF(AND($A255&lt;&gt;"",OR($M255="■ Red",$M255="◧ Amber"),$L255=""),1,0)</f>
        <v/>
      </c>
      <c r="AE255" s="31">
        <f>$AA255+$AB255+IF($AC255&gt;0,1,0)+$AD255</f>
        <v/>
      </c>
      <c r="AJ255" s="14" t="n"/>
      <c r="AK255" s="29" t="n"/>
      <c r="AL255" s="31">
        <f>IF(AND($Q255=1,$Z255=1),1,0)</f>
        <v/>
      </c>
      <c r="AM255" s="31">
        <f>IF(AND($AL255=1,$AJ255&lt;&gt;""),MAX(0,TODAY()-$AJ255),"")</f>
        <v/>
      </c>
      <c r="AN255" s="31">
        <f>IF(OR($AL255=0,COUNT($AJ$6:$AJ$305)=0),0,IF($AJ255="",1,IF(TODAY()-$AJ255&gt;Board!$B$40,1,0)))</f>
        <v/>
      </c>
      <c r="AO255" s="31">
        <f>IF($AL255=0,0,IF($M255="■ Red",3,IF($M255="◧ Amber",2,IF($M255="□ On track",1,0))))</f>
        <v/>
      </c>
      <c r="AP255" s="31">
        <f>IF($AL255=0,0,IF($AK255="Will not hold",3,IF($AK255="At risk",2,IF($AK255="Will hold",1,0))))</f>
        <v/>
      </c>
      <c r="AQ255" s="31">
        <f>IF($AL255=0,"",IF($AO255=3,0,IF($AO255=2,1,IF(AND($AP255&gt;=2,$AP255&gt;$AO255),2,""))))</f>
        <v/>
      </c>
      <c r="AR255" s="31">
        <f>IF($AQ255="","",$AQ255*1000+255)</f>
        <v/>
      </c>
      <c r="AS255" s="31">
        <f>IF(AND($AL255=1,$AO255&gt;=2,$AP255&gt;=1,$AP255&lt;$AO255),1,0)</f>
        <v/>
      </c>
      <c r="AT255" s="31">
        <f>IF(AND($AL255=1,$AO255&gt;=2,$AP255=0),1,0)</f>
        <v/>
      </c>
      <c r="AU255" s="31">
        <f>IF(AND($AL255=1,$U255&lt;&gt;"",$U255&lt;TODAY()),1,0)</f>
        <v/>
      </c>
      <c r="AV255" s="31">
        <f>IF(OR($A255="",$AJ255="",Portfolio!$B$10=""),0,IF($AJ255&lt;=Portfolio!$B$10,0,IF(AND($D255="Completed",$Z255=1),1,IF(AND($D255="Terminated",$Z255=1),2,IF(AND($Q255=1,$Z255=0),3,0)))))</f>
        <v/>
      </c>
      <c r="AW255" s="31">
        <f>IF($AV255&gt;0,COUNTIF($AV$6:$AV255,"&gt;0"),"")</f>
        <v/>
      </c>
      <c r="AX255" s="31">
        <f>IF($AL255=0,"",IF(AND($B255="Project",$H255&lt;&gt;"",$H255&lt;TODAY()),"Planned finish "&amp;TEXT($H255,"d mmm")&amp;" has passed",IF($X255&gt;=2,(NETWORKDAYS($H255,$U255)-1)&amp;" working days past plan","")))</f>
        <v/>
      </c>
      <c r="AY255" s="31">
        <f>IF($AL255=0,"",IF($Y255&gt;=2,"Over budget by "&amp;TEXT(IF($B255="Program",$V255,$J255)-$K255,"#,##0"),""))</f>
        <v/>
      </c>
      <c r="AZ255" s="31">
        <f>IF(AND($AL255=1,$U255&lt;&gt;""),IF(AND(N($U255)&gt;=TODAY(),N($U255)&lt;=TODAY()+Board!$B$41),1,0),0)</f>
        <v/>
      </c>
    </row>
    <row r="256">
      <c r="A256" s="29" t="n"/>
      <c r="B256" s="29" t="n"/>
      <c r="C256" s="29" t="n"/>
      <c r="D256" s="29" t="n"/>
      <c r="E256" s="29" t="n"/>
      <c r="F256" s="29" t="n"/>
      <c r="G256" s="29" t="n"/>
      <c r="H256" s="30" t="n"/>
      <c r="I256" s="30" t="n"/>
      <c r="J256" s="19" t="n"/>
      <c r="K256" s="19" t="n"/>
      <c r="L256" s="26" t="n"/>
      <c r="M256" s="31">
        <f>IF($A256="","",IF($D256="","Not read",IF($Q256=0,"Not counted",IF(MAX($X256,$Y256)=3,"■ Red",IF(MAX($X256,$Y256)=2,"◧ Amber",IF(MAX($X256,$Y256)=1,"□ On track","Not read"))))))</f>
        <v/>
      </c>
      <c r="N256" s="31">
        <f>IF(OR($A256="",$B256&lt;&gt;"Program"),"","■ "&amp;COUNTIFS($C$6:$C$305,$A256,$M$6:$M$305,"■ Red")&amp;" Red, ◧ "&amp;COUNTIFS($C$6:$C$305,$A256,$M$6:$M$305,"◧ Amber")&amp;" Amber")</f>
        <v/>
      </c>
      <c r="O256" s="32">
        <f>IF(OR($A256="",$E256=""),"",COUNTIFS($E$6:$E$305,$E256,$D$6:$D$305,"Active")+COUNTIFS($E$6:$E$305,$E256,$D$6:$D$305,"Paused"))</f>
        <v/>
      </c>
      <c r="P256" s="31">
        <f>IF($A256="","",IF($AE256=0,"○ Clear",IF($AA256=1,"△ No owner",IF($AC256=1,"△ Check Sits under",IF($AC256=2,"△ Outside the portfolio",IF($AB256=1,"△ No sponsor","△ No variance note"))))&amp;IF($AE256&gt;1," (+"&amp;($AE256-1)&amp;" more)","")))</f>
        <v/>
      </c>
      <c r="Q256" s="31">
        <f>IF(AND($A256&lt;&gt;"",OR($D256="Active",$D256="Paused")),1,0)</f>
        <v/>
      </c>
      <c r="R256" s="31">
        <f>IFERROR(INDEX($A$6:$A$305,MATCH(249,$S$6:$S$305,0)),"")</f>
        <v/>
      </c>
      <c r="S256" s="31">
        <f>IF(AND($A256&lt;&gt;"",$B256="Program"),COUNTIFS($B$6:$B256,"Program",$A$6:$A256,"&lt;&gt;"),"")</f>
        <v/>
      </c>
      <c r="T256" s="33">
        <f>IF(AND($A256&lt;&gt;"",$B256="Program"),SUMPRODUCT(MAX(($C$6:$C$305=$A256)*($B$6:$B$305="Project")*($D$6:$D$305&lt;&gt;"Proposed")*$I$6:$I$305)),0)</f>
        <v/>
      </c>
      <c r="U256" s="33">
        <f>IF($I256&lt;&gt;"",$I256,IF($T256&gt;0,$T256,""))</f>
        <v/>
      </c>
      <c r="V256" s="31">
        <f>IF(AND($A256&lt;&gt;"",$B256="Program"),SUMIFS($J$6:$J$305,$C$6:$C$305,$A256,$B$6:$B$305,"Project",$D$6:$D$305,"&lt;&gt;Proposed"),0)</f>
        <v/>
      </c>
      <c r="W256" s="31">
        <f>IF(AND($A256&lt;&gt;"",$B256="Program"),COUNTIFS($C$6:$C$305,$A256,$B$6:$B$305,"Project",$D$6:$D$305,"&lt;&gt;Proposed")-COUNTIFS($C$6:$C$305,$A256,$B$6:$B$305,"Project",$D$6:$D$305,"&lt;&gt;Proposed",$J$6:$J$305,"&gt;=0"),0)</f>
        <v/>
      </c>
      <c r="X256" s="31">
        <f>IF(OR($Q256=0,$H256=""),0,IF(AND($B256="Project",$H256&lt;TODAY()),3,IF($U256="",0,IF($U256&lt;=$H256,1,IF(NETWORKDAYS($H256,$U256)-1&gt;IF($B256="Program",Portfolio!$B$16,Portfolio!$B$15),3,2)))))</f>
        <v/>
      </c>
      <c r="Y256" s="31">
        <f>IF(OR($Q256=0,$K256="",$K256=0),0,IF(AND($B256="Project",$J256=""),0,IF(IF($B256="Program",$V256,$J256)&gt;$K256*(1+Portfolio!$B$17),3,IF(IF($B256="Program",$V256,$J256)&gt;$K256,2,IF(AND($B256="Program",OR($W256&gt;0,$V256=0)),0,1)))))</f>
        <v/>
      </c>
      <c r="Z256" s="31">
        <f>IF($A256="",0,IF($C256="Portfolio",1,IF(AND($B256="Project",$C256&lt;&gt;"",$C256&lt;&gt;"Outside the portfolio"),IFERROR(IF(AND(INDEX($B$6:$B$305,MATCH($C256,$A$6:$A$305,0))="Program",INDEX($C$6:$C$305,MATCH($C256,$A$6:$A$305,0))="Portfolio"),1,0),0),0)))</f>
        <v/>
      </c>
      <c r="AA256" s="31">
        <f>IF(AND($A256&lt;&gt;"",$E256="",OR($Q256=1,$D256="Proposed")),1,0)</f>
        <v/>
      </c>
      <c r="AB256" s="31">
        <f>IF(AND($A256&lt;&gt;"",$B256="Program",$F256="",$Q256=1),1,0)</f>
        <v/>
      </c>
      <c r="AC256" s="31">
        <f>IF(OR($A256="",$D256="Completed",$D256="Terminated"),0,IF($C256="",1,IF($C256="Portfolio",0,IF($C256="Outside the portfolio",IF($Q256=1,2,0),IF($B256="Project",IF(IFERROR(INDEX($B$6:$B$305,MATCH($C256,$A$6:$A$305,0)),"")="Program",0,1),1)))))</f>
        <v/>
      </c>
      <c r="AD256" s="31">
        <f>IF(AND($A256&lt;&gt;"",OR($M256="■ Red",$M256="◧ Amber"),$L256=""),1,0)</f>
        <v/>
      </c>
      <c r="AE256" s="31">
        <f>$AA256+$AB256+IF($AC256&gt;0,1,0)+$AD256</f>
        <v/>
      </c>
      <c r="AJ256" s="14" t="n"/>
      <c r="AK256" s="29" t="n"/>
      <c r="AL256" s="31">
        <f>IF(AND($Q256=1,$Z256=1),1,0)</f>
        <v/>
      </c>
      <c r="AM256" s="31">
        <f>IF(AND($AL256=1,$AJ256&lt;&gt;""),MAX(0,TODAY()-$AJ256),"")</f>
        <v/>
      </c>
      <c r="AN256" s="31">
        <f>IF(OR($AL256=0,COUNT($AJ$6:$AJ$305)=0),0,IF($AJ256="",1,IF(TODAY()-$AJ256&gt;Board!$B$40,1,0)))</f>
        <v/>
      </c>
      <c r="AO256" s="31">
        <f>IF($AL256=0,0,IF($M256="■ Red",3,IF($M256="◧ Amber",2,IF($M256="□ On track",1,0))))</f>
        <v/>
      </c>
      <c r="AP256" s="31">
        <f>IF($AL256=0,0,IF($AK256="Will not hold",3,IF($AK256="At risk",2,IF($AK256="Will hold",1,0))))</f>
        <v/>
      </c>
      <c r="AQ256" s="31">
        <f>IF($AL256=0,"",IF($AO256=3,0,IF($AO256=2,1,IF(AND($AP256&gt;=2,$AP256&gt;$AO256),2,""))))</f>
        <v/>
      </c>
      <c r="AR256" s="31">
        <f>IF($AQ256="","",$AQ256*1000+256)</f>
        <v/>
      </c>
      <c r="AS256" s="31">
        <f>IF(AND($AL256=1,$AO256&gt;=2,$AP256&gt;=1,$AP256&lt;$AO256),1,0)</f>
        <v/>
      </c>
      <c r="AT256" s="31">
        <f>IF(AND($AL256=1,$AO256&gt;=2,$AP256=0),1,0)</f>
        <v/>
      </c>
      <c r="AU256" s="31">
        <f>IF(AND($AL256=1,$U256&lt;&gt;"",$U256&lt;TODAY()),1,0)</f>
        <v/>
      </c>
      <c r="AV256" s="31">
        <f>IF(OR($A256="",$AJ256="",Portfolio!$B$10=""),0,IF($AJ256&lt;=Portfolio!$B$10,0,IF(AND($D256="Completed",$Z256=1),1,IF(AND($D256="Terminated",$Z256=1),2,IF(AND($Q256=1,$Z256=0),3,0)))))</f>
        <v/>
      </c>
      <c r="AW256" s="31">
        <f>IF($AV256&gt;0,COUNTIF($AV$6:$AV256,"&gt;0"),"")</f>
        <v/>
      </c>
      <c r="AX256" s="31">
        <f>IF($AL256=0,"",IF(AND($B256="Project",$H256&lt;&gt;"",$H256&lt;TODAY()),"Planned finish "&amp;TEXT($H256,"d mmm")&amp;" has passed",IF($X256&gt;=2,(NETWORKDAYS($H256,$U256)-1)&amp;" working days past plan","")))</f>
        <v/>
      </c>
      <c r="AY256" s="31">
        <f>IF($AL256=0,"",IF($Y256&gt;=2,"Over budget by "&amp;TEXT(IF($B256="Program",$V256,$J256)-$K256,"#,##0"),""))</f>
        <v/>
      </c>
      <c r="AZ256" s="31">
        <f>IF(AND($AL256=1,$U256&lt;&gt;""),IF(AND(N($U256)&gt;=TODAY(),N($U256)&lt;=TODAY()+Board!$B$41),1,0),0)</f>
        <v/>
      </c>
    </row>
    <row r="257">
      <c r="A257" s="29" t="n"/>
      <c r="B257" s="29" t="n"/>
      <c r="C257" s="29" t="n"/>
      <c r="D257" s="29" t="n"/>
      <c r="E257" s="29" t="n"/>
      <c r="F257" s="29" t="n"/>
      <c r="G257" s="29" t="n"/>
      <c r="H257" s="30" t="n"/>
      <c r="I257" s="30" t="n"/>
      <c r="J257" s="19" t="n"/>
      <c r="K257" s="19" t="n"/>
      <c r="L257" s="26" t="n"/>
      <c r="M257" s="31">
        <f>IF($A257="","",IF($D257="","Not read",IF($Q257=0,"Not counted",IF(MAX($X257,$Y257)=3,"■ Red",IF(MAX($X257,$Y257)=2,"◧ Amber",IF(MAX($X257,$Y257)=1,"□ On track","Not read"))))))</f>
        <v/>
      </c>
      <c r="N257" s="31">
        <f>IF(OR($A257="",$B257&lt;&gt;"Program"),"","■ "&amp;COUNTIFS($C$6:$C$305,$A257,$M$6:$M$305,"■ Red")&amp;" Red, ◧ "&amp;COUNTIFS($C$6:$C$305,$A257,$M$6:$M$305,"◧ Amber")&amp;" Amber")</f>
        <v/>
      </c>
      <c r="O257" s="32">
        <f>IF(OR($A257="",$E257=""),"",COUNTIFS($E$6:$E$305,$E257,$D$6:$D$305,"Active")+COUNTIFS($E$6:$E$305,$E257,$D$6:$D$305,"Paused"))</f>
        <v/>
      </c>
      <c r="P257" s="31">
        <f>IF($A257="","",IF($AE257=0,"○ Clear",IF($AA257=1,"△ No owner",IF($AC257=1,"△ Check Sits under",IF($AC257=2,"△ Outside the portfolio",IF($AB257=1,"△ No sponsor","△ No variance note"))))&amp;IF($AE257&gt;1," (+"&amp;($AE257-1)&amp;" more)","")))</f>
        <v/>
      </c>
      <c r="Q257" s="31">
        <f>IF(AND($A257&lt;&gt;"",OR($D257="Active",$D257="Paused")),1,0)</f>
        <v/>
      </c>
      <c r="R257" s="31">
        <f>IFERROR(INDEX($A$6:$A$305,MATCH(250,$S$6:$S$305,0)),"")</f>
        <v/>
      </c>
      <c r="S257" s="31">
        <f>IF(AND($A257&lt;&gt;"",$B257="Program"),COUNTIFS($B$6:$B257,"Program",$A$6:$A257,"&lt;&gt;"),"")</f>
        <v/>
      </c>
      <c r="T257" s="33">
        <f>IF(AND($A257&lt;&gt;"",$B257="Program"),SUMPRODUCT(MAX(($C$6:$C$305=$A257)*($B$6:$B$305="Project")*($D$6:$D$305&lt;&gt;"Proposed")*$I$6:$I$305)),0)</f>
        <v/>
      </c>
      <c r="U257" s="33">
        <f>IF($I257&lt;&gt;"",$I257,IF($T257&gt;0,$T257,""))</f>
        <v/>
      </c>
      <c r="V257" s="31">
        <f>IF(AND($A257&lt;&gt;"",$B257="Program"),SUMIFS($J$6:$J$305,$C$6:$C$305,$A257,$B$6:$B$305,"Project",$D$6:$D$305,"&lt;&gt;Proposed"),0)</f>
        <v/>
      </c>
      <c r="W257" s="31">
        <f>IF(AND($A257&lt;&gt;"",$B257="Program"),COUNTIFS($C$6:$C$305,$A257,$B$6:$B$305,"Project",$D$6:$D$305,"&lt;&gt;Proposed")-COUNTIFS($C$6:$C$305,$A257,$B$6:$B$305,"Project",$D$6:$D$305,"&lt;&gt;Proposed",$J$6:$J$305,"&gt;=0"),0)</f>
        <v/>
      </c>
      <c r="X257" s="31">
        <f>IF(OR($Q257=0,$H257=""),0,IF(AND($B257="Project",$H257&lt;TODAY()),3,IF($U257="",0,IF($U257&lt;=$H257,1,IF(NETWORKDAYS($H257,$U257)-1&gt;IF($B257="Program",Portfolio!$B$16,Portfolio!$B$15),3,2)))))</f>
        <v/>
      </c>
      <c r="Y257" s="31">
        <f>IF(OR($Q257=0,$K257="",$K257=0),0,IF(AND($B257="Project",$J257=""),0,IF(IF($B257="Program",$V257,$J257)&gt;$K257*(1+Portfolio!$B$17),3,IF(IF($B257="Program",$V257,$J257)&gt;$K257,2,IF(AND($B257="Program",OR($W257&gt;0,$V257=0)),0,1)))))</f>
        <v/>
      </c>
      <c r="Z257" s="31">
        <f>IF($A257="",0,IF($C257="Portfolio",1,IF(AND($B257="Project",$C257&lt;&gt;"",$C257&lt;&gt;"Outside the portfolio"),IFERROR(IF(AND(INDEX($B$6:$B$305,MATCH($C257,$A$6:$A$305,0))="Program",INDEX($C$6:$C$305,MATCH($C257,$A$6:$A$305,0))="Portfolio"),1,0),0),0)))</f>
        <v/>
      </c>
      <c r="AA257" s="31">
        <f>IF(AND($A257&lt;&gt;"",$E257="",OR($Q257=1,$D257="Proposed")),1,0)</f>
        <v/>
      </c>
      <c r="AB257" s="31">
        <f>IF(AND($A257&lt;&gt;"",$B257="Program",$F257="",$Q257=1),1,0)</f>
        <v/>
      </c>
      <c r="AC257" s="31">
        <f>IF(OR($A257="",$D257="Completed",$D257="Terminated"),0,IF($C257="",1,IF($C257="Portfolio",0,IF($C257="Outside the portfolio",IF($Q257=1,2,0),IF($B257="Project",IF(IFERROR(INDEX($B$6:$B$305,MATCH($C257,$A$6:$A$305,0)),"")="Program",0,1),1)))))</f>
        <v/>
      </c>
      <c r="AD257" s="31">
        <f>IF(AND($A257&lt;&gt;"",OR($M257="■ Red",$M257="◧ Amber"),$L257=""),1,0)</f>
        <v/>
      </c>
      <c r="AE257" s="31">
        <f>$AA257+$AB257+IF($AC257&gt;0,1,0)+$AD257</f>
        <v/>
      </c>
      <c r="AJ257" s="14" t="n"/>
      <c r="AK257" s="29" t="n"/>
      <c r="AL257" s="31">
        <f>IF(AND($Q257=1,$Z257=1),1,0)</f>
        <v/>
      </c>
      <c r="AM257" s="31">
        <f>IF(AND($AL257=1,$AJ257&lt;&gt;""),MAX(0,TODAY()-$AJ257),"")</f>
        <v/>
      </c>
      <c r="AN257" s="31">
        <f>IF(OR($AL257=0,COUNT($AJ$6:$AJ$305)=0),0,IF($AJ257="",1,IF(TODAY()-$AJ257&gt;Board!$B$40,1,0)))</f>
        <v/>
      </c>
      <c r="AO257" s="31">
        <f>IF($AL257=0,0,IF($M257="■ Red",3,IF($M257="◧ Amber",2,IF($M257="□ On track",1,0))))</f>
        <v/>
      </c>
      <c r="AP257" s="31">
        <f>IF($AL257=0,0,IF($AK257="Will not hold",3,IF($AK257="At risk",2,IF($AK257="Will hold",1,0))))</f>
        <v/>
      </c>
      <c r="AQ257" s="31">
        <f>IF($AL257=0,"",IF($AO257=3,0,IF($AO257=2,1,IF(AND($AP257&gt;=2,$AP257&gt;$AO257),2,""))))</f>
        <v/>
      </c>
      <c r="AR257" s="31">
        <f>IF($AQ257="","",$AQ257*1000+257)</f>
        <v/>
      </c>
      <c r="AS257" s="31">
        <f>IF(AND($AL257=1,$AO257&gt;=2,$AP257&gt;=1,$AP257&lt;$AO257),1,0)</f>
        <v/>
      </c>
      <c r="AT257" s="31">
        <f>IF(AND($AL257=1,$AO257&gt;=2,$AP257=0),1,0)</f>
        <v/>
      </c>
      <c r="AU257" s="31">
        <f>IF(AND($AL257=1,$U257&lt;&gt;"",$U257&lt;TODAY()),1,0)</f>
        <v/>
      </c>
      <c r="AV257" s="31">
        <f>IF(OR($A257="",$AJ257="",Portfolio!$B$10=""),0,IF($AJ257&lt;=Portfolio!$B$10,0,IF(AND($D257="Completed",$Z257=1),1,IF(AND($D257="Terminated",$Z257=1),2,IF(AND($Q257=1,$Z257=0),3,0)))))</f>
        <v/>
      </c>
      <c r="AW257" s="31">
        <f>IF($AV257&gt;0,COUNTIF($AV$6:$AV257,"&gt;0"),"")</f>
        <v/>
      </c>
      <c r="AX257" s="31">
        <f>IF($AL257=0,"",IF(AND($B257="Project",$H257&lt;&gt;"",$H257&lt;TODAY()),"Planned finish "&amp;TEXT($H257,"d mmm")&amp;" has passed",IF($X257&gt;=2,(NETWORKDAYS($H257,$U257)-1)&amp;" working days past plan","")))</f>
        <v/>
      </c>
      <c r="AY257" s="31">
        <f>IF($AL257=0,"",IF($Y257&gt;=2,"Over budget by "&amp;TEXT(IF($B257="Program",$V257,$J257)-$K257,"#,##0"),""))</f>
        <v/>
      </c>
      <c r="AZ257" s="31">
        <f>IF(AND($AL257=1,$U257&lt;&gt;""),IF(AND(N($U257)&gt;=TODAY(),N($U257)&lt;=TODAY()+Board!$B$41),1,0),0)</f>
        <v/>
      </c>
    </row>
    <row r="258">
      <c r="A258" s="29" t="n"/>
      <c r="B258" s="29" t="n"/>
      <c r="C258" s="29" t="n"/>
      <c r="D258" s="29" t="n"/>
      <c r="E258" s="29" t="n"/>
      <c r="F258" s="29" t="n"/>
      <c r="G258" s="29" t="n"/>
      <c r="H258" s="30" t="n"/>
      <c r="I258" s="30" t="n"/>
      <c r="J258" s="19" t="n"/>
      <c r="K258" s="19" t="n"/>
      <c r="L258" s="26" t="n"/>
      <c r="M258" s="31">
        <f>IF($A258="","",IF($D258="","Not read",IF($Q258=0,"Not counted",IF(MAX($X258,$Y258)=3,"■ Red",IF(MAX($X258,$Y258)=2,"◧ Amber",IF(MAX($X258,$Y258)=1,"□ On track","Not read"))))))</f>
        <v/>
      </c>
      <c r="N258" s="31">
        <f>IF(OR($A258="",$B258&lt;&gt;"Program"),"","■ "&amp;COUNTIFS($C$6:$C$305,$A258,$M$6:$M$305,"■ Red")&amp;" Red, ◧ "&amp;COUNTIFS($C$6:$C$305,$A258,$M$6:$M$305,"◧ Amber")&amp;" Amber")</f>
        <v/>
      </c>
      <c r="O258" s="32">
        <f>IF(OR($A258="",$E258=""),"",COUNTIFS($E$6:$E$305,$E258,$D$6:$D$305,"Active")+COUNTIFS($E$6:$E$305,$E258,$D$6:$D$305,"Paused"))</f>
        <v/>
      </c>
      <c r="P258" s="31">
        <f>IF($A258="","",IF($AE258=0,"○ Clear",IF($AA258=1,"△ No owner",IF($AC258=1,"△ Check Sits under",IF($AC258=2,"△ Outside the portfolio",IF($AB258=1,"△ No sponsor","△ No variance note"))))&amp;IF($AE258&gt;1," (+"&amp;($AE258-1)&amp;" more)","")))</f>
        <v/>
      </c>
      <c r="Q258" s="31">
        <f>IF(AND($A258&lt;&gt;"",OR($D258="Active",$D258="Paused")),1,0)</f>
        <v/>
      </c>
      <c r="R258" s="31">
        <f>IFERROR(INDEX($A$6:$A$305,MATCH(251,$S$6:$S$305,0)),"")</f>
        <v/>
      </c>
      <c r="S258" s="31">
        <f>IF(AND($A258&lt;&gt;"",$B258="Program"),COUNTIFS($B$6:$B258,"Program",$A$6:$A258,"&lt;&gt;"),"")</f>
        <v/>
      </c>
      <c r="T258" s="33">
        <f>IF(AND($A258&lt;&gt;"",$B258="Program"),SUMPRODUCT(MAX(($C$6:$C$305=$A258)*($B$6:$B$305="Project")*($D$6:$D$305&lt;&gt;"Proposed")*$I$6:$I$305)),0)</f>
        <v/>
      </c>
      <c r="U258" s="33">
        <f>IF($I258&lt;&gt;"",$I258,IF($T258&gt;0,$T258,""))</f>
        <v/>
      </c>
      <c r="V258" s="31">
        <f>IF(AND($A258&lt;&gt;"",$B258="Program"),SUMIFS($J$6:$J$305,$C$6:$C$305,$A258,$B$6:$B$305,"Project",$D$6:$D$305,"&lt;&gt;Proposed"),0)</f>
        <v/>
      </c>
      <c r="W258" s="31">
        <f>IF(AND($A258&lt;&gt;"",$B258="Program"),COUNTIFS($C$6:$C$305,$A258,$B$6:$B$305,"Project",$D$6:$D$305,"&lt;&gt;Proposed")-COUNTIFS($C$6:$C$305,$A258,$B$6:$B$305,"Project",$D$6:$D$305,"&lt;&gt;Proposed",$J$6:$J$305,"&gt;=0"),0)</f>
        <v/>
      </c>
      <c r="X258" s="31">
        <f>IF(OR($Q258=0,$H258=""),0,IF(AND($B258="Project",$H258&lt;TODAY()),3,IF($U258="",0,IF($U258&lt;=$H258,1,IF(NETWORKDAYS($H258,$U258)-1&gt;IF($B258="Program",Portfolio!$B$16,Portfolio!$B$15),3,2)))))</f>
        <v/>
      </c>
      <c r="Y258" s="31">
        <f>IF(OR($Q258=0,$K258="",$K258=0),0,IF(AND($B258="Project",$J258=""),0,IF(IF($B258="Program",$V258,$J258)&gt;$K258*(1+Portfolio!$B$17),3,IF(IF($B258="Program",$V258,$J258)&gt;$K258,2,IF(AND($B258="Program",OR($W258&gt;0,$V258=0)),0,1)))))</f>
        <v/>
      </c>
      <c r="Z258" s="31">
        <f>IF($A258="",0,IF($C258="Portfolio",1,IF(AND($B258="Project",$C258&lt;&gt;"",$C258&lt;&gt;"Outside the portfolio"),IFERROR(IF(AND(INDEX($B$6:$B$305,MATCH($C258,$A$6:$A$305,0))="Program",INDEX($C$6:$C$305,MATCH($C258,$A$6:$A$305,0))="Portfolio"),1,0),0),0)))</f>
        <v/>
      </c>
      <c r="AA258" s="31">
        <f>IF(AND($A258&lt;&gt;"",$E258="",OR($Q258=1,$D258="Proposed")),1,0)</f>
        <v/>
      </c>
      <c r="AB258" s="31">
        <f>IF(AND($A258&lt;&gt;"",$B258="Program",$F258="",$Q258=1),1,0)</f>
        <v/>
      </c>
      <c r="AC258" s="31">
        <f>IF(OR($A258="",$D258="Completed",$D258="Terminated"),0,IF($C258="",1,IF($C258="Portfolio",0,IF($C258="Outside the portfolio",IF($Q258=1,2,0),IF($B258="Project",IF(IFERROR(INDEX($B$6:$B$305,MATCH($C258,$A$6:$A$305,0)),"")="Program",0,1),1)))))</f>
        <v/>
      </c>
      <c r="AD258" s="31">
        <f>IF(AND($A258&lt;&gt;"",OR($M258="■ Red",$M258="◧ Amber"),$L258=""),1,0)</f>
        <v/>
      </c>
      <c r="AE258" s="31">
        <f>$AA258+$AB258+IF($AC258&gt;0,1,0)+$AD258</f>
        <v/>
      </c>
      <c r="AJ258" s="14" t="n"/>
      <c r="AK258" s="29" t="n"/>
      <c r="AL258" s="31">
        <f>IF(AND($Q258=1,$Z258=1),1,0)</f>
        <v/>
      </c>
      <c r="AM258" s="31">
        <f>IF(AND($AL258=1,$AJ258&lt;&gt;""),MAX(0,TODAY()-$AJ258),"")</f>
        <v/>
      </c>
      <c r="AN258" s="31">
        <f>IF(OR($AL258=0,COUNT($AJ$6:$AJ$305)=0),0,IF($AJ258="",1,IF(TODAY()-$AJ258&gt;Board!$B$40,1,0)))</f>
        <v/>
      </c>
      <c r="AO258" s="31">
        <f>IF($AL258=0,0,IF($M258="■ Red",3,IF($M258="◧ Amber",2,IF($M258="□ On track",1,0))))</f>
        <v/>
      </c>
      <c r="AP258" s="31">
        <f>IF($AL258=0,0,IF($AK258="Will not hold",3,IF($AK258="At risk",2,IF($AK258="Will hold",1,0))))</f>
        <v/>
      </c>
      <c r="AQ258" s="31">
        <f>IF($AL258=0,"",IF($AO258=3,0,IF($AO258=2,1,IF(AND($AP258&gt;=2,$AP258&gt;$AO258),2,""))))</f>
        <v/>
      </c>
      <c r="AR258" s="31">
        <f>IF($AQ258="","",$AQ258*1000+258)</f>
        <v/>
      </c>
      <c r="AS258" s="31">
        <f>IF(AND($AL258=1,$AO258&gt;=2,$AP258&gt;=1,$AP258&lt;$AO258),1,0)</f>
        <v/>
      </c>
      <c r="AT258" s="31">
        <f>IF(AND($AL258=1,$AO258&gt;=2,$AP258=0),1,0)</f>
        <v/>
      </c>
      <c r="AU258" s="31">
        <f>IF(AND($AL258=1,$U258&lt;&gt;"",$U258&lt;TODAY()),1,0)</f>
        <v/>
      </c>
      <c r="AV258" s="31">
        <f>IF(OR($A258="",$AJ258="",Portfolio!$B$10=""),0,IF($AJ258&lt;=Portfolio!$B$10,0,IF(AND($D258="Completed",$Z258=1),1,IF(AND($D258="Terminated",$Z258=1),2,IF(AND($Q258=1,$Z258=0),3,0)))))</f>
        <v/>
      </c>
      <c r="AW258" s="31">
        <f>IF($AV258&gt;0,COUNTIF($AV$6:$AV258,"&gt;0"),"")</f>
        <v/>
      </c>
      <c r="AX258" s="31">
        <f>IF($AL258=0,"",IF(AND($B258="Project",$H258&lt;&gt;"",$H258&lt;TODAY()),"Planned finish "&amp;TEXT($H258,"d mmm")&amp;" has passed",IF($X258&gt;=2,(NETWORKDAYS($H258,$U258)-1)&amp;" working days past plan","")))</f>
        <v/>
      </c>
      <c r="AY258" s="31">
        <f>IF($AL258=0,"",IF($Y258&gt;=2,"Over budget by "&amp;TEXT(IF($B258="Program",$V258,$J258)-$K258,"#,##0"),""))</f>
        <v/>
      </c>
      <c r="AZ258" s="31">
        <f>IF(AND($AL258=1,$U258&lt;&gt;""),IF(AND(N($U258)&gt;=TODAY(),N($U258)&lt;=TODAY()+Board!$B$41),1,0),0)</f>
        <v/>
      </c>
    </row>
    <row r="259">
      <c r="A259" s="29" t="n"/>
      <c r="B259" s="29" t="n"/>
      <c r="C259" s="29" t="n"/>
      <c r="D259" s="29" t="n"/>
      <c r="E259" s="29" t="n"/>
      <c r="F259" s="29" t="n"/>
      <c r="G259" s="29" t="n"/>
      <c r="H259" s="30" t="n"/>
      <c r="I259" s="30" t="n"/>
      <c r="J259" s="19" t="n"/>
      <c r="K259" s="19" t="n"/>
      <c r="L259" s="26" t="n"/>
      <c r="M259" s="31">
        <f>IF($A259="","",IF($D259="","Not read",IF($Q259=0,"Not counted",IF(MAX($X259,$Y259)=3,"■ Red",IF(MAX($X259,$Y259)=2,"◧ Amber",IF(MAX($X259,$Y259)=1,"□ On track","Not read"))))))</f>
        <v/>
      </c>
      <c r="N259" s="31">
        <f>IF(OR($A259="",$B259&lt;&gt;"Program"),"","■ "&amp;COUNTIFS($C$6:$C$305,$A259,$M$6:$M$305,"■ Red")&amp;" Red, ◧ "&amp;COUNTIFS($C$6:$C$305,$A259,$M$6:$M$305,"◧ Amber")&amp;" Amber")</f>
        <v/>
      </c>
      <c r="O259" s="32">
        <f>IF(OR($A259="",$E259=""),"",COUNTIFS($E$6:$E$305,$E259,$D$6:$D$305,"Active")+COUNTIFS($E$6:$E$305,$E259,$D$6:$D$305,"Paused"))</f>
        <v/>
      </c>
      <c r="P259" s="31">
        <f>IF($A259="","",IF($AE259=0,"○ Clear",IF($AA259=1,"△ No owner",IF($AC259=1,"△ Check Sits under",IF($AC259=2,"△ Outside the portfolio",IF($AB259=1,"△ No sponsor","△ No variance note"))))&amp;IF($AE259&gt;1," (+"&amp;($AE259-1)&amp;" more)","")))</f>
        <v/>
      </c>
      <c r="Q259" s="31">
        <f>IF(AND($A259&lt;&gt;"",OR($D259="Active",$D259="Paused")),1,0)</f>
        <v/>
      </c>
      <c r="R259" s="31">
        <f>IFERROR(INDEX($A$6:$A$305,MATCH(252,$S$6:$S$305,0)),"")</f>
        <v/>
      </c>
      <c r="S259" s="31">
        <f>IF(AND($A259&lt;&gt;"",$B259="Program"),COUNTIFS($B$6:$B259,"Program",$A$6:$A259,"&lt;&gt;"),"")</f>
        <v/>
      </c>
      <c r="T259" s="33">
        <f>IF(AND($A259&lt;&gt;"",$B259="Program"),SUMPRODUCT(MAX(($C$6:$C$305=$A259)*($B$6:$B$305="Project")*($D$6:$D$305&lt;&gt;"Proposed")*$I$6:$I$305)),0)</f>
        <v/>
      </c>
      <c r="U259" s="33">
        <f>IF($I259&lt;&gt;"",$I259,IF($T259&gt;0,$T259,""))</f>
        <v/>
      </c>
      <c r="V259" s="31">
        <f>IF(AND($A259&lt;&gt;"",$B259="Program"),SUMIFS($J$6:$J$305,$C$6:$C$305,$A259,$B$6:$B$305,"Project",$D$6:$D$305,"&lt;&gt;Proposed"),0)</f>
        <v/>
      </c>
      <c r="W259" s="31">
        <f>IF(AND($A259&lt;&gt;"",$B259="Program"),COUNTIFS($C$6:$C$305,$A259,$B$6:$B$305,"Project",$D$6:$D$305,"&lt;&gt;Proposed")-COUNTIFS($C$6:$C$305,$A259,$B$6:$B$305,"Project",$D$6:$D$305,"&lt;&gt;Proposed",$J$6:$J$305,"&gt;=0"),0)</f>
        <v/>
      </c>
      <c r="X259" s="31">
        <f>IF(OR($Q259=0,$H259=""),0,IF(AND($B259="Project",$H259&lt;TODAY()),3,IF($U259="",0,IF($U259&lt;=$H259,1,IF(NETWORKDAYS($H259,$U259)-1&gt;IF($B259="Program",Portfolio!$B$16,Portfolio!$B$15),3,2)))))</f>
        <v/>
      </c>
      <c r="Y259" s="31">
        <f>IF(OR($Q259=0,$K259="",$K259=0),0,IF(AND($B259="Project",$J259=""),0,IF(IF($B259="Program",$V259,$J259)&gt;$K259*(1+Portfolio!$B$17),3,IF(IF($B259="Program",$V259,$J259)&gt;$K259,2,IF(AND($B259="Program",OR($W259&gt;0,$V259=0)),0,1)))))</f>
        <v/>
      </c>
      <c r="Z259" s="31">
        <f>IF($A259="",0,IF($C259="Portfolio",1,IF(AND($B259="Project",$C259&lt;&gt;"",$C259&lt;&gt;"Outside the portfolio"),IFERROR(IF(AND(INDEX($B$6:$B$305,MATCH($C259,$A$6:$A$305,0))="Program",INDEX($C$6:$C$305,MATCH($C259,$A$6:$A$305,0))="Portfolio"),1,0),0),0)))</f>
        <v/>
      </c>
      <c r="AA259" s="31">
        <f>IF(AND($A259&lt;&gt;"",$E259="",OR($Q259=1,$D259="Proposed")),1,0)</f>
        <v/>
      </c>
      <c r="AB259" s="31">
        <f>IF(AND($A259&lt;&gt;"",$B259="Program",$F259="",$Q259=1),1,0)</f>
        <v/>
      </c>
      <c r="AC259" s="31">
        <f>IF(OR($A259="",$D259="Completed",$D259="Terminated"),0,IF($C259="",1,IF($C259="Portfolio",0,IF($C259="Outside the portfolio",IF($Q259=1,2,0),IF($B259="Project",IF(IFERROR(INDEX($B$6:$B$305,MATCH($C259,$A$6:$A$305,0)),"")="Program",0,1),1)))))</f>
        <v/>
      </c>
      <c r="AD259" s="31">
        <f>IF(AND($A259&lt;&gt;"",OR($M259="■ Red",$M259="◧ Amber"),$L259=""),1,0)</f>
        <v/>
      </c>
      <c r="AE259" s="31">
        <f>$AA259+$AB259+IF($AC259&gt;0,1,0)+$AD259</f>
        <v/>
      </c>
      <c r="AJ259" s="14" t="n"/>
      <c r="AK259" s="29" t="n"/>
      <c r="AL259" s="31">
        <f>IF(AND($Q259=1,$Z259=1),1,0)</f>
        <v/>
      </c>
      <c r="AM259" s="31">
        <f>IF(AND($AL259=1,$AJ259&lt;&gt;""),MAX(0,TODAY()-$AJ259),"")</f>
        <v/>
      </c>
      <c r="AN259" s="31">
        <f>IF(OR($AL259=0,COUNT($AJ$6:$AJ$305)=0),0,IF($AJ259="",1,IF(TODAY()-$AJ259&gt;Board!$B$40,1,0)))</f>
        <v/>
      </c>
      <c r="AO259" s="31">
        <f>IF($AL259=0,0,IF($M259="■ Red",3,IF($M259="◧ Amber",2,IF($M259="□ On track",1,0))))</f>
        <v/>
      </c>
      <c r="AP259" s="31">
        <f>IF($AL259=0,0,IF($AK259="Will not hold",3,IF($AK259="At risk",2,IF($AK259="Will hold",1,0))))</f>
        <v/>
      </c>
      <c r="AQ259" s="31">
        <f>IF($AL259=0,"",IF($AO259=3,0,IF($AO259=2,1,IF(AND($AP259&gt;=2,$AP259&gt;$AO259),2,""))))</f>
        <v/>
      </c>
      <c r="AR259" s="31">
        <f>IF($AQ259="","",$AQ259*1000+259)</f>
        <v/>
      </c>
      <c r="AS259" s="31">
        <f>IF(AND($AL259=1,$AO259&gt;=2,$AP259&gt;=1,$AP259&lt;$AO259),1,0)</f>
        <v/>
      </c>
      <c r="AT259" s="31">
        <f>IF(AND($AL259=1,$AO259&gt;=2,$AP259=0),1,0)</f>
        <v/>
      </c>
      <c r="AU259" s="31">
        <f>IF(AND($AL259=1,$U259&lt;&gt;"",$U259&lt;TODAY()),1,0)</f>
        <v/>
      </c>
      <c r="AV259" s="31">
        <f>IF(OR($A259="",$AJ259="",Portfolio!$B$10=""),0,IF($AJ259&lt;=Portfolio!$B$10,0,IF(AND($D259="Completed",$Z259=1),1,IF(AND($D259="Terminated",$Z259=1),2,IF(AND($Q259=1,$Z259=0),3,0)))))</f>
        <v/>
      </c>
      <c r="AW259" s="31">
        <f>IF($AV259&gt;0,COUNTIF($AV$6:$AV259,"&gt;0"),"")</f>
        <v/>
      </c>
      <c r="AX259" s="31">
        <f>IF($AL259=0,"",IF(AND($B259="Project",$H259&lt;&gt;"",$H259&lt;TODAY()),"Planned finish "&amp;TEXT($H259,"d mmm")&amp;" has passed",IF($X259&gt;=2,(NETWORKDAYS($H259,$U259)-1)&amp;" working days past plan","")))</f>
        <v/>
      </c>
      <c r="AY259" s="31">
        <f>IF($AL259=0,"",IF($Y259&gt;=2,"Over budget by "&amp;TEXT(IF($B259="Program",$V259,$J259)-$K259,"#,##0"),""))</f>
        <v/>
      </c>
      <c r="AZ259" s="31">
        <f>IF(AND($AL259=1,$U259&lt;&gt;""),IF(AND(N($U259)&gt;=TODAY(),N($U259)&lt;=TODAY()+Board!$B$41),1,0),0)</f>
        <v/>
      </c>
    </row>
    <row r="260">
      <c r="A260" s="29" t="n"/>
      <c r="B260" s="29" t="n"/>
      <c r="C260" s="29" t="n"/>
      <c r="D260" s="29" t="n"/>
      <c r="E260" s="29" t="n"/>
      <c r="F260" s="29" t="n"/>
      <c r="G260" s="29" t="n"/>
      <c r="H260" s="30" t="n"/>
      <c r="I260" s="30" t="n"/>
      <c r="J260" s="19" t="n"/>
      <c r="K260" s="19" t="n"/>
      <c r="L260" s="26" t="n"/>
      <c r="M260" s="31">
        <f>IF($A260="","",IF($D260="","Not read",IF($Q260=0,"Not counted",IF(MAX($X260,$Y260)=3,"■ Red",IF(MAX($X260,$Y260)=2,"◧ Amber",IF(MAX($X260,$Y260)=1,"□ On track","Not read"))))))</f>
        <v/>
      </c>
      <c r="N260" s="31">
        <f>IF(OR($A260="",$B260&lt;&gt;"Program"),"","■ "&amp;COUNTIFS($C$6:$C$305,$A260,$M$6:$M$305,"■ Red")&amp;" Red, ◧ "&amp;COUNTIFS($C$6:$C$305,$A260,$M$6:$M$305,"◧ Amber")&amp;" Amber")</f>
        <v/>
      </c>
      <c r="O260" s="32">
        <f>IF(OR($A260="",$E260=""),"",COUNTIFS($E$6:$E$305,$E260,$D$6:$D$305,"Active")+COUNTIFS($E$6:$E$305,$E260,$D$6:$D$305,"Paused"))</f>
        <v/>
      </c>
      <c r="P260" s="31">
        <f>IF($A260="","",IF($AE260=0,"○ Clear",IF($AA260=1,"△ No owner",IF($AC260=1,"△ Check Sits under",IF($AC260=2,"△ Outside the portfolio",IF($AB260=1,"△ No sponsor","△ No variance note"))))&amp;IF($AE260&gt;1," (+"&amp;($AE260-1)&amp;" more)","")))</f>
        <v/>
      </c>
      <c r="Q260" s="31">
        <f>IF(AND($A260&lt;&gt;"",OR($D260="Active",$D260="Paused")),1,0)</f>
        <v/>
      </c>
      <c r="R260" s="31">
        <f>IFERROR(INDEX($A$6:$A$305,MATCH(253,$S$6:$S$305,0)),"")</f>
        <v/>
      </c>
      <c r="S260" s="31">
        <f>IF(AND($A260&lt;&gt;"",$B260="Program"),COUNTIFS($B$6:$B260,"Program",$A$6:$A260,"&lt;&gt;"),"")</f>
        <v/>
      </c>
      <c r="T260" s="33">
        <f>IF(AND($A260&lt;&gt;"",$B260="Program"),SUMPRODUCT(MAX(($C$6:$C$305=$A260)*($B$6:$B$305="Project")*($D$6:$D$305&lt;&gt;"Proposed")*$I$6:$I$305)),0)</f>
        <v/>
      </c>
      <c r="U260" s="33">
        <f>IF($I260&lt;&gt;"",$I260,IF($T260&gt;0,$T260,""))</f>
        <v/>
      </c>
      <c r="V260" s="31">
        <f>IF(AND($A260&lt;&gt;"",$B260="Program"),SUMIFS($J$6:$J$305,$C$6:$C$305,$A260,$B$6:$B$305,"Project",$D$6:$D$305,"&lt;&gt;Proposed"),0)</f>
        <v/>
      </c>
      <c r="W260" s="31">
        <f>IF(AND($A260&lt;&gt;"",$B260="Program"),COUNTIFS($C$6:$C$305,$A260,$B$6:$B$305,"Project",$D$6:$D$305,"&lt;&gt;Proposed")-COUNTIFS($C$6:$C$305,$A260,$B$6:$B$305,"Project",$D$6:$D$305,"&lt;&gt;Proposed",$J$6:$J$305,"&gt;=0"),0)</f>
        <v/>
      </c>
      <c r="X260" s="31">
        <f>IF(OR($Q260=0,$H260=""),0,IF(AND($B260="Project",$H260&lt;TODAY()),3,IF($U260="",0,IF($U260&lt;=$H260,1,IF(NETWORKDAYS($H260,$U260)-1&gt;IF($B260="Program",Portfolio!$B$16,Portfolio!$B$15),3,2)))))</f>
        <v/>
      </c>
      <c r="Y260" s="31">
        <f>IF(OR($Q260=0,$K260="",$K260=0),0,IF(AND($B260="Project",$J260=""),0,IF(IF($B260="Program",$V260,$J260)&gt;$K260*(1+Portfolio!$B$17),3,IF(IF($B260="Program",$V260,$J260)&gt;$K260,2,IF(AND($B260="Program",OR($W260&gt;0,$V260=0)),0,1)))))</f>
        <v/>
      </c>
      <c r="Z260" s="31">
        <f>IF($A260="",0,IF($C260="Portfolio",1,IF(AND($B260="Project",$C260&lt;&gt;"",$C260&lt;&gt;"Outside the portfolio"),IFERROR(IF(AND(INDEX($B$6:$B$305,MATCH($C260,$A$6:$A$305,0))="Program",INDEX($C$6:$C$305,MATCH($C260,$A$6:$A$305,0))="Portfolio"),1,0),0),0)))</f>
        <v/>
      </c>
      <c r="AA260" s="31">
        <f>IF(AND($A260&lt;&gt;"",$E260="",OR($Q260=1,$D260="Proposed")),1,0)</f>
        <v/>
      </c>
      <c r="AB260" s="31">
        <f>IF(AND($A260&lt;&gt;"",$B260="Program",$F260="",$Q260=1),1,0)</f>
        <v/>
      </c>
      <c r="AC260" s="31">
        <f>IF(OR($A260="",$D260="Completed",$D260="Terminated"),0,IF($C260="",1,IF($C260="Portfolio",0,IF($C260="Outside the portfolio",IF($Q260=1,2,0),IF($B260="Project",IF(IFERROR(INDEX($B$6:$B$305,MATCH($C260,$A$6:$A$305,0)),"")="Program",0,1),1)))))</f>
        <v/>
      </c>
      <c r="AD260" s="31">
        <f>IF(AND($A260&lt;&gt;"",OR($M260="■ Red",$M260="◧ Amber"),$L260=""),1,0)</f>
        <v/>
      </c>
      <c r="AE260" s="31">
        <f>$AA260+$AB260+IF($AC260&gt;0,1,0)+$AD260</f>
        <v/>
      </c>
      <c r="AJ260" s="14" t="n"/>
      <c r="AK260" s="29" t="n"/>
      <c r="AL260" s="31">
        <f>IF(AND($Q260=1,$Z260=1),1,0)</f>
        <v/>
      </c>
      <c r="AM260" s="31">
        <f>IF(AND($AL260=1,$AJ260&lt;&gt;""),MAX(0,TODAY()-$AJ260),"")</f>
        <v/>
      </c>
      <c r="AN260" s="31">
        <f>IF(OR($AL260=0,COUNT($AJ$6:$AJ$305)=0),0,IF($AJ260="",1,IF(TODAY()-$AJ260&gt;Board!$B$40,1,0)))</f>
        <v/>
      </c>
      <c r="AO260" s="31">
        <f>IF($AL260=0,0,IF($M260="■ Red",3,IF($M260="◧ Amber",2,IF($M260="□ On track",1,0))))</f>
        <v/>
      </c>
      <c r="AP260" s="31">
        <f>IF($AL260=0,0,IF($AK260="Will not hold",3,IF($AK260="At risk",2,IF($AK260="Will hold",1,0))))</f>
        <v/>
      </c>
      <c r="AQ260" s="31">
        <f>IF($AL260=0,"",IF($AO260=3,0,IF($AO260=2,1,IF(AND($AP260&gt;=2,$AP260&gt;$AO260),2,""))))</f>
        <v/>
      </c>
      <c r="AR260" s="31">
        <f>IF($AQ260="","",$AQ260*1000+260)</f>
        <v/>
      </c>
      <c r="AS260" s="31">
        <f>IF(AND($AL260=1,$AO260&gt;=2,$AP260&gt;=1,$AP260&lt;$AO260),1,0)</f>
        <v/>
      </c>
      <c r="AT260" s="31">
        <f>IF(AND($AL260=1,$AO260&gt;=2,$AP260=0),1,0)</f>
        <v/>
      </c>
      <c r="AU260" s="31">
        <f>IF(AND($AL260=1,$U260&lt;&gt;"",$U260&lt;TODAY()),1,0)</f>
        <v/>
      </c>
      <c r="AV260" s="31">
        <f>IF(OR($A260="",$AJ260="",Portfolio!$B$10=""),0,IF($AJ260&lt;=Portfolio!$B$10,0,IF(AND($D260="Completed",$Z260=1),1,IF(AND($D260="Terminated",$Z260=1),2,IF(AND($Q260=1,$Z260=0),3,0)))))</f>
        <v/>
      </c>
      <c r="AW260" s="31">
        <f>IF($AV260&gt;0,COUNTIF($AV$6:$AV260,"&gt;0"),"")</f>
        <v/>
      </c>
      <c r="AX260" s="31">
        <f>IF($AL260=0,"",IF(AND($B260="Project",$H260&lt;&gt;"",$H260&lt;TODAY()),"Planned finish "&amp;TEXT($H260,"d mmm")&amp;" has passed",IF($X260&gt;=2,(NETWORKDAYS($H260,$U260)-1)&amp;" working days past plan","")))</f>
        <v/>
      </c>
      <c r="AY260" s="31">
        <f>IF($AL260=0,"",IF($Y260&gt;=2,"Over budget by "&amp;TEXT(IF($B260="Program",$V260,$J260)-$K260,"#,##0"),""))</f>
        <v/>
      </c>
      <c r="AZ260" s="31">
        <f>IF(AND($AL260=1,$U260&lt;&gt;""),IF(AND(N($U260)&gt;=TODAY(),N($U260)&lt;=TODAY()+Board!$B$41),1,0),0)</f>
        <v/>
      </c>
    </row>
    <row r="261">
      <c r="A261" s="29" t="n"/>
      <c r="B261" s="29" t="n"/>
      <c r="C261" s="29" t="n"/>
      <c r="D261" s="29" t="n"/>
      <c r="E261" s="29" t="n"/>
      <c r="F261" s="29" t="n"/>
      <c r="G261" s="29" t="n"/>
      <c r="H261" s="30" t="n"/>
      <c r="I261" s="30" t="n"/>
      <c r="J261" s="19" t="n"/>
      <c r="K261" s="19" t="n"/>
      <c r="L261" s="26" t="n"/>
      <c r="M261" s="31">
        <f>IF($A261="","",IF($D261="","Not read",IF($Q261=0,"Not counted",IF(MAX($X261,$Y261)=3,"■ Red",IF(MAX($X261,$Y261)=2,"◧ Amber",IF(MAX($X261,$Y261)=1,"□ On track","Not read"))))))</f>
        <v/>
      </c>
      <c r="N261" s="31">
        <f>IF(OR($A261="",$B261&lt;&gt;"Program"),"","■ "&amp;COUNTIFS($C$6:$C$305,$A261,$M$6:$M$305,"■ Red")&amp;" Red, ◧ "&amp;COUNTIFS($C$6:$C$305,$A261,$M$6:$M$305,"◧ Amber")&amp;" Amber")</f>
        <v/>
      </c>
      <c r="O261" s="32">
        <f>IF(OR($A261="",$E261=""),"",COUNTIFS($E$6:$E$305,$E261,$D$6:$D$305,"Active")+COUNTIFS($E$6:$E$305,$E261,$D$6:$D$305,"Paused"))</f>
        <v/>
      </c>
      <c r="P261" s="31">
        <f>IF($A261="","",IF($AE261=0,"○ Clear",IF($AA261=1,"△ No owner",IF($AC261=1,"△ Check Sits under",IF($AC261=2,"△ Outside the portfolio",IF($AB261=1,"△ No sponsor","△ No variance note"))))&amp;IF($AE261&gt;1," (+"&amp;($AE261-1)&amp;" more)","")))</f>
        <v/>
      </c>
      <c r="Q261" s="31">
        <f>IF(AND($A261&lt;&gt;"",OR($D261="Active",$D261="Paused")),1,0)</f>
        <v/>
      </c>
      <c r="R261" s="31">
        <f>IFERROR(INDEX($A$6:$A$305,MATCH(254,$S$6:$S$305,0)),"")</f>
        <v/>
      </c>
      <c r="S261" s="31">
        <f>IF(AND($A261&lt;&gt;"",$B261="Program"),COUNTIFS($B$6:$B261,"Program",$A$6:$A261,"&lt;&gt;"),"")</f>
        <v/>
      </c>
      <c r="T261" s="33">
        <f>IF(AND($A261&lt;&gt;"",$B261="Program"),SUMPRODUCT(MAX(($C$6:$C$305=$A261)*($B$6:$B$305="Project")*($D$6:$D$305&lt;&gt;"Proposed")*$I$6:$I$305)),0)</f>
        <v/>
      </c>
      <c r="U261" s="33">
        <f>IF($I261&lt;&gt;"",$I261,IF($T261&gt;0,$T261,""))</f>
        <v/>
      </c>
      <c r="V261" s="31">
        <f>IF(AND($A261&lt;&gt;"",$B261="Program"),SUMIFS($J$6:$J$305,$C$6:$C$305,$A261,$B$6:$B$305,"Project",$D$6:$D$305,"&lt;&gt;Proposed"),0)</f>
        <v/>
      </c>
      <c r="W261" s="31">
        <f>IF(AND($A261&lt;&gt;"",$B261="Program"),COUNTIFS($C$6:$C$305,$A261,$B$6:$B$305,"Project",$D$6:$D$305,"&lt;&gt;Proposed")-COUNTIFS($C$6:$C$305,$A261,$B$6:$B$305,"Project",$D$6:$D$305,"&lt;&gt;Proposed",$J$6:$J$305,"&gt;=0"),0)</f>
        <v/>
      </c>
      <c r="X261" s="31">
        <f>IF(OR($Q261=0,$H261=""),0,IF(AND($B261="Project",$H261&lt;TODAY()),3,IF($U261="",0,IF($U261&lt;=$H261,1,IF(NETWORKDAYS($H261,$U261)-1&gt;IF($B261="Program",Portfolio!$B$16,Portfolio!$B$15),3,2)))))</f>
        <v/>
      </c>
      <c r="Y261" s="31">
        <f>IF(OR($Q261=0,$K261="",$K261=0),0,IF(AND($B261="Project",$J261=""),0,IF(IF($B261="Program",$V261,$J261)&gt;$K261*(1+Portfolio!$B$17),3,IF(IF($B261="Program",$V261,$J261)&gt;$K261,2,IF(AND($B261="Program",OR($W261&gt;0,$V261=0)),0,1)))))</f>
        <v/>
      </c>
      <c r="Z261" s="31">
        <f>IF($A261="",0,IF($C261="Portfolio",1,IF(AND($B261="Project",$C261&lt;&gt;"",$C261&lt;&gt;"Outside the portfolio"),IFERROR(IF(AND(INDEX($B$6:$B$305,MATCH($C261,$A$6:$A$305,0))="Program",INDEX($C$6:$C$305,MATCH($C261,$A$6:$A$305,0))="Portfolio"),1,0),0),0)))</f>
        <v/>
      </c>
      <c r="AA261" s="31">
        <f>IF(AND($A261&lt;&gt;"",$E261="",OR($Q261=1,$D261="Proposed")),1,0)</f>
        <v/>
      </c>
      <c r="AB261" s="31">
        <f>IF(AND($A261&lt;&gt;"",$B261="Program",$F261="",$Q261=1),1,0)</f>
        <v/>
      </c>
      <c r="AC261" s="31">
        <f>IF(OR($A261="",$D261="Completed",$D261="Terminated"),0,IF($C261="",1,IF($C261="Portfolio",0,IF($C261="Outside the portfolio",IF($Q261=1,2,0),IF($B261="Project",IF(IFERROR(INDEX($B$6:$B$305,MATCH($C261,$A$6:$A$305,0)),"")="Program",0,1),1)))))</f>
        <v/>
      </c>
      <c r="AD261" s="31">
        <f>IF(AND($A261&lt;&gt;"",OR($M261="■ Red",$M261="◧ Amber"),$L261=""),1,0)</f>
        <v/>
      </c>
      <c r="AE261" s="31">
        <f>$AA261+$AB261+IF($AC261&gt;0,1,0)+$AD261</f>
        <v/>
      </c>
      <c r="AJ261" s="14" t="n"/>
      <c r="AK261" s="29" t="n"/>
      <c r="AL261" s="31">
        <f>IF(AND($Q261=1,$Z261=1),1,0)</f>
        <v/>
      </c>
      <c r="AM261" s="31">
        <f>IF(AND($AL261=1,$AJ261&lt;&gt;""),MAX(0,TODAY()-$AJ261),"")</f>
        <v/>
      </c>
      <c r="AN261" s="31">
        <f>IF(OR($AL261=0,COUNT($AJ$6:$AJ$305)=0),0,IF($AJ261="",1,IF(TODAY()-$AJ261&gt;Board!$B$40,1,0)))</f>
        <v/>
      </c>
      <c r="AO261" s="31">
        <f>IF($AL261=0,0,IF($M261="■ Red",3,IF($M261="◧ Amber",2,IF($M261="□ On track",1,0))))</f>
        <v/>
      </c>
      <c r="AP261" s="31">
        <f>IF($AL261=0,0,IF($AK261="Will not hold",3,IF($AK261="At risk",2,IF($AK261="Will hold",1,0))))</f>
        <v/>
      </c>
      <c r="AQ261" s="31">
        <f>IF($AL261=0,"",IF($AO261=3,0,IF($AO261=2,1,IF(AND($AP261&gt;=2,$AP261&gt;$AO261),2,""))))</f>
        <v/>
      </c>
      <c r="AR261" s="31">
        <f>IF($AQ261="","",$AQ261*1000+261)</f>
        <v/>
      </c>
      <c r="AS261" s="31">
        <f>IF(AND($AL261=1,$AO261&gt;=2,$AP261&gt;=1,$AP261&lt;$AO261),1,0)</f>
        <v/>
      </c>
      <c r="AT261" s="31">
        <f>IF(AND($AL261=1,$AO261&gt;=2,$AP261=0),1,0)</f>
        <v/>
      </c>
      <c r="AU261" s="31">
        <f>IF(AND($AL261=1,$U261&lt;&gt;"",$U261&lt;TODAY()),1,0)</f>
        <v/>
      </c>
      <c r="AV261" s="31">
        <f>IF(OR($A261="",$AJ261="",Portfolio!$B$10=""),0,IF($AJ261&lt;=Portfolio!$B$10,0,IF(AND($D261="Completed",$Z261=1),1,IF(AND($D261="Terminated",$Z261=1),2,IF(AND($Q261=1,$Z261=0),3,0)))))</f>
        <v/>
      </c>
      <c r="AW261" s="31">
        <f>IF($AV261&gt;0,COUNTIF($AV$6:$AV261,"&gt;0"),"")</f>
        <v/>
      </c>
      <c r="AX261" s="31">
        <f>IF($AL261=0,"",IF(AND($B261="Project",$H261&lt;&gt;"",$H261&lt;TODAY()),"Planned finish "&amp;TEXT($H261,"d mmm")&amp;" has passed",IF($X261&gt;=2,(NETWORKDAYS($H261,$U261)-1)&amp;" working days past plan","")))</f>
        <v/>
      </c>
      <c r="AY261" s="31">
        <f>IF($AL261=0,"",IF($Y261&gt;=2,"Over budget by "&amp;TEXT(IF($B261="Program",$V261,$J261)-$K261,"#,##0"),""))</f>
        <v/>
      </c>
      <c r="AZ261" s="31">
        <f>IF(AND($AL261=1,$U261&lt;&gt;""),IF(AND(N($U261)&gt;=TODAY(),N($U261)&lt;=TODAY()+Board!$B$41),1,0),0)</f>
        <v/>
      </c>
    </row>
    <row r="262">
      <c r="A262" s="29" t="n"/>
      <c r="B262" s="29" t="n"/>
      <c r="C262" s="29" t="n"/>
      <c r="D262" s="29" t="n"/>
      <c r="E262" s="29" t="n"/>
      <c r="F262" s="29" t="n"/>
      <c r="G262" s="29" t="n"/>
      <c r="H262" s="30" t="n"/>
      <c r="I262" s="30" t="n"/>
      <c r="J262" s="19" t="n"/>
      <c r="K262" s="19" t="n"/>
      <c r="L262" s="26" t="n"/>
      <c r="M262" s="31">
        <f>IF($A262="","",IF($D262="","Not read",IF($Q262=0,"Not counted",IF(MAX($X262,$Y262)=3,"■ Red",IF(MAX($X262,$Y262)=2,"◧ Amber",IF(MAX($X262,$Y262)=1,"□ On track","Not read"))))))</f>
        <v/>
      </c>
      <c r="N262" s="31">
        <f>IF(OR($A262="",$B262&lt;&gt;"Program"),"","■ "&amp;COUNTIFS($C$6:$C$305,$A262,$M$6:$M$305,"■ Red")&amp;" Red, ◧ "&amp;COUNTIFS($C$6:$C$305,$A262,$M$6:$M$305,"◧ Amber")&amp;" Amber")</f>
        <v/>
      </c>
      <c r="O262" s="32">
        <f>IF(OR($A262="",$E262=""),"",COUNTIFS($E$6:$E$305,$E262,$D$6:$D$305,"Active")+COUNTIFS($E$6:$E$305,$E262,$D$6:$D$305,"Paused"))</f>
        <v/>
      </c>
      <c r="P262" s="31">
        <f>IF($A262="","",IF($AE262=0,"○ Clear",IF($AA262=1,"△ No owner",IF($AC262=1,"△ Check Sits under",IF($AC262=2,"△ Outside the portfolio",IF($AB262=1,"△ No sponsor","△ No variance note"))))&amp;IF($AE262&gt;1," (+"&amp;($AE262-1)&amp;" more)","")))</f>
        <v/>
      </c>
      <c r="Q262" s="31">
        <f>IF(AND($A262&lt;&gt;"",OR($D262="Active",$D262="Paused")),1,0)</f>
        <v/>
      </c>
      <c r="R262" s="31">
        <f>IFERROR(INDEX($A$6:$A$305,MATCH(255,$S$6:$S$305,0)),"")</f>
        <v/>
      </c>
      <c r="S262" s="31">
        <f>IF(AND($A262&lt;&gt;"",$B262="Program"),COUNTIFS($B$6:$B262,"Program",$A$6:$A262,"&lt;&gt;"),"")</f>
        <v/>
      </c>
      <c r="T262" s="33">
        <f>IF(AND($A262&lt;&gt;"",$B262="Program"),SUMPRODUCT(MAX(($C$6:$C$305=$A262)*($B$6:$B$305="Project")*($D$6:$D$305&lt;&gt;"Proposed")*$I$6:$I$305)),0)</f>
        <v/>
      </c>
      <c r="U262" s="33">
        <f>IF($I262&lt;&gt;"",$I262,IF($T262&gt;0,$T262,""))</f>
        <v/>
      </c>
      <c r="V262" s="31">
        <f>IF(AND($A262&lt;&gt;"",$B262="Program"),SUMIFS($J$6:$J$305,$C$6:$C$305,$A262,$B$6:$B$305,"Project",$D$6:$D$305,"&lt;&gt;Proposed"),0)</f>
        <v/>
      </c>
      <c r="W262" s="31">
        <f>IF(AND($A262&lt;&gt;"",$B262="Program"),COUNTIFS($C$6:$C$305,$A262,$B$6:$B$305,"Project",$D$6:$D$305,"&lt;&gt;Proposed")-COUNTIFS($C$6:$C$305,$A262,$B$6:$B$305,"Project",$D$6:$D$305,"&lt;&gt;Proposed",$J$6:$J$305,"&gt;=0"),0)</f>
        <v/>
      </c>
      <c r="X262" s="31">
        <f>IF(OR($Q262=0,$H262=""),0,IF(AND($B262="Project",$H262&lt;TODAY()),3,IF($U262="",0,IF($U262&lt;=$H262,1,IF(NETWORKDAYS($H262,$U262)-1&gt;IF($B262="Program",Portfolio!$B$16,Portfolio!$B$15),3,2)))))</f>
        <v/>
      </c>
      <c r="Y262" s="31">
        <f>IF(OR($Q262=0,$K262="",$K262=0),0,IF(AND($B262="Project",$J262=""),0,IF(IF($B262="Program",$V262,$J262)&gt;$K262*(1+Portfolio!$B$17),3,IF(IF($B262="Program",$V262,$J262)&gt;$K262,2,IF(AND($B262="Program",OR($W262&gt;0,$V262=0)),0,1)))))</f>
        <v/>
      </c>
      <c r="Z262" s="31">
        <f>IF($A262="",0,IF($C262="Portfolio",1,IF(AND($B262="Project",$C262&lt;&gt;"",$C262&lt;&gt;"Outside the portfolio"),IFERROR(IF(AND(INDEX($B$6:$B$305,MATCH($C262,$A$6:$A$305,0))="Program",INDEX($C$6:$C$305,MATCH($C262,$A$6:$A$305,0))="Portfolio"),1,0),0),0)))</f>
        <v/>
      </c>
      <c r="AA262" s="31">
        <f>IF(AND($A262&lt;&gt;"",$E262="",OR($Q262=1,$D262="Proposed")),1,0)</f>
        <v/>
      </c>
      <c r="AB262" s="31">
        <f>IF(AND($A262&lt;&gt;"",$B262="Program",$F262="",$Q262=1),1,0)</f>
        <v/>
      </c>
      <c r="AC262" s="31">
        <f>IF(OR($A262="",$D262="Completed",$D262="Terminated"),0,IF($C262="",1,IF($C262="Portfolio",0,IF($C262="Outside the portfolio",IF($Q262=1,2,0),IF($B262="Project",IF(IFERROR(INDEX($B$6:$B$305,MATCH($C262,$A$6:$A$305,0)),"")="Program",0,1),1)))))</f>
        <v/>
      </c>
      <c r="AD262" s="31">
        <f>IF(AND($A262&lt;&gt;"",OR($M262="■ Red",$M262="◧ Amber"),$L262=""),1,0)</f>
        <v/>
      </c>
      <c r="AE262" s="31">
        <f>$AA262+$AB262+IF($AC262&gt;0,1,0)+$AD262</f>
        <v/>
      </c>
      <c r="AJ262" s="14" t="n"/>
      <c r="AK262" s="29" t="n"/>
      <c r="AL262" s="31">
        <f>IF(AND($Q262=1,$Z262=1),1,0)</f>
        <v/>
      </c>
      <c r="AM262" s="31">
        <f>IF(AND($AL262=1,$AJ262&lt;&gt;""),MAX(0,TODAY()-$AJ262),"")</f>
        <v/>
      </c>
      <c r="AN262" s="31">
        <f>IF(OR($AL262=0,COUNT($AJ$6:$AJ$305)=0),0,IF($AJ262="",1,IF(TODAY()-$AJ262&gt;Board!$B$40,1,0)))</f>
        <v/>
      </c>
      <c r="AO262" s="31">
        <f>IF($AL262=0,0,IF($M262="■ Red",3,IF($M262="◧ Amber",2,IF($M262="□ On track",1,0))))</f>
        <v/>
      </c>
      <c r="AP262" s="31">
        <f>IF($AL262=0,0,IF($AK262="Will not hold",3,IF($AK262="At risk",2,IF($AK262="Will hold",1,0))))</f>
        <v/>
      </c>
      <c r="AQ262" s="31">
        <f>IF($AL262=0,"",IF($AO262=3,0,IF($AO262=2,1,IF(AND($AP262&gt;=2,$AP262&gt;$AO262),2,""))))</f>
        <v/>
      </c>
      <c r="AR262" s="31">
        <f>IF($AQ262="","",$AQ262*1000+262)</f>
        <v/>
      </c>
      <c r="AS262" s="31">
        <f>IF(AND($AL262=1,$AO262&gt;=2,$AP262&gt;=1,$AP262&lt;$AO262),1,0)</f>
        <v/>
      </c>
      <c r="AT262" s="31">
        <f>IF(AND($AL262=1,$AO262&gt;=2,$AP262=0),1,0)</f>
        <v/>
      </c>
      <c r="AU262" s="31">
        <f>IF(AND($AL262=1,$U262&lt;&gt;"",$U262&lt;TODAY()),1,0)</f>
        <v/>
      </c>
      <c r="AV262" s="31">
        <f>IF(OR($A262="",$AJ262="",Portfolio!$B$10=""),0,IF($AJ262&lt;=Portfolio!$B$10,0,IF(AND($D262="Completed",$Z262=1),1,IF(AND($D262="Terminated",$Z262=1),2,IF(AND($Q262=1,$Z262=0),3,0)))))</f>
        <v/>
      </c>
      <c r="AW262" s="31">
        <f>IF($AV262&gt;0,COUNTIF($AV$6:$AV262,"&gt;0"),"")</f>
        <v/>
      </c>
      <c r="AX262" s="31">
        <f>IF($AL262=0,"",IF(AND($B262="Project",$H262&lt;&gt;"",$H262&lt;TODAY()),"Planned finish "&amp;TEXT($H262,"d mmm")&amp;" has passed",IF($X262&gt;=2,(NETWORKDAYS($H262,$U262)-1)&amp;" working days past plan","")))</f>
        <v/>
      </c>
      <c r="AY262" s="31">
        <f>IF($AL262=0,"",IF($Y262&gt;=2,"Over budget by "&amp;TEXT(IF($B262="Program",$V262,$J262)-$K262,"#,##0"),""))</f>
        <v/>
      </c>
      <c r="AZ262" s="31">
        <f>IF(AND($AL262=1,$U262&lt;&gt;""),IF(AND(N($U262)&gt;=TODAY(),N($U262)&lt;=TODAY()+Board!$B$41),1,0),0)</f>
        <v/>
      </c>
    </row>
    <row r="263">
      <c r="A263" s="29" t="n"/>
      <c r="B263" s="29" t="n"/>
      <c r="C263" s="29" t="n"/>
      <c r="D263" s="29" t="n"/>
      <c r="E263" s="29" t="n"/>
      <c r="F263" s="29" t="n"/>
      <c r="G263" s="29" t="n"/>
      <c r="H263" s="30" t="n"/>
      <c r="I263" s="30" t="n"/>
      <c r="J263" s="19" t="n"/>
      <c r="K263" s="19" t="n"/>
      <c r="L263" s="26" t="n"/>
      <c r="M263" s="31">
        <f>IF($A263="","",IF($D263="","Not read",IF($Q263=0,"Not counted",IF(MAX($X263,$Y263)=3,"■ Red",IF(MAX($X263,$Y263)=2,"◧ Amber",IF(MAX($X263,$Y263)=1,"□ On track","Not read"))))))</f>
        <v/>
      </c>
      <c r="N263" s="31">
        <f>IF(OR($A263="",$B263&lt;&gt;"Program"),"","■ "&amp;COUNTIFS($C$6:$C$305,$A263,$M$6:$M$305,"■ Red")&amp;" Red, ◧ "&amp;COUNTIFS($C$6:$C$305,$A263,$M$6:$M$305,"◧ Amber")&amp;" Amber")</f>
        <v/>
      </c>
      <c r="O263" s="32">
        <f>IF(OR($A263="",$E263=""),"",COUNTIFS($E$6:$E$305,$E263,$D$6:$D$305,"Active")+COUNTIFS($E$6:$E$305,$E263,$D$6:$D$305,"Paused"))</f>
        <v/>
      </c>
      <c r="P263" s="31">
        <f>IF($A263="","",IF($AE263=0,"○ Clear",IF($AA263=1,"△ No owner",IF($AC263=1,"△ Check Sits under",IF($AC263=2,"△ Outside the portfolio",IF($AB263=1,"△ No sponsor","△ No variance note"))))&amp;IF($AE263&gt;1," (+"&amp;($AE263-1)&amp;" more)","")))</f>
        <v/>
      </c>
      <c r="Q263" s="31">
        <f>IF(AND($A263&lt;&gt;"",OR($D263="Active",$D263="Paused")),1,0)</f>
        <v/>
      </c>
      <c r="R263" s="31">
        <f>IFERROR(INDEX($A$6:$A$305,MATCH(256,$S$6:$S$305,0)),"")</f>
        <v/>
      </c>
      <c r="S263" s="31">
        <f>IF(AND($A263&lt;&gt;"",$B263="Program"),COUNTIFS($B$6:$B263,"Program",$A$6:$A263,"&lt;&gt;"),"")</f>
        <v/>
      </c>
      <c r="T263" s="33">
        <f>IF(AND($A263&lt;&gt;"",$B263="Program"),SUMPRODUCT(MAX(($C$6:$C$305=$A263)*($B$6:$B$305="Project")*($D$6:$D$305&lt;&gt;"Proposed")*$I$6:$I$305)),0)</f>
        <v/>
      </c>
      <c r="U263" s="33">
        <f>IF($I263&lt;&gt;"",$I263,IF($T263&gt;0,$T263,""))</f>
        <v/>
      </c>
      <c r="V263" s="31">
        <f>IF(AND($A263&lt;&gt;"",$B263="Program"),SUMIFS($J$6:$J$305,$C$6:$C$305,$A263,$B$6:$B$305,"Project",$D$6:$D$305,"&lt;&gt;Proposed"),0)</f>
        <v/>
      </c>
      <c r="W263" s="31">
        <f>IF(AND($A263&lt;&gt;"",$B263="Program"),COUNTIFS($C$6:$C$305,$A263,$B$6:$B$305,"Project",$D$6:$D$305,"&lt;&gt;Proposed")-COUNTIFS($C$6:$C$305,$A263,$B$6:$B$305,"Project",$D$6:$D$305,"&lt;&gt;Proposed",$J$6:$J$305,"&gt;=0"),0)</f>
        <v/>
      </c>
      <c r="X263" s="31">
        <f>IF(OR($Q263=0,$H263=""),0,IF(AND($B263="Project",$H263&lt;TODAY()),3,IF($U263="",0,IF($U263&lt;=$H263,1,IF(NETWORKDAYS($H263,$U263)-1&gt;IF($B263="Program",Portfolio!$B$16,Portfolio!$B$15),3,2)))))</f>
        <v/>
      </c>
      <c r="Y263" s="31">
        <f>IF(OR($Q263=0,$K263="",$K263=0),0,IF(AND($B263="Project",$J263=""),0,IF(IF($B263="Program",$V263,$J263)&gt;$K263*(1+Portfolio!$B$17),3,IF(IF($B263="Program",$V263,$J263)&gt;$K263,2,IF(AND($B263="Program",OR($W263&gt;0,$V263=0)),0,1)))))</f>
        <v/>
      </c>
      <c r="Z263" s="31">
        <f>IF($A263="",0,IF($C263="Portfolio",1,IF(AND($B263="Project",$C263&lt;&gt;"",$C263&lt;&gt;"Outside the portfolio"),IFERROR(IF(AND(INDEX($B$6:$B$305,MATCH($C263,$A$6:$A$305,0))="Program",INDEX($C$6:$C$305,MATCH($C263,$A$6:$A$305,0))="Portfolio"),1,0),0),0)))</f>
        <v/>
      </c>
      <c r="AA263" s="31">
        <f>IF(AND($A263&lt;&gt;"",$E263="",OR($Q263=1,$D263="Proposed")),1,0)</f>
        <v/>
      </c>
      <c r="AB263" s="31">
        <f>IF(AND($A263&lt;&gt;"",$B263="Program",$F263="",$Q263=1),1,0)</f>
        <v/>
      </c>
      <c r="AC263" s="31">
        <f>IF(OR($A263="",$D263="Completed",$D263="Terminated"),0,IF($C263="",1,IF($C263="Portfolio",0,IF($C263="Outside the portfolio",IF($Q263=1,2,0),IF($B263="Project",IF(IFERROR(INDEX($B$6:$B$305,MATCH($C263,$A$6:$A$305,0)),"")="Program",0,1),1)))))</f>
        <v/>
      </c>
      <c r="AD263" s="31">
        <f>IF(AND($A263&lt;&gt;"",OR($M263="■ Red",$M263="◧ Amber"),$L263=""),1,0)</f>
        <v/>
      </c>
      <c r="AE263" s="31">
        <f>$AA263+$AB263+IF($AC263&gt;0,1,0)+$AD263</f>
        <v/>
      </c>
      <c r="AJ263" s="14" t="n"/>
      <c r="AK263" s="29" t="n"/>
      <c r="AL263" s="31">
        <f>IF(AND($Q263=1,$Z263=1),1,0)</f>
        <v/>
      </c>
      <c r="AM263" s="31">
        <f>IF(AND($AL263=1,$AJ263&lt;&gt;""),MAX(0,TODAY()-$AJ263),"")</f>
        <v/>
      </c>
      <c r="AN263" s="31">
        <f>IF(OR($AL263=0,COUNT($AJ$6:$AJ$305)=0),0,IF($AJ263="",1,IF(TODAY()-$AJ263&gt;Board!$B$40,1,0)))</f>
        <v/>
      </c>
      <c r="AO263" s="31">
        <f>IF($AL263=0,0,IF($M263="■ Red",3,IF($M263="◧ Amber",2,IF($M263="□ On track",1,0))))</f>
        <v/>
      </c>
      <c r="AP263" s="31">
        <f>IF($AL263=0,0,IF($AK263="Will not hold",3,IF($AK263="At risk",2,IF($AK263="Will hold",1,0))))</f>
        <v/>
      </c>
      <c r="AQ263" s="31">
        <f>IF($AL263=0,"",IF($AO263=3,0,IF($AO263=2,1,IF(AND($AP263&gt;=2,$AP263&gt;$AO263),2,""))))</f>
        <v/>
      </c>
      <c r="AR263" s="31">
        <f>IF($AQ263="","",$AQ263*1000+263)</f>
        <v/>
      </c>
      <c r="AS263" s="31">
        <f>IF(AND($AL263=1,$AO263&gt;=2,$AP263&gt;=1,$AP263&lt;$AO263),1,0)</f>
        <v/>
      </c>
      <c r="AT263" s="31">
        <f>IF(AND($AL263=1,$AO263&gt;=2,$AP263=0),1,0)</f>
        <v/>
      </c>
      <c r="AU263" s="31">
        <f>IF(AND($AL263=1,$U263&lt;&gt;"",$U263&lt;TODAY()),1,0)</f>
        <v/>
      </c>
      <c r="AV263" s="31">
        <f>IF(OR($A263="",$AJ263="",Portfolio!$B$10=""),0,IF($AJ263&lt;=Portfolio!$B$10,0,IF(AND($D263="Completed",$Z263=1),1,IF(AND($D263="Terminated",$Z263=1),2,IF(AND($Q263=1,$Z263=0),3,0)))))</f>
        <v/>
      </c>
      <c r="AW263" s="31">
        <f>IF($AV263&gt;0,COUNTIF($AV$6:$AV263,"&gt;0"),"")</f>
        <v/>
      </c>
      <c r="AX263" s="31">
        <f>IF($AL263=0,"",IF(AND($B263="Project",$H263&lt;&gt;"",$H263&lt;TODAY()),"Planned finish "&amp;TEXT($H263,"d mmm")&amp;" has passed",IF($X263&gt;=2,(NETWORKDAYS($H263,$U263)-1)&amp;" working days past plan","")))</f>
        <v/>
      </c>
      <c r="AY263" s="31">
        <f>IF($AL263=0,"",IF($Y263&gt;=2,"Over budget by "&amp;TEXT(IF($B263="Program",$V263,$J263)-$K263,"#,##0"),""))</f>
        <v/>
      </c>
      <c r="AZ263" s="31">
        <f>IF(AND($AL263=1,$U263&lt;&gt;""),IF(AND(N($U263)&gt;=TODAY(),N($U263)&lt;=TODAY()+Board!$B$41),1,0),0)</f>
        <v/>
      </c>
    </row>
    <row r="264">
      <c r="A264" s="29" t="n"/>
      <c r="B264" s="29" t="n"/>
      <c r="C264" s="29" t="n"/>
      <c r="D264" s="29" t="n"/>
      <c r="E264" s="29" t="n"/>
      <c r="F264" s="29" t="n"/>
      <c r="G264" s="29" t="n"/>
      <c r="H264" s="30" t="n"/>
      <c r="I264" s="30" t="n"/>
      <c r="J264" s="19" t="n"/>
      <c r="K264" s="19" t="n"/>
      <c r="L264" s="26" t="n"/>
      <c r="M264" s="31">
        <f>IF($A264="","",IF($D264="","Not read",IF($Q264=0,"Not counted",IF(MAX($X264,$Y264)=3,"■ Red",IF(MAX($X264,$Y264)=2,"◧ Amber",IF(MAX($X264,$Y264)=1,"□ On track","Not read"))))))</f>
        <v/>
      </c>
      <c r="N264" s="31">
        <f>IF(OR($A264="",$B264&lt;&gt;"Program"),"","■ "&amp;COUNTIFS($C$6:$C$305,$A264,$M$6:$M$305,"■ Red")&amp;" Red, ◧ "&amp;COUNTIFS($C$6:$C$305,$A264,$M$6:$M$305,"◧ Amber")&amp;" Amber")</f>
        <v/>
      </c>
      <c r="O264" s="32">
        <f>IF(OR($A264="",$E264=""),"",COUNTIFS($E$6:$E$305,$E264,$D$6:$D$305,"Active")+COUNTIFS($E$6:$E$305,$E264,$D$6:$D$305,"Paused"))</f>
        <v/>
      </c>
      <c r="P264" s="31">
        <f>IF($A264="","",IF($AE264=0,"○ Clear",IF($AA264=1,"△ No owner",IF($AC264=1,"△ Check Sits under",IF($AC264=2,"△ Outside the portfolio",IF($AB264=1,"△ No sponsor","△ No variance note"))))&amp;IF($AE264&gt;1," (+"&amp;($AE264-1)&amp;" more)","")))</f>
        <v/>
      </c>
      <c r="Q264" s="31">
        <f>IF(AND($A264&lt;&gt;"",OR($D264="Active",$D264="Paused")),1,0)</f>
        <v/>
      </c>
      <c r="R264" s="31">
        <f>IFERROR(INDEX($A$6:$A$305,MATCH(257,$S$6:$S$305,0)),"")</f>
        <v/>
      </c>
      <c r="S264" s="31">
        <f>IF(AND($A264&lt;&gt;"",$B264="Program"),COUNTIFS($B$6:$B264,"Program",$A$6:$A264,"&lt;&gt;"),"")</f>
        <v/>
      </c>
      <c r="T264" s="33">
        <f>IF(AND($A264&lt;&gt;"",$B264="Program"),SUMPRODUCT(MAX(($C$6:$C$305=$A264)*($B$6:$B$305="Project")*($D$6:$D$305&lt;&gt;"Proposed")*$I$6:$I$305)),0)</f>
        <v/>
      </c>
      <c r="U264" s="33">
        <f>IF($I264&lt;&gt;"",$I264,IF($T264&gt;0,$T264,""))</f>
        <v/>
      </c>
      <c r="V264" s="31">
        <f>IF(AND($A264&lt;&gt;"",$B264="Program"),SUMIFS($J$6:$J$305,$C$6:$C$305,$A264,$B$6:$B$305,"Project",$D$6:$D$305,"&lt;&gt;Proposed"),0)</f>
        <v/>
      </c>
      <c r="W264" s="31">
        <f>IF(AND($A264&lt;&gt;"",$B264="Program"),COUNTIFS($C$6:$C$305,$A264,$B$6:$B$305,"Project",$D$6:$D$305,"&lt;&gt;Proposed")-COUNTIFS($C$6:$C$305,$A264,$B$6:$B$305,"Project",$D$6:$D$305,"&lt;&gt;Proposed",$J$6:$J$305,"&gt;=0"),0)</f>
        <v/>
      </c>
      <c r="X264" s="31">
        <f>IF(OR($Q264=0,$H264=""),0,IF(AND($B264="Project",$H264&lt;TODAY()),3,IF($U264="",0,IF($U264&lt;=$H264,1,IF(NETWORKDAYS($H264,$U264)-1&gt;IF($B264="Program",Portfolio!$B$16,Portfolio!$B$15),3,2)))))</f>
        <v/>
      </c>
      <c r="Y264" s="31">
        <f>IF(OR($Q264=0,$K264="",$K264=0),0,IF(AND($B264="Project",$J264=""),0,IF(IF($B264="Program",$V264,$J264)&gt;$K264*(1+Portfolio!$B$17),3,IF(IF($B264="Program",$V264,$J264)&gt;$K264,2,IF(AND($B264="Program",OR($W264&gt;0,$V264=0)),0,1)))))</f>
        <v/>
      </c>
      <c r="Z264" s="31">
        <f>IF($A264="",0,IF($C264="Portfolio",1,IF(AND($B264="Project",$C264&lt;&gt;"",$C264&lt;&gt;"Outside the portfolio"),IFERROR(IF(AND(INDEX($B$6:$B$305,MATCH($C264,$A$6:$A$305,0))="Program",INDEX($C$6:$C$305,MATCH($C264,$A$6:$A$305,0))="Portfolio"),1,0),0),0)))</f>
        <v/>
      </c>
      <c r="AA264" s="31">
        <f>IF(AND($A264&lt;&gt;"",$E264="",OR($Q264=1,$D264="Proposed")),1,0)</f>
        <v/>
      </c>
      <c r="AB264" s="31">
        <f>IF(AND($A264&lt;&gt;"",$B264="Program",$F264="",$Q264=1),1,0)</f>
        <v/>
      </c>
      <c r="AC264" s="31">
        <f>IF(OR($A264="",$D264="Completed",$D264="Terminated"),0,IF($C264="",1,IF($C264="Portfolio",0,IF($C264="Outside the portfolio",IF($Q264=1,2,0),IF($B264="Project",IF(IFERROR(INDEX($B$6:$B$305,MATCH($C264,$A$6:$A$305,0)),"")="Program",0,1),1)))))</f>
        <v/>
      </c>
      <c r="AD264" s="31">
        <f>IF(AND($A264&lt;&gt;"",OR($M264="■ Red",$M264="◧ Amber"),$L264=""),1,0)</f>
        <v/>
      </c>
      <c r="AE264" s="31">
        <f>$AA264+$AB264+IF($AC264&gt;0,1,0)+$AD264</f>
        <v/>
      </c>
      <c r="AJ264" s="14" t="n"/>
      <c r="AK264" s="29" t="n"/>
      <c r="AL264" s="31">
        <f>IF(AND($Q264=1,$Z264=1),1,0)</f>
        <v/>
      </c>
      <c r="AM264" s="31">
        <f>IF(AND($AL264=1,$AJ264&lt;&gt;""),MAX(0,TODAY()-$AJ264),"")</f>
        <v/>
      </c>
      <c r="AN264" s="31">
        <f>IF(OR($AL264=0,COUNT($AJ$6:$AJ$305)=0),0,IF($AJ264="",1,IF(TODAY()-$AJ264&gt;Board!$B$40,1,0)))</f>
        <v/>
      </c>
      <c r="AO264" s="31">
        <f>IF($AL264=0,0,IF($M264="■ Red",3,IF($M264="◧ Amber",2,IF($M264="□ On track",1,0))))</f>
        <v/>
      </c>
      <c r="AP264" s="31">
        <f>IF($AL264=0,0,IF($AK264="Will not hold",3,IF($AK264="At risk",2,IF($AK264="Will hold",1,0))))</f>
        <v/>
      </c>
      <c r="AQ264" s="31">
        <f>IF($AL264=0,"",IF($AO264=3,0,IF($AO264=2,1,IF(AND($AP264&gt;=2,$AP264&gt;$AO264),2,""))))</f>
        <v/>
      </c>
      <c r="AR264" s="31">
        <f>IF($AQ264="","",$AQ264*1000+264)</f>
        <v/>
      </c>
      <c r="AS264" s="31">
        <f>IF(AND($AL264=1,$AO264&gt;=2,$AP264&gt;=1,$AP264&lt;$AO264),1,0)</f>
        <v/>
      </c>
      <c r="AT264" s="31">
        <f>IF(AND($AL264=1,$AO264&gt;=2,$AP264=0),1,0)</f>
        <v/>
      </c>
      <c r="AU264" s="31">
        <f>IF(AND($AL264=1,$U264&lt;&gt;"",$U264&lt;TODAY()),1,0)</f>
        <v/>
      </c>
      <c r="AV264" s="31">
        <f>IF(OR($A264="",$AJ264="",Portfolio!$B$10=""),0,IF($AJ264&lt;=Portfolio!$B$10,0,IF(AND($D264="Completed",$Z264=1),1,IF(AND($D264="Terminated",$Z264=1),2,IF(AND($Q264=1,$Z264=0),3,0)))))</f>
        <v/>
      </c>
      <c r="AW264" s="31">
        <f>IF($AV264&gt;0,COUNTIF($AV$6:$AV264,"&gt;0"),"")</f>
        <v/>
      </c>
      <c r="AX264" s="31">
        <f>IF($AL264=0,"",IF(AND($B264="Project",$H264&lt;&gt;"",$H264&lt;TODAY()),"Planned finish "&amp;TEXT($H264,"d mmm")&amp;" has passed",IF($X264&gt;=2,(NETWORKDAYS($H264,$U264)-1)&amp;" working days past plan","")))</f>
        <v/>
      </c>
      <c r="AY264" s="31">
        <f>IF($AL264=0,"",IF($Y264&gt;=2,"Over budget by "&amp;TEXT(IF($B264="Program",$V264,$J264)-$K264,"#,##0"),""))</f>
        <v/>
      </c>
      <c r="AZ264" s="31">
        <f>IF(AND($AL264=1,$U264&lt;&gt;""),IF(AND(N($U264)&gt;=TODAY(),N($U264)&lt;=TODAY()+Board!$B$41),1,0),0)</f>
        <v/>
      </c>
    </row>
    <row r="265">
      <c r="A265" s="29" t="n"/>
      <c r="B265" s="29" t="n"/>
      <c r="C265" s="29" t="n"/>
      <c r="D265" s="29" t="n"/>
      <c r="E265" s="29" t="n"/>
      <c r="F265" s="29" t="n"/>
      <c r="G265" s="29" t="n"/>
      <c r="H265" s="30" t="n"/>
      <c r="I265" s="30" t="n"/>
      <c r="J265" s="19" t="n"/>
      <c r="K265" s="19" t="n"/>
      <c r="L265" s="26" t="n"/>
      <c r="M265" s="31">
        <f>IF($A265="","",IF($D265="","Not read",IF($Q265=0,"Not counted",IF(MAX($X265,$Y265)=3,"■ Red",IF(MAX($X265,$Y265)=2,"◧ Amber",IF(MAX($X265,$Y265)=1,"□ On track","Not read"))))))</f>
        <v/>
      </c>
      <c r="N265" s="31">
        <f>IF(OR($A265="",$B265&lt;&gt;"Program"),"","■ "&amp;COUNTIFS($C$6:$C$305,$A265,$M$6:$M$305,"■ Red")&amp;" Red, ◧ "&amp;COUNTIFS($C$6:$C$305,$A265,$M$6:$M$305,"◧ Amber")&amp;" Amber")</f>
        <v/>
      </c>
      <c r="O265" s="32">
        <f>IF(OR($A265="",$E265=""),"",COUNTIFS($E$6:$E$305,$E265,$D$6:$D$305,"Active")+COUNTIFS($E$6:$E$305,$E265,$D$6:$D$305,"Paused"))</f>
        <v/>
      </c>
      <c r="P265" s="31">
        <f>IF($A265="","",IF($AE265=0,"○ Clear",IF($AA265=1,"△ No owner",IF($AC265=1,"△ Check Sits under",IF($AC265=2,"△ Outside the portfolio",IF($AB265=1,"△ No sponsor","△ No variance note"))))&amp;IF($AE265&gt;1," (+"&amp;($AE265-1)&amp;" more)","")))</f>
        <v/>
      </c>
      <c r="Q265" s="31">
        <f>IF(AND($A265&lt;&gt;"",OR($D265="Active",$D265="Paused")),1,0)</f>
        <v/>
      </c>
      <c r="R265" s="31">
        <f>IFERROR(INDEX($A$6:$A$305,MATCH(258,$S$6:$S$305,0)),"")</f>
        <v/>
      </c>
      <c r="S265" s="31">
        <f>IF(AND($A265&lt;&gt;"",$B265="Program"),COUNTIFS($B$6:$B265,"Program",$A$6:$A265,"&lt;&gt;"),"")</f>
        <v/>
      </c>
      <c r="T265" s="33">
        <f>IF(AND($A265&lt;&gt;"",$B265="Program"),SUMPRODUCT(MAX(($C$6:$C$305=$A265)*($B$6:$B$305="Project")*($D$6:$D$305&lt;&gt;"Proposed")*$I$6:$I$305)),0)</f>
        <v/>
      </c>
      <c r="U265" s="33">
        <f>IF($I265&lt;&gt;"",$I265,IF($T265&gt;0,$T265,""))</f>
        <v/>
      </c>
      <c r="V265" s="31">
        <f>IF(AND($A265&lt;&gt;"",$B265="Program"),SUMIFS($J$6:$J$305,$C$6:$C$305,$A265,$B$6:$B$305,"Project",$D$6:$D$305,"&lt;&gt;Proposed"),0)</f>
        <v/>
      </c>
      <c r="W265" s="31">
        <f>IF(AND($A265&lt;&gt;"",$B265="Program"),COUNTIFS($C$6:$C$305,$A265,$B$6:$B$305,"Project",$D$6:$D$305,"&lt;&gt;Proposed")-COUNTIFS($C$6:$C$305,$A265,$B$6:$B$305,"Project",$D$6:$D$305,"&lt;&gt;Proposed",$J$6:$J$305,"&gt;=0"),0)</f>
        <v/>
      </c>
      <c r="X265" s="31">
        <f>IF(OR($Q265=0,$H265=""),0,IF(AND($B265="Project",$H265&lt;TODAY()),3,IF($U265="",0,IF($U265&lt;=$H265,1,IF(NETWORKDAYS($H265,$U265)-1&gt;IF($B265="Program",Portfolio!$B$16,Portfolio!$B$15),3,2)))))</f>
        <v/>
      </c>
      <c r="Y265" s="31">
        <f>IF(OR($Q265=0,$K265="",$K265=0),0,IF(AND($B265="Project",$J265=""),0,IF(IF($B265="Program",$V265,$J265)&gt;$K265*(1+Portfolio!$B$17),3,IF(IF($B265="Program",$V265,$J265)&gt;$K265,2,IF(AND($B265="Program",OR($W265&gt;0,$V265=0)),0,1)))))</f>
        <v/>
      </c>
      <c r="Z265" s="31">
        <f>IF($A265="",0,IF($C265="Portfolio",1,IF(AND($B265="Project",$C265&lt;&gt;"",$C265&lt;&gt;"Outside the portfolio"),IFERROR(IF(AND(INDEX($B$6:$B$305,MATCH($C265,$A$6:$A$305,0))="Program",INDEX($C$6:$C$305,MATCH($C265,$A$6:$A$305,0))="Portfolio"),1,0),0),0)))</f>
        <v/>
      </c>
      <c r="AA265" s="31">
        <f>IF(AND($A265&lt;&gt;"",$E265="",OR($Q265=1,$D265="Proposed")),1,0)</f>
        <v/>
      </c>
      <c r="AB265" s="31">
        <f>IF(AND($A265&lt;&gt;"",$B265="Program",$F265="",$Q265=1),1,0)</f>
        <v/>
      </c>
      <c r="AC265" s="31">
        <f>IF(OR($A265="",$D265="Completed",$D265="Terminated"),0,IF($C265="",1,IF($C265="Portfolio",0,IF($C265="Outside the portfolio",IF($Q265=1,2,0),IF($B265="Project",IF(IFERROR(INDEX($B$6:$B$305,MATCH($C265,$A$6:$A$305,0)),"")="Program",0,1),1)))))</f>
        <v/>
      </c>
      <c r="AD265" s="31">
        <f>IF(AND($A265&lt;&gt;"",OR($M265="■ Red",$M265="◧ Amber"),$L265=""),1,0)</f>
        <v/>
      </c>
      <c r="AE265" s="31">
        <f>$AA265+$AB265+IF($AC265&gt;0,1,0)+$AD265</f>
        <v/>
      </c>
      <c r="AJ265" s="14" t="n"/>
      <c r="AK265" s="29" t="n"/>
      <c r="AL265" s="31">
        <f>IF(AND($Q265=1,$Z265=1),1,0)</f>
        <v/>
      </c>
      <c r="AM265" s="31">
        <f>IF(AND($AL265=1,$AJ265&lt;&gt;""),MAX(0,TODAY()-$AJ265),"")</f>
        <v/>
      </c>
      <c r="AN265" s="31">
        <f>IF(OR($AL265=0,COUNT($AJ$6:$AJ$305)=0),0,IF($AJ265="",1,IF(TODAY()-$AJ265&gt;Board!$B$40,1,0)))</f>
        <v/>
      </c>
      <c r="AO265" s="31">
        <f>IF($AL265=0,0,IF($M265="■ Red",3,IF($M265="◧ Amber",2,IF($M265="□ On track",1,0))))</f>
        <v/>
      </c>
      <c r="AP265" s="31">
        <f>IF($AL265=0,0,IF($AK265="Will not hold",3,IF($AK265="At risk",2,IF($AK265="Will hold",1,0))))</f>
        <v/>
      </c>
      <c r="AQ265" s="31">
        <f>IF($AL265=0,"",IF($AO265=3,0,IF($AO265=2,1,IF(AND($AP265&gt;=2,$AP265&gt;$AO265),2,""))))</f>
        <v/>
      </c>
      <c r="AR265" s="31">
        <f>IF($AQ265="","",$AQ265*1000+265)</f>
        <v/>
      </c>
      <c r="AS265" s="31">
        <f>IF(AND($AL265=1,$AO265&gt;=2,$AP265&gt;=1,$AP265&lt;$AO265),1,0)</f>
        <v/>
      </c>
      <c r="AT265" s="31">
        <f>IF(AND($AL265=1,$AO265&gt;=2,$AP265=0),1,0)</f>
        <v/>
      </c>
      <c r="AU265" s="31">
        <f>IF(AND($AL265=1,$U265&lt;&gt;"",$U265&lt;TODAY()),1,0)</f>
        <v/>
      </c>
      <c r="AV265" s="31">
        <f>IF(OR($A265="",$AJ265="",Portfolio!$B$10=""),0,IF($AJ265&lt;=Portfolio!$B$10,0,IF(AND($D265="Completed",$Z265=1),1,IF(AND($D265="Terminated",$Z265=1),2,IF(AND($Q265=1,$Z265=0),3,0)))))</f>
        <v/>
      </c>
      <c r="AW265" s="31">
        <f>IF($AV265&gt;0,COUNTIF($AV$6:$AV265,"&gt;0"),"")</f>
        <v/>
      </c>
      <c r="AX265" s="31">
        <f>IF($AL265=0,"",IF(AND($B265="Project",$H265&lt;&gt;"",$H265&lt;TODAY()),"Planned finish "&amp;TEXT($H265,"d mmm")&amp;" has passed",IF($X265&gt;=2,(NETWORKDAYS($H265,$U265)-1)&amp;" working days past plan","")))</f>
        <v/>
      </c>
      <c r="AY265" s="31">
        <f>IF($AL265=0,"",IF($Y265&gt;=2,"Over budget by "&amp;TEXT(IF($B265="Program",$V265,$J265)-$K265,"#,##0"),""))</f>
        <v/>
      </c>
      <c r="AZ265" s="31">
        <f>IF(AND($AL265=1,$U265&lt;&gt;""),IF(AND(N($U265)&gt;=TODAY(),N($U265)&lt;=TODAY()+Board!$B$41),1,0),0)</f>
        <v/>
      </c>
    </row>
    <row r="266">
      <c r="A266" s="29" t="n"/>
      <c r="B266" s="29" t="n"/>
      <c r="C266" s="29" t="n"/>
      <c r="D266" s="29" t="n"/>
      <c r="E266" s="29" t="n"/>
      <c r="F266" s="29" t="n"/>
      <c r="G266" s="29" t="n"/>
      <c r="H266" s="30" t="n"/>
      <c r="I266" s="30" t="n"/>
      <c r="J266" s="19" t="n"/>
      <c r="K266" s="19" t="n"/>
      <c r="L266" s="26" t="n"/>
      <c r="M266" s="31">
        <f>IF($A266="","",IF($D266="","Not read",IF($Q266=0,"Not counted",IF(MAX($X266,$Y266)=3,"■ Red",IF(MAX($X266,$Y266)=2,"◧ Amber",IF(MAX($X266,$Y266)=1,"□ On track","Not read"))))))</f>
        <v/>
      </c>
      <c r="N266" s="31">
        <f>IF(OR($A266="",$B266&lt;&gt;"Program"),"","■ "&amp;COUNTIFS($C$6:$C$305,$A266,$M$6:$M$305,"■ Red")&amp;" Red, ◧ "&amp;COUNTIFS($C$6:$C$305,$A266,$M$6:$M$305,"◧ Amber")&amp;" Amber")</f>
        <v/>
      </c>
      <c r="O266" s="32">
        <f>IF(OR($A266="",$E266=""),"",COUNTIFS($E$6:$E$305,$E266,$D$6:$D$305,"Active")+COUNTIFS($E$6:$E$305,$E266,$D$6:$D$305,"Paused"))</f>
        <v/>
      </c>
      <c r="P266" s="31">
        <f>IF($A266="","",IF($AE266=0,"○ Clear",IF($AA266=1,"△ No owner",IF($AC266=1,"△ Check Sits under",IF($AC266=2,"△ Outside the portfolio",IF($AB266=1,"△ No sponsor","△ No variance note"))))&amp;IF($AE266&gt;1," (+"&amp;($AE266-1)&amp;" more)","")))</f>
        <v/>
      </c>
      <c r="Q266" s="31">
        <f>IF(AND($A266&lt;&gt;"",OR($D266="Active",$D266="Paused")),1,0)</f>
        <v/>
      </c>
      <c r="R266" s="31">
        <f>IFERROR(INDEX($A$6:$A$305,MATCH(259,$S$6:$S$305,0)),"")</f>
        <v/>
      </c>
      <c r="S266" s="31">
        <f>IF(AND($A266&lt;&gt;"",$B266="Program"),COUNTIFS($B$6:$B266,"Program",$A$6:$A266,"&lt;&gt;"),"")</f>
        <v/>
      </c>
      <c r="T266" s="33">
        <f>IF(AND($A266&lt;&gt;"",$B266="Program"),SUMPRODUCT(MAX(($C$6:$C$305=$A266)*($B$6:$B$305="Project")*($D$6:$D$305&lt;&gt;"Proposed")*$I$6:$I$305)),0)</f>
        <v/>
      </c>
      <c r="U266" s="33">
        <f>IF($I266&lt;&gt;"",$I266,IF($T266&gt;0,$T266,""))</f>
        <v/>
      </c>
      <c r="V266" s="31">
        <f>IF(AND($A266&lt;&gt;"",$B266="Program"),SUMIFS($J$6:$J$305,$C$6:$C$305,$A266,$B$6:$B$305,"Project",$D$6:$D$305,"&lt;&gt;Proposed"),0)</f>
        <v/>
      </c>
      <c r="W266" s="31">
        <f>IF(AND($A266&lt;&gt;"",$B266="Program"),COUNTIFS($C$6:$C$305,$A266,$B$6:$B$305,"Project",$D$6:$D$305,"&lt;&gt;Proposed")-COUNTIFS($C$6:$C$305,$A266,$B$6:$B$305,"Project",$D$6:$D$305,"&lt;&gt;Proposed",$J$6:$J$305,"&gt;=0"),0)</f>
        <v/>
      </c>
      <c r="X266" s="31">
        <f>IF(OR($Q266=0,$H266=""),0,IF(AND($B266="Project",$H266&lt;TODAY()),3,IF($U266="",0,IF($U266&lt;=$H266,1,IF(NETWORKDAYS($H266,$U266)-1&gt;IF($B266="Program",Portfolio!$B$16,Portfolio!$B$15),3,2)))))</f>
        <v/>
      </c>
      <c r="Y266" s="31">
        <f>IF(OR($Q266=0,$K266="",$K266=0),0,IF(AND($B266="Project",$J266=""),0,IF(IF($B266="Program",$V266,$J266)&gt;$K266*(1+Portfolio!$B$17),3,IF(IF($B266="Program",$V266,$J266)&gt;$K266,2,IF(AND($B266="Program",OR($W266&gt;0,$V266=0)),0,1)))))</f>
        <v/>
      </c>
      <c r="Z266" s="31">
        <f>IF($A266="",0,IF($C266="Portfolio",1,IF(AND($B266="Project",$C266&lt;&gt;"",$C266&lt;&gt;"Outside the portfolio"),IFERROR(IF(AND(INDEX($B$6:$B$305,MATCH($C266,$A$6:$A$305,0))="Program",INDEX($C$6:$C$305,MATCH($C266,$A$6:$A$305,0))="Portfolio"),1,0),0),0)))</f>
        <v/>
      </c>
      <c r="AA266" s="31">
        <f>IF(AND($A266&lt;&gt;"",$E266="",OR($Q266=1,$D266="Proposed")),1,0)</f>
        <v/>
      </c>
      <c r="AB266" s="31">
        <f>IF(AND($A266&lt;&gt;"",$B266="Program",$F266="",$Q266=1),1,0)</f>
        <v/>
      </c>
      <c r="AC266" s="31">
        <f>IF(OR($A266="",$D266="Completed",$D266="Terminated"),0,IF($C266="",1,IF($C266="Portfolio",0,IF($C266="Outside the portfolio",IF($Q266=1,2,0),IF($B266="Project",IF(IFERROR(INDEX($B$6:$B$305,MATCH($C266,$A$6:$A$305,0)),"")="Program",0,1),1)))))</f>
        <v/>
      </c>
      <c r="AD266" s="31">
        <f>IF(AND($A266&lt;&gt;"",OR($M266="■ Red",$M266="◧ Amber"),$L266=""),1,0)</f>
        <v/>
      </c>
      <c r="AE266" s="31">
        <f>$AA266+$AB266+IF($AC266&gt;0,1,0)+$AD266</f>
        <v/>
      </c>
      <c r="AJ266" s="14" t="n"/>
      <c r="AK266" s="29" t="n"/>
      <c r="AL266" s="31">
        <f>IF(AND($Q266=1,$Z266=1),1,0)</f>
        <v/>
      </c>
      <c r="AM266" s="31">
        <f>IF(AND($AL266=1,$AJ266&lt;&gt;""),MAX(0,TODAY()-$AJ266),"")</f>
        <v/>
      </c>
      <c r="AN266" s="31">
        <f>IF(OR($AL266=0,COUNT($AJ$6:$AJ$305)=0),0,IF($AJ266="",1,IF(TODAY()-$AJ266&gt;Board!$B$40,1,0)))</f>
        <v/>
      </c>
      <c r="AO266" s="31">
        <f>IF($AL266=0,0,IF($M266="■ Red",3,IF($M266="◧ Amber",2,IF($M266="□ On track",1,0))))</f>
        <v/>
      </c>
      <c r="AP266" s="31">
        <f>IF($AL266=0,0,IF($AK266="Will not hold",3,IF($AK266="At risk",2,IF($AK266="Will hold",1,0))))</f>
        <v/>
      </c>
      <c r="AQ266" s="31">
        <f>IF($AL266=0,"",IF($AO266=3,0,IF($AO266=2,1,IF(AND($AP266&gt;=2,$AP266&gt;$AO266),2,""))))</f>
        <v/>
      </c>
      <c r="AR266" s="31">
        <f>IF($AQ266="","",$AQ266*1000+266)</f>
        <v/>
      </c>
      <c r="AS266" s="31">
        <f>IF(AND($AL266=1,$AO266&gt;=2,$AP266&gt;=1,$AP266&lt;$AO266),1,0)</f>
        <v/>
      </c>
      <c r="AT266" s="31">
        <f>IF(AND($AL266=1,$AO266&gt;=2,$AP266=0),1,0)</f>
        <v/>
      </c>
      <c r="AU266" s="31">
        <f>IF(AND($AL266=1,$U266&lt;&gt;"",$U266&lt;TODAY()),1,0)</f>
        <v/>
      </c>
      <c r="AV266" s="31">
        <f>IF(OR($A266="",$AJ266="",Portfolio!$B$10=""),0,IF($AJ266&lt;=Portfolio!$B$10,0,IF(AND($D266="Completed",$Z266=1),1,IF(AND($D266="Terminated",$Z266=1),2,IF(AND($Q266=1,$Z266=0),3,0)))))</f>
        <v/>
      </c>
      <c r="AW266" s="31">
        <f>IF($AV266&gt;0,COUNTIF($AV$6:$AV266,"&gt;0"),"")</f>
        <v/>
      </c>
      <c r="AX266" s="31">
        <f>IF($AL266=0,"",IF(AND($B266="Project",$H266&lt;&gt;"",$H266&lt;TODAY()),"Planned finish "&amp;TEXT($H266,"d mmm")&amp;" has passed",IF($X266&gt;=2,(NETWORKDAYS($H266,$U266)-1)&amp;" working days past plan","")))</f>
        <v/>
      </c>
      <c r="AY266" s="31">
        <f>IF($AL266=0,"",IF($Y266&gt;=2,"Over budget by "&amp;TEXT(IF($B266="Program",$V266,$J266)-$K266,"#,##0"),""))</f>
        <v/>
      </c>
      <c r="AZ266" s="31">
        <f>IF(AND($AL266=1,$U266&lt;&gt;""),IF(AND(N($U266)&gt;=TODAY(),N($U266)&lt;=TODAY()+Board!$B$41),1,0),0)</f>
        <v/>
      </c>
    </row>
    <row r="267">
      <c r="A267" s="29" t="n"/>
      <c r="B267" s="29" t="n"/>
      <c r="C267" s="29" t="n"/>
      <c r="D267" s="29" t="n"/>
      <c r="E267" s="29" t="n"/>
      <c r="F267" s="29" t="n"/>
      <c r="G267" s="29" t="n"/>
      <c r="H267" s="30" t="n"/>
      <c r="I267" s="30" t="n"/>
      <c r="J267" s="19" t="n"/>
      <c r="K267" s="19" t="n"/>
      <c r="L267" s="26" t="n"/>
      <c r="M267" s="31">
        <f>IF($A267="","",IF($D267="","Not read",IF($Q267=0,"Not counted",IF(MAX($X267,$Y267)=3,"■ Red",IF(MAX($X267,$Y267)=2,"◧ Amber",IF(MAX($X267,$Y267)=1,"□ On track","Not read"))))))</f>
        <v/>
      </c>
      <c r="N267" s="31">
        <f>IF(OR($A267="",$B267&lt;&gt;"Program"),"","■ "&amp;COUNTIFS($C$6:$C$305,$A267,$M$6:$M$305,"■ Red")&amp;" Red, ◧ "&amp;COUNTIFS($C$6:$C$305,$A267,$M$6:$M$305,"◧ Amber")&amp;" Amber")</f>
        <v/>
      </c>
      <c r="O267" s="32">
        <f>IF(OR($A267="",$E267=""),"",COUNTIFS($E$6:$E$305,$E267,$D$6:$D$305,"Active")+COUNTIFS($E$6:$E$305,$E267,$D$6:$D$305,"Paused"))</f>
        <v/>
      </c>
      <c r="P267" s="31">
        <f>IF($A267="","",IF($AE267=0,"○ Clear",IF($AA267=1,"△ No owner",IF($AC267=1,"△ Check Sits under",IF($AC267=2,"△ Outside the portfolio",IF($AB267=1,"△ No sponsor","△ No variance note"))))&amp;IF($AE267&gt;1," (+"&amp;($AE267-1)&amp;" more)","")))</f>
        <v/>
      </c>
      <c r="Q267" s="31">
        <f>IF(AND($A267&lt;&gt;"",OR($D267="Active",$D267="Paused")),1,0)</f>
        <v/>
      </c>
      <c r="R267" s="31">
        <f>IFERROR(INDEX($A$6:$A$305,MATCH(260,$S$6:$S$305,0)),"")</f>
        <v/>
      </c>
      <c r="S267" s="31">
        <f>IF(AND($A267&lt;&gt;"",$B267="Program"),COUNTIFS($B$6:$B267,"Program",$A$6:$A267,"&lt;&gt;"),"")</f>
        <v/>
      </c>
      <c r="T267" s="33">
        <f>IF(AND($A267&lt;&gt;"",$B267="Program"),SUMPRODUCT(MAX(($C$6:$C$305=$A267)*($B$6:$B$305="Project")*($D$6:$D$305&lt;&gt;"Proposed")*$I$6:$I$305)),0)</f>
        <v/>
      </c>
      <c r="U267" s="33">
        <f>IF($I267&lt;&gt;"",$I267,IF($T267&gt;0,$T267,""))</f>
        <v/>
      </c>
      <c r="V267" s="31">
        <f>IF(AND($A267&lt;&gt;"",$B267="Program"),SUMIFS($J$6:$J$305,$C$6:$C$305,$A267,$B$6:$B$305,"Project",$D$6:$D$305,"&lt;&gt;Proposed"),0)</f>
        <v/>
      </c>
      <c r="W267" s="31">
        <f>IF(AND($A267&lt;&gt;"",$B267="Program"),COUNTIFS($C$6:$C$305,$A267,$B$6:$B$305,"Project",$D$6:$D$305,"&lt;&gt;Proposed")-COUNTIFS($C$6:$C$305,$A267,$B$6:$B$305,"Project",$D$6:$D$305,"&lt;&gt;Proposed",$J$6:$J$305,"&gt;=0"),0)</f>
        <v/>
      </c>
      <c r="X267" s="31">
        <f>IF(OR($Q267=0,$H267=""),0,IF(AND($B267="Project",$H267&lt;TODAY()),3,IF($U267="",0,IF($U267&lt;=$H267,1,IF(NETWORKDAYS($H267,$U267)-1&gt;IF($B267="Program",Portfolio!$B$16,Portfolio!$B$15),3,2)))))</f>
        <v/>
      </c>
      <c r="Y267" s="31">
        <f>IF(OR($Q267=0,$K267="",$K267=0),0,IF(AND($B267="Project",$J267=""),0,IF(IF($B267="Program",$V267,$J267)&gt;$K267*(1+Portfolio!$B$17),3,IF(IF($B267="Program",$V267,$J267)&gt;$K267,2,IF(AND($B267="Program",OR($W267&gt;0,$V267=0)),0,1)))))</f>
        <v/>
      </c>
      <c r="Z267" s="31">
        <f>IF($A267="",0,IF($C267="Portfolio",1,IF(AND($B267="Project",$C267&lt;&gt;"",$C267&lt;&gt;"Outside the portfolio"),IFERROR(IF(AND(INDEX($B$6:$B$305,MATCH($C267,$A$6:$A$305,0))="Program",INDEX($C$6:$C$305,MATCH($C267,$A$6:$A$305,0))="Portfolio"),1,0),0),0)))</f>
        <v/>
      </c>
      <c r="AA267" s="31">
        <f>IF(AND($A267&lt;&gt;"",$E267="",OR($Q267=1,$D267="Proposed")),1,0)</f>
        <v/>
      </c>
      <c r="AB267" s="31">
        <f>IF(AND($A267&lt;&gt;"",$B267="Program",$F267="",$Q267=1),1,0)</f>
        <v/>
      </c>
      <c r="AC267" s="31">
        <f>IF(OR($A267="",$D267="Completed",$D267="Terminated"),0,IF($C267="",1,IF($C267="Portfolio",0,IF($C267="Outside the portfolio",IF($Q267=1,2,0),IF($B267="Project",IF(IFERROR(INDEX($B$6:$B$305,MATCH($C267,$A$6:$A$305,0)),"")="Program",0,1),1)))))</f>
        <v/>
      </c>
      <c r="AD267" s="31">
        <f>IF(AND($A267&lt;&gt;"",OR($M267="■ Red",$M267="◧ Amber"),$L267=""),1,0)</f>
        <v/>
      </c>
      <c r="AE267" s="31">
        <f>$AA267+$AB267+IF($AC267&gt;0,1,0)+$AD267</f>
        <v/>
      </c>
      <c r="AJ267" s="14" t="n"/>
      <c r="AK267" s="29" t="n"/>
      <c r="AL267" s="31">
        <f>IF(AND($Q267=1,$Z267=1),1,0)</f>
        <v/>
      </c>
      <c r="AM267" s="31">
        <f>IF(AND($AL267=1,$AJ267&lt;&gt;""),MAX(0,TODAY()-$AJ267),"")</f>
        <v/>
      </c>
      <c r="AN267" s="31">
        <f>IF(OR($AL267=0,COUNT($AJ$6:$AJ$305)=0),0,IF($AJ267="",1,IF(TODAY()-$AJ267&gt;Board!$B$40,1,0)))</f>
        <v/>
      </c>
      <c r="AO267" s="31">
        <f>IF($AL267=0,0,IF($M267="■ Red",3,IF($M267="◧ Amber",2,IF($M267="□ On track",1,0))))</f>
        <v/>
      </c>
      <c r="AP267" s="31">
        <f>IF($AL267=0,0,IF($AK267="Will not hold",3,IF($AK267="At risk",2,IF($AK267="Will hold",1,0))))</f>
        <v/>
      </c>
      <c r="AQ267" s="31">
        <f>IF($AL267=0,"",IF($AO267=3,0,IF($AO267=2,1,IF(AND($AP267&gt;=2,$AP267&gt;$AO267),2,""))))</f>
        <v/>
      </c>
      <c r="AR267" s="31">
        <f>IF($AQ267="","",$AQ267*1000+267)</f>
        <v/>
      </c>
      <c r="AS267" s="31">
        <f>IF(AND($AL267=1,$AO267&gt;=2,$AP267&gt;=1,$AP267&lt;$AO267),1,0)</f>
        <v/>
      </c>
      <c r="AT267" s="31">
        <f>IF(AND($AL267=1,$AO267&gt;=2,$AP267=0),1,0)</f>
        <v/>
      </c>
      <c r="AU267" s="31">
        <f>IF(AND($AL267=1,$U267&lt;&gt;"",$U267&lt;TODAY()),1,0)</f>
        <v/>
      </c>
      <c r="AV267" s="31">
        <f>IF(OR($A267="",$AJ267="",Portfolio!$B$10=""),0,IF($AJ267&lt;=Portfolio!$B$10,0,IF(AND($D267="Completed",$Z267=1),1,IF(AND($D267="Terminated",$Z267=1),2,IF(AND($Q267=1,$Z267=0),3,0)))))</f>
        <v/>
      </c>
      <c r="AW267" s="31">
        <f>IF($AV267&gt;0,COUNTIF($AV$6:$AV267,"&gt;0"),"")</f>
        <v/>
      </c>
      <c r="AX267" s="31">
        <f>IF($AL267=0,"",IF(AND($B267="Project",$H267&lt;&gt;"",$H267&lt;TODAY()),"Planned finish "&amp;TEXT($H267,"d mmm")&amp;" has passed",IF($X267&gt;=2,(NETWORKDAYS($H267,$U267)-1)&amp;" working days past plan","")))</f>
        <v/>
      </c>
      <c r="AY267" s="31">
        <f>IF($AL267=0,"",IF($Y267&gt;=2,"Over budget by "&amp;TEXT(IF($B267="Program",$V267,$J267)-$K267,"#,##0"),""))</f>
        <v/>
      </c>
      <c r="AZ267" s="31">
        <f>IF(AND($AL267=1,$U267&lt;&gt;""),IF(AND(N($U267)&gt;=TODAY(),N($U267)&lt;=TODAY()+Board!$B$41),1,0),0)</f>
        <v/>
      </c>
    </row>
    <row r="268">
      <c r="A268" s="29" t="n"/>
      <c r="B268" s="29" t="n"/>
      <c r="C268" s="29" t="n"/>
      <c r="D268" s="29" t="n"/>
      <c r="E268" s="29" t="n"/>
      <c r="F268" s="29" t="n"/>
      <c r="G268" s="29" t="n"/>
      <c r="H268" s="30" t="n"/>
      <c r="I268" s="30" t="n"/>
      <c r="J268" s="19" t="n"/>
      <c r="K268" s="19" t="n"/>
      <c r="L268" s="26" t="n"/>
      <c r="M268" s="31">
        <f>IF($A268="","",IF($D268="","Not read",IF($Q268=0,"Not counted",IF(MAX($X268,$Y268)=3,"■ Red",IF(MAX($X268,$Y268)=2,"◧ Amber",IF(MAX($X268,$Y268)=1,"□ On track","Not read"))))))</f>
        <v/>
      </c>
      <c r="N268" s="31">
        <f>IF(OR($A268="",$B268&lt;&gt;"Program"),"","■ "&amp;COUNTIFS($C$6:$C$305,$A268,$M$6:$M$305,"■ Red")&amp;" Red, ◧ "&amp;COUNTIFS($C$6:$C$305,$A268,$M$6:$M$305,"◧ Amber")&amp;" Amber")</f>
        <v/>
      </c>
      <c r="O268" s="32">
        <f>IF(OR($A268="",$E268=""),"",COUNTIFS($E$6:$E$305,$E268,$D$6:$D$305,"Active")+COUNTIFS($E$6:$E$305,$E268,$D$6:$D$305,"Paused"))</f>
        <v/>
      </c>
      <c r="P268" s="31">
        <f>IF($A268="","",IF($AE268=0,"○ Clear",IF($AA268=1,"△ No owner",IF($AC268=1,"△ Check Sits under",IF($AC268=2,"△ Outside the portfolio",IF($AB268=1,"△ No sponsor","△ No variance note"))))&amp;IF($AE268&gt;1," (+"&amp;($AE268-1)&amp;" more)","")))</f>
        <v/>
      </c>
      <c r="Q268" s="31">
        <f>IF(AND($A268&lt;&gt;"",OR($D268="Active",$D268="Paused")),1,0)</f>
        <v/>
      </c>
      <c r="R268" s="31">
        <f>IFERROR(INDEX($A$6:$A$305,MATCH(261,$S$6:$S$305,0)),"")</f>
        <v/>
      </c>
      <c r="S268" s="31">
        <f>IF(AND($A268&lt;&gt;"",$B268="Program"),COUNTIFS($B$6:$B268,"Program",$A$6:$A268,"&lt;&gt;"),"")</f>
        <v/>
      </c>
      <c r="T268" s="33">
        <f>IF(AND($A268&lt;&gt;"",$B268="Program"),SUMPRODUCT(MAX(($C$6:$C$305=$A268)*($B$6:$B$305="Project")*($D$6:$D$305&lt;&gt;"Proposed")*$I$6:$I$305)),0)</f>
        <v/>
      </c>
      <c r="U268" s="33">
        <f>IF($I268&lt;&gt;"",$I268,IF($T268&gt;0,$T268,""))</f>
        <v/>
      </c>
      <c r="V268" s="31">
        <f>IF(AND($A268&lt;&gt;"",$B268="Program"),SUMIFS($J$6:$J$305,$C$6:$C$305,$A268,$B$6:$B$305,"Project",$D$6:$D$305,"&lt;&gt;Proposed"),0)</f>
        <v/>
      </c>
      <c r="W268" s="31">
        <f>IF(AND($A268&lt;&gt;"",$B268="Program"),COUNTIFS($C$6:$C$305,$A268,$B$6:$B$305,"Project",$D$6:$D$305,"&lt;&gt;Proposed")-COUNTIFS($C$6:$C$305,$A268,$B$6:$B$305,"Project",$D$6:$D$305,"&lt;&gt;Proposed",$J$6:$J$305,"&gt;=0"),0)</f>
        <v/>
      </c>
      <c r="X268" s="31">
        <f>IF(OR($Q268=0,$H268=""),0,IF(AND($B268="Project",$H268&lt;TODAY()),3,IF($U268="",0,IF($U268&lt;=$H268,1,IF(NETWORKDAYS($H268,$U268)-1&gt;IF($B268="Program",Portfolio!$B$16,Portfolio!$B$15),3,2)))))</f>
        <v/>
      </c>
      <c r="Y268" s="31">
        <f>IF(OR($Q268=0,$K268="",$K268=0),0,IF(AND($B268="Project",$J268=""),0,IF(IF($B268="Program",$V268,$J268)&gt;$K268*(1+Portfolio!$B$17),3,IF(IF($B268="Program",$V268,$J268)&gt;$K268,2,IF(AND($B268="Program",OR($W268&gt;0,$V268=0)),0,1)))))</f>
        <v/>
      </c>
      <c r="Z268" s="31">
        <f>IF($A268="",0,IF($C268="Portfolio",1,IF(AND($B268="Project",$C268&lt;&gt;"",$C268&lt;&gt;"Outside the portfolio"),IFERROR(IF(AND(INDEX($B$6:$B$305,MATCH($C268,$A$6:$A$305,0))="Program",INDEX($C$6:$C$305,MATCH($C268,$A$6:$A$305,0))="Portfolio"),1,0),0),0)))</f>
        <v/>
      </c>
      <c r="AA268" s="31">
        <f>IF(AND($A268&lt;&gt;"",$E268="",OR($Q268=1,$D268="Proposed")),1,0)</f>
        <v/>
      </c>
      <c r="AB268" s="31">
        <f>IF(AND($A268&lt;&gt;"",$B268="Program",$F268="",$Q268=1),1,0)</f>
        <v/>
      </c>
      <c r="AC268" s="31">
        <f>IF(OR($A268="",$D268="Completed",$D268="Terminated"),0,IF($C268="",1,IF($C268="Portfolio",0,IF($C268="Outside the portfolio",IF($Q268=1,2,0),IF($B268="Project",IF(IFERROR(INDEX($B$6:$B$305,MATCH($C268,$A$6:$A$305,0)),"")="Program",0,1),1)))))</f>
        <v/>
      </c>
      <c r="AD268" s="31">
        <f>IF(AND($A268&lt;&gt;"",OR($M268="■ Red",$M268="◧ Amber"),$L268=""),1,0)</f>
        <v/>
      </c>
      <c r="AE268" s="31">
        <f>$AA268+$AB268+IF($AC268&gt;0,1,0)+$AD268</f>
        <v/>
      </c>
      <c r="AJ268" s="14" t="n"/>
      <c r="AK268" s="29" t="n"/>
      <c r="AL268" s="31">
        <f>IF(AND($Q268=1,$Z268=1),1,0)</f>
        <v/>
      </c>
      <c r="AM268" s="31">
        <f>IF(AND($AL268=1,$AJ268&lt;&gt;""),MAX(0,TODAY()-$AJ268),"")</f>
        <v/>
      </c>
      <c r="AN268" s="31">
        <f>IF(OR($AL268=0,COUNT($AJ$6:$AJ$305)=0),0,IF($AJ268="",1,IF(TODAY()-$AJ268&gt;Board!$B$40,1,0)))</f>
        <v/>
      </c>
      <c r="AO268" s="31">
        <f>IF($AL268=0,0,IF($M268="■ Red",3,IF($M268="◧ Amber",2,IF($M268="□ On track",1,0))))</f>
        <v/>
      </c>
      <c r="AP268" s="31">
        <f>IF($AL268=0,0,IF($AK268="Will not hold",3,IF($AK268="At risk",2,IF($AK268="Will hold",1,0))))</f>
        <v/>
      </c>
      <c r="AQ268" s="31">
        <f>IF($AL268=0,"",IF($AO268=3,0,IF($AO268=2,1,IF(AND($AP268&gt;=2,$AP268&gt;$AO268),2,""))))</f>
        <v/>
      </c>
      <c r="AR268" s="31">
        <f>IF($AQ268="","",$AQ268*1000+268)</f>
        <v/>
      </c>
      <c r="AS268" s="31">
        <f>IF(AND($AL268=1,$AO268&gt;=2,$AP268&gt;=1,$AP268&lt;$AO268),1,0)</f>
        <v/>
      </c>
      <c r="AT268" s="31">
        <f>IF(AND($AL268=1,$AO268&gt;=2,$AP268=0),1,0)</f>
        <v/>
      </c>
      <c r="AU268" s="31">
        <f>IF(AND($AL268=1,$U268&lt;&gt;"",$U268&lt;TODAY()),1,0)</f>
        <v/>
      </c>
      <c r="AV268" s="31">
        <f>IF(OR($A268="",$AJ268="",Portfolio!$B$10=""),0,IF($AJ268&lt;=Portfolio!$B$10,0,IF(AND($D268="Completed",$Z268=1),1,IF(AND($D268="Terminated",$Z268=1),2,IF(AND($Q268=1,$Z268=0),3,0)))))</f>
        <v/>
      </c>
      <c r="AW268" s="31">
        <f>IF($AV268&gt;0,COUNTIF($AV$6:$AV268,"&gt;0"),"")</f>
        <v/>
      </c>
      <c r="AX268" s="31">
        <f>IF($AL268=0,"",IF(AND($B268="Project",$H268&lt;&gt;"",$H268&lt;TODAY()),"Planned finish "&amp;TEXT($H268,"d mmm")&amp;" has passed",IF($X268&gt;=2,(NETWORKDAYS($H268,$U268)-1)&amp;" working days past plan","")))</f>
        <v/>
      </c>
      <c r="AY268" s="31">
        <f>IF($AL268=0,"",IF($Y268&gt;=2,"Over budget by "&amp;TEXT(IF($B268="Program",$V268,$J268)-$K268,"#,##0"),""))</f>
        <v/>
      </c>
      <c r="AZ268" s="31">
        <f>IF(AND($AL268=1,$U268&lt;&gt;""),IF(AND(N($U268)&gt;=TODAY(),N($U268)&lt;=TODAY()+Board!$B$41),1,0),0)</f>
        <v/>
      </c>
    </row>
    <row r="269">
      <c r="A269" s="29" t="n"/>
      <c r="B269" s="29" t="n"/>
      <c r="C269" s="29" t="n"/>
      <c r="D269" s="29" t="n"/>
      <c r="E269" s="29" t="n"/>
      <c r="F269" s="29" t="n"/>
      <c r="G269" s="29" t="n"/>
      <c r="H269" s="30" t="n"/>
      <c r="I269" s="30" t="n"/>
      <c r="J269" s="19" t="n"/>
      <c r="K269" s="19" t="n"/>
      <c r="L269" s="26" t="n"/>
      <c r="M269" s="31">
        <f>IF($A269="","",IF($D269="","Not read",IF($Q269=0,"Not counted",IF(MAX($X269,$Y269)=3,"■ Red",IF(MAX($X269,$Y269)=2,"◧ Amber",IF(MAX($X269,$Y269)=1,"□ On track","Not read"))))))</f>
        <v/>
      </c>
      <c r="N269" s="31">
        <f>IF(OR($A269="",$B269&lt;&gt;"Program"),"","■ "&amp;COUNTIFS($C$6:$C$305,$A269,$M$6:$M$305,"■ Red")&amp;" Red, ◧ "&amp;COUNTIFS($C$6:$C$305,$A269,$M$6:$M$305,"◧ Amber")&amp;" Amber")</f>
        <v/>
      </c>
      <c r="O269" s="32">
        <f>IF(OR($A269="",$E269=""),"",COUNTIFS($E$6:$E$305,$E269,$D$6:$D$305,"Active")+COUNTIFS($E$6:$E$305,$E269,$D$6:$D$305,"Paused"))</f>
        <v/>
      </c>
      <c r="P269" s="31">
        <f>IF($A269="","",IF($AE269=0,"○ Clear",IF($AA269=1,"△ No owner",IF($AC269=1,"△ Check Sits under",IF($AC269=2,"△ Outside the portfolio",IF($AB269=1,"△ No sponsor","△ No variance note"))))&amp;IF($AE269&gt;1," (+"&amp;($AE269-1)&amp;" more)","")))</f>
        <v/>
      </c>
      <c r="Q269" s="31">
        <f>IF(AND($A269&lt;&gt;"",OR($D269="Active",$D269="Paused")),1,0)</f>
        <v/>
      </c>
      <c r="R269" s="31">
        <f>IFERROR(INDEX($A$6:$A$305,MATCH(262,$S$6:$S$305,0)),"")</f>
        <v/>
      </c>
      <c r="S269" s="31">
        <f>IF(AND($A269&lt;&gt;"",$B269="Program"),COUNTIFS($B$6:$B269,"Program",$A$6:$A269,"&lt;&gt;"),"")</f>
        <v/>
      </c>
      <c r="T269" s="33">
        <f>IF(AND($A269&lt;&gt;"",$B269="Program"),SUMPRODUCT(MAX(($C$6:$C$305=$A269)*($B$6:$B$305="Project")*($D$6:$D$305&lt;&gt;"Proposed")*$I$6:$I$305)),0)</f>
        <v/>
      </c>
      <c r="U269" s="33">
        <f>IF($I269&lt;&gt;"",$I269,IF($T269&gt;0,$T269,""))</f>
        <v/>
      </c>
      <c r="V269" s="31">
        <f>IF(AND($A269&lt;&gt;"",$B269="Program"),SUMIFS($J$6:$J$305,$C$6:$C$305,$A269,$B$6:$B$305,"Project",$D$6:$D$305,"&lt;&gt;Proposed"),0)</f>
        <v/>
      </c>
      <c r="W269" s="31">
        <f>IF(AND($A269&lt;&gt;"",$B269="Program"),COUNTIFS($C$6:$C$305,$A269,$B$6:$B$305,"Project",$D$6:$D$305,"&lt;&gt;Proposed")-COUNTIFS($C$6:$C$305,$A269,$B$6:$B$305,"Project",$D$6:$D$305,"&lt;&gt;Proposed",$J$6:$J$305,"&gt;=0"),0)</f>
        <v/>
      </c>
      <c r="X269" s="31">
        <f>IF(OR($Q269=0,$H269=""),0,IF(AND($B269="Project",$H269&lt;TODAY()),3,IF($U269="",0,IF($U269&lt;=$H269,1,IF(NETWORKDAYS($H269,$U269)-1&gt;IF($B269="Program",Portfolio!$B$16,Portfolio!$B$15),3,2)))))</f>
        <v/>
      </c>
      <c r="Y269" s="31">
        <f>IF(OR($Q269=0,$K269="",$K269=0),0,IF(AND($B269="Project",$J269=""),0,IF(IF($B269="Program",$V269,$J269)&gt;$K269*(1+Portfolio!$B$17),3,IF(IF($B269="Program",$V269,$J269)&gt;$K269,2,IF(AND($B269="Program",OR($W269&gt;0,$V269=0)),0,1)))))</f>
        <v/>
      </c>
      <c r="Z269" s="31">
        <f>IF($A269="",0,IF($C269="Portfolio",1,IF(AND($B269="Project",$C269&lt;&gt;"",$C269&lt;&gt;"Outside the portfolio"),IFERROR(IF(AND(INDEX($B$6:$B$305,MATCH($C269,$A$6:$A$305,0))="Program",INDEX($C$6:$C$305,MATCH($C269,$A$6:$A$305,0))="Portfolio"),1,0),0),0)))</f>
        <v/>
      </c>
      <c r="AA269" s="31">
        <f>IF(AND($A269&lt;&gt;"",$E269="",OR($Q269=1,$D269="Proposed")),1,0)</f>
        <v/>
      </c>
      <c r="AB269" s="31">
        <f>IF(AND($A269&lt;&gt;"",$B269="Program",$F269="",$Q269=1),1,0)</f>
        <v/>
      </c>
      <c r="AC269" s="31">
        <f>IF(OR($A269="",$D269="Completed",$D269="Terminated"),0,IF($C269="",1,IF($C269="Portfolio",0,IF($C269="Outside the portfolio",IF($Q269=1,2,0),IF($B269="Project",IF(IFERROR(INDEX($B$6:$B$305,MATCH($C269,$A$6:$A$305,0)),"")="Program",0,1),1)))))</f>
        <v/>
      </c>
      <c r="AD269" s="31">
        <f>IF(AND($A269&lt;&gt;"",OR($M269="■ Red",$M269="◧ Amber"),$L269=""),1,0)</f>
        <v/>
      </c>
      <c r="AE269" s="31">
        <f>$AA269+$AB269+IF($AC269&gt;0,1,0)+$AD269</f>
        <v/>
      </c>
      <c r="AJ269" s="14" t="n"/>
      <c r="AK269" s="29" t="n"/>
      <c r="AL269" s="31">
        <f>IF(AND($Q269=1,$Z269=1),1,0)</f>
        <v/>
      </c>
      <c r="AM269" s="31">
        <f>IF(AND($AL269=1,$AJ269&lt;&gt;""),MAX(0,TODAY()-$AJ269),"")</f>
        <v/>
      </c>
      <c r="AN269" s="31">
        <f>IF(OR($AL269=0,COUNT($AJ$6:$AJ$305)=0),0,IF($AJ269="",1,IF(TODAY()-$AJ269&gt;Board!$B$40,1,0)))</f>
        <v/>
      </c>
      <c r="AO269" s="31">
        <f>IF($AL269=0,0,IF($M269="■ Red",3,IF($M269="◧ Amber",2,IF($M269="□ On track",1,0))))</f>
        <v/>
      </c>
      <c r="AP269" s="31">
        <f>IF($AL269=0,0,IF($AK269="Will not hold",3,IF($AK269="At risk",2,IF($AK269="Will hold",1,0))))</f>
        <v/>
      </c>
      <c r="AQ269" s="31">
        <f>IF($AL269=0,"",IF($AO269=3,0,IF($AO269=2,1,IF(AND($AP269&gt;=2,$AP269&gt;$AO269),2,""))))</f>
        <v/>
      </c>
      <c r="AR269" s="31">
        <f>IF($AQ269="","",$AQ269*1000+269)</f>
        <v/>
      </c>
      <c r="AS269" s="31">
        <f>IF(AND($AL269=1,$AO269&gt;=2,$AP269&gt;=1,$AP269&lt;$AO269),1,0)</f>
        <v/>
      </c>
      <c r="AT269" s="31">
        <f>IF(AND($AL269=1,$AO269&gt;=2,$AP269=0),1,0)</f>
        <v/>
      </c>
      <c r="AU269" s="31">
        <f>IF(AND($AL269=1,$U269&lt;&gt;"",$U269&lt;TODAY()),1,0)</f>
        <v/>
      </c>
      <c r="AV269" s="31">
        <f>IF(OR($A269="",$AJ269="",Portfolio!$B$10=""),0,IF($AJ269&lt;=Portfolio!$B$10,0,IF(AND($D269="Completed",$Z269=1),1,IF(AND($D269="Terminated",$Z269=1),2,IF(AND($Q269=1,$Z269=0),3,0)))))</f>
        <v/>
      </c>
      <c r="AW269" s="31">
        <f>IF($AV269&gt;0,COUNTIF($AV$6:$AV269,"&gt;0"),"")</f>
        <v/>
      </c>
      <c r="AX269" s="31">
        <f>IF($AL269=0,"",IF(AND($B269="Project",$H269&lt;&gt;"",$H269&lt;TODAY()),"Planned finish "&amp;TEXT($H269,"d mmm")&amp;" has passed",IF($X269&gt;=2,(NETWORKDAYS($H269,$U269)-1)&amp;" working days past plan","")))</f>
        <v/>
      </c>
      <c r="AY269" s="31">
        <f>IF($AL269=0,"",IF($Y269&gt;=2,"Over budget by "&amp;TEXT(IF($B269="Program",$V269,$J269)-$K269,"#,##0"),""))</f>
        <v/>
      </c>
      <c r="AZ269" s="31">
        <f>IF(AND($AL269=1,$U269&lt;&gt;""),IF(AND(N($U269)&gt;=TODAY(),N($U269)&lt;=TODAY()+Board!$B$41),1,0),0)</f>
        <v/>
      </c>
    </row>
    <row r="270">
      <c r="A270" s="29" t="n"/>
      <c r="B270" s="29" t="n"/>
      <c r="C270" s="29" t="n"/>
      <c r="D270" s="29" t="n"/>
      <c r="E270" s="29" t="n"/>
      <c r="F270" s="29" t="n"/>
      <c r="G270" s="29" t="n"/>
      <c r="H270" s="30" t="n"/>
      <c r="I270" s="30" t="n"/>
      <c r="J270" s="19" t="n"/>
      <c r="K270" s="19" t="n"/>
      <c r="L270" s="26" t="n"/>
      <c r="M270" s="31">
        <f>IF($A270="","",IF($D270="","Not read",IF($Q270=0,"Not counted",IF(MAX($X270,$Y270)=3,"■ Red",IF(MAX($X270,$Y270)=2,"◧ Amber",IF(MAX($X270,$Y270)=1,"□ On track","Not read"))))))</f>
        <v/>
      </c>
      <c r="N270" s="31">
        <f>IF(OR($A270="",$B270&lt;&gt;"Program"),"","■ "&amp;COUNTIFS($C$6:$C$305,$A270,$M$6:$M$305,"■ Red")&amp;" Red, ◧ "&amp;COUNTIFS($C$6:$C$305,$A270,$M$6:$M$305,"◧ Amber")&amp;" Amber")</f>
        <v/>
      </c>
      <c r="O270" s="32">
        <f>IF(OR($A270="",$E270=""),"",COUNTIFS($E$6:$E$305,$E270,$D$6:$D$305,"Active")+COUNTIFS($E$6:$E$305,$E270,$D$6:$D$305,"Paused"))</f>
        <v/>
      </c>
      <c r="P270" s="31">
        <f>IF($A270="","",IF($AE270=0,"○ Clear",IF($AA270=1,"△ No owner",IF($AC270=1,"△ Check Sits under",IF($AC270=2,"△ Outside the portfolio",IF($AB270=1,"△ No sponsor","△ No variance note"))))&amp;IF($AE270&gt;1," (+"&amp;($AE270-1)&amp;" more)","")))</f>
        <v/>
      </c>
      <c r="Q270" s="31">
        <f>IF(AND($A270&lt;&gt;"",OR($D270="Active",$D270="Paused")),1,0)</f>
        <v/>
      </c>
      <c r="R270" s="31">
        <f>IFERROR(INDEX($A$6:$A$305,MATCH(263,$S$6:$S$305,0)),"")</f>
        <v/>
      </c>
      <c r="S270" s="31">
        <f>IF(AND($A270&lt;&gt;"",$B270="Program"),COUNTIFS($B$6:$B270,"Program",$A$6:$A270,"&lt;&gt;"),"")</f>
        <v/>
      </c>
      <c r="T270" s="33">
        <f>IF(AND($A270&lt;&gt;"",$B270="Program"),SUMPRODUCT(MAX(($C$6:$C$305=$A270)*($B$6:$B$305="Project")*($D$6:$D$305&lt;&gt;"Proposed")*$I$6:$I$305)),0)</f>
        <v/>
      </c>
      <c r="U270" s="33">
        <f>IF($I270&lt;&gt;"",$I270,IF($T270&gt;0,$T270,""))</f>
        <v/>
      </c>
      <c r="V270" s="31">
        <f>IF(AND($A270&lt;&gt;"",$B270="Program"),SUMIFS($J$6:$J$305,$C$6:$C$305,$A270,$B$6:$B$305,"Project",$D$6:$D$305,"&lt;&gt;Proposed"),0)</f>
        <v/>
      </c>
      <c r="W270" s="31">
        <f>IF(AND($A270&lt;&gt;"",$B270="Program"),COUNTIFS($C$6:$C$305,$A270,$B$6:$B$305,"Project",$D$6:$D$305,"&lt;&gt;Proposed")-COUNTIFS($C$6:$C$305,$A270,$B$6:$B$305,"Project",$D$6:$D$305,"&lt;&gt;Proposed",$J$6:$J$305,"&gt;=0"),0)</f>
        <v/>
      </c>
      <c r="X270" s="31">
        <f>IF(OR($Q270=0,$H270=""),0,IF(AND($B270="Project",$H270&lt;TODAY()),3,IF($U270="",0,IF($U270&lt;=$H270,1,IF(NETWORKDAYS($H270,$U270)-1&gt;IF($B270="Program",Portfolio!$B$16,Portfolio!$B$15),3,2)))))</f>
        <v/>
      </c>
      <c r="Y270" s="31">
        <f>IF(OR($Q270=0,$K270="",$K270=0),0,IF(AND($B270="Project",$J270=""),0,IF(IF($B270="Program",$V270,$J270)&gt;$K270*(1+Portfolio!$B$17),3,IF(IF($B270="Program",$V270,$J270)&gt;$K270,2,IF(AND($B270="Program",OR($W270&gt;0,$V270=0)),0,1)))))</f>
        <v/>
      </c>
      <c r="Z270" s="31">
        <f>IF($A270="",0,IF($C270="Portfolio",1,IF(AND($B270="Project",$C270&lt;&gt;"",$C270&lt;&gt;"Outside the portfolio"),IFERROR(IF(AND(INDEX($B$6:$B$305,MATCH($C270,$A$6:$A$305,0))="Program",INDEX($C$6:$C$305,MATCH($C270,$A$6:$A$305,0))="Portfolio"),1,0),0),0)))</f>
        <v/>
      </c>
      <c r="AA270" s="31">
        <f>IF(AND($A270&lt;&gt;"",$E270="",OR($Q270=1,$D270="Proposed")),1,0)</f>
        <v/>
      </c>
      <c r="AB270" s="31">
        <f>IF(AND($A270&lt;&gt;"",$B270="Program",$F270="",$Q270=1),1,0)</f>
        <v/>
      </c>
      <c r="AC270" s="31">
        <f>IF(OR($A270="",$D270="Completed",$D270="Terminated"),0,IF($C270="",1,IF($C270="Portfolio",0,IF($C270="Outside the portfolio",IF($Q270=1,2,0),IF($B270="Project",IF(IFERROR(INDEX($B$6:$B$305,MATCH($C270,$A$6:$A$305,0)),"")="Program",0,1),1)))))</f>
        <v/>
      </c>
      <c r="AD270" s="31">
        <f>IF(AND($A270&lt;&gt;"",OR($M270="■ Red",$M270="◧ Amber"),$L270=""),1,0)</f>
        <v/>
      </c>
      <c r="AE270" s="31">
        <f>$AA270+$AB270+IF($AC270&gt;0,1,0)+$AD270</f>
        <v/>
      </c>
      <c r="AJ270" s="14" t="n"/>
      <c r="AK270" s="29" t="n"/>
      <c r="AL270" s="31">
        <f>IF(AND($Q270=1,$Z270=1),1,0)</f>
        <v/>
      </c>
      <c r="AM270" s="31">
        <f>IF(AND($AL270=1,$AJ270&lt;&gt;""),MAX(0,TODAY()-$AJ270),"")</f>
        <v/>
      </c>
      <c r="AN270" s="31">
        <f>IF(OR($AL270=0,COUNT($AJ$6:$AJ$305)=0),0,IF($AJ270="",1,IF(TODAY()-$AJ270&gt;Board!$B$40,1,0)))</f>
        <v/>
      </c>
      <c r="AO270" s="31">
        <f>IF($AL270=0,0,IF($M270="■ Red",3,IF($M270="◧ Amber",2,IF($M270="□ On track",1,0))))</f>
        <v/>
      </c>
      <c r="AP270" s="31">
        <f>IF($AL270=0,0,IF($AK270="Will not hold",3,IF($AK270="At risk",2,IF($AK270="Will hold",1,0))))</f>
        <v/>
      </c>
      <c r="AQ270" s="31">
        <f>IF($AL270=0,"",IF($AO270=3,0,IF($AO270=2,1,IF(AND($AP270&gt;=2,$AP270&gt;$AO270),2,""))))</f>
        <v/>
      </c>
      <c r="AR270" s="31">
        <f>IF($AQ270="","",$AQ270*1000+270)</f>
        <v/>
      </c>
      <c r="AS270" s="31">
        <f>IF(AND($AL270=1,$AO270&gt;=2,$AP270&gt;=1,$AP270&lt;$AO270),1,0)</f>
        <v/>
      </c>
      <c r="AT270" s="31">
        <f>IF(AND($AL270=1,$AO270&gt;=2,$AP270=0),1,0)</f>
        <v/>
      </c>
      <c r="AU270" s="31">
        <f>IF(AND($AL270=1,$U270&lt;&gt;"",$U270&lt;TODAY()),1,0)</f>
        <v/>
      </c>
      <c r="AV270" s="31">
        <f>IF(OR($A270="",$AJ270="",Portfolio!$B$10=""),0,IF($AJ270&lt;=Portfolio!$B$10,0,IF(AND($D270="Completed",$Z270=1),1,IF(AND($D270="Terminated",$Z270=1),2,IF(AND($Q270=1,$Z270=0),3,0)))))</f>
        <v/>
      </c>
      <c r="AW270" s="31">
        <f>IF($AV270&gt;0,COUNTIF($AV$6:$AV270,"&gt;0"),"")</f>
        <v/>
      </c>
      <c r="AX270" s="31">
        <f>IF($AL270=0,"",IF(AND($B270="Project",$H270&lt;&gt;"",$H270&lt;TODAY()),"Planned finish "&amp;TEXT($H270,"d mmm")&amp;" has passed",IF($X270&gt;=2,(NETWORKDAYS($H270,$U270)-1)&amp;" working days past plan","")))</f>
        <v/>
      </c>
      <c r="AY270" s="31">
        <f>IF($AL270=0,"",IF($Y270&gt;=2,"Over budget by "&amp;TEXT(IF($B270="Program",$V270,$J270)-$K270,"#,##0"),""))</f>
        <v/>
      </c>
      <c r="AZ270" s="31">
        <f>IF(AND($AL270=1,$U270&lt;&gt;""),IF(AND(N($U270)&gt;=TODAY(),N($U270)&lt;=TODAY()+Board!$B$41),1,0),0)</f>
        <v/>
      </c>
    </row>
    <row r="271">
      <c r="A271" s="29" t="n"/>
      <c r="B271" s="29" t="n"/>
      <c r="C271" s="29" t="n"/>
      <c r="D271" s="29" t="n"/>
      <c r="E271" s="29" t="n"/>
      <c r="F271" s="29" t="n"/>
      <c r="G271" s="29" t="n"/>
      <c r="H271" s="30" t="n"/>
      <c r="I271" s="30" t="n"/>
      <c r="J271" s="19" t="n"/>
      <c r="K271" s="19" t="n"/>
      <c r="L271" s="26" t="n"/>
      <c r="M271" s="31">
        <f>IF($A271="","",IF($D271="","Not read",IF($Q271=0,"Not counted",IF(MAX($X271,$Y271)=3,"■ Red",IF(MAX($X271,$Y271)=2,"◧ Amber",IF(MAX($X271,$Y271)=1,"□ On track","Not read"))))))</f>
        <v/>
      </c>
      <c r="N271" s="31">
        <f>IF(OR($A271="",$B271&lt;&gt;"Program"),"","■ "&amp;COUNTIFS($C$6:$C$305,$A271,$M$6:$M$305,"■ Red")&amp;" Red, ◧ "&amp;COUNTIFS($C$6:$C$305,$A271,$M$6:$M$305,"◧ Amber")&amp;" Amber")</f>
        <v/>
      </c>
      <c r="O271" s="32">
        <f>IF(OR($A271="",$E271=""),"",COUNTIFS($E$6:$E$305,$E271,$D$6:$D$305,"Active")+COUNTIFS($E$6:$E$305,$E271,$D$6:$D$305,"Paused"))</f>
        <v/>
      </c>
      <c r="P271" s="31">
        <f>IF($A271="","",IF($AE271=0,"○ Clear",IF($AA271=1,"△ No owner",IF($AC271=1,"△ Check Sits under",IF($AC271=2,"△ Outside the portfolio",IF($AB271=1,"△ No sponsor","△ No variance note"))))&amp;IF($AE271&gt;1," (+"&amp;($AE271-1)&amp;" more)","")))</f>
        <v/>
      </c>
      <c r="Q271" s="31">
        <f>IF(AND($A271&lt;&gt;"",OR($D271="Active",$D271="Paused")),1,0)</f>
        <v/>
      </c>
      <c r="R271" s="31">
        <f>IFERROR(INDEX($A$6:$A$305,MATCH(264,$S$6:$S$305,0)),"")</f>
        <v/>
      </c>
      <c r="S271" s="31">
        <f>IF(AND($A271&lt;&gt;"",$B271="Program"),COUNTIFS($B$6:$B271,"Program",$A$6:$A271,"&lt;&gt;"),"")</f>
        <v/>
      </c>
      <c r="T271" s="33">
        <f>IF(AND($A271&lt;&gt;"",$B271="Program"),SUMPRODUCT(MAX(($C$6:$C$305=$A271)*($B$6:$B$305="Project")*($D$6:$D$305&lt;&gt;"Proposed")*$I$6:$I$305)),0)</f>
        <v/>
      </c>
      <c r="U271" s="33">
        <f>IF($I271&lt;&gt;"",$I271,IF($T271&gt;0,$T271,""))</f>
        <v/>
      </c>
      <c r="V271" s="31">
        <f>IF(AND($A271&lt;&gt;"",$B271="Program"),SUMIFS($J$6:$J$305,$C$6:$C$305,$A271,$B$6:$B$305,"Project",$D$6:$D$305,"&lt;&gt;Proposed"),0)</f>
        <v/>
      </c>
      <c r="W271" s="31">
        <f>IF(AND($A271&lt;&gt;"",$B271="Program"),COUNTIFS($C$6:$C$305,$A271,$B$6:$B$305,"Project",$D$6:$D$305,"&lt;&gt;Proposed")-COUNTIFS($C$6:$C$305,$A271,$B$6:$B$305,"Project",$D$6:$D$305,"&lt;&gt;Proposed",$J$6:$J$305,"&gt;=0"),0)</f>
        <v/>
      </c>
      <c r="X271" s="31">
        <f>IF(OR($Q271=0,$H271=""),0,IF(AND($B271="Project",$H271&lt;TODAY()),3,IF($U271="",0,IF($U271&lt;=$H271,1,IF(NETWORKDAYS($H271,$U271)-1&gt;IF($B271="Program",Portfolio!$B$16,Portfolio!$B$15),3,2)))))</f>
        <v/>
      </c>
      <c r="Y271" s="31">
        <f>IF(OR($Q271=0,$K271="",$K271=0),0,IF(AND($B271="Project",$J271=""),0,IF(IF($B271="Program",$V271,$J271)&gt;$K271*(1+Portfolio!$B$17),3,IF(IF($B271="Program",$V271,$J271)&gt;$K271,2,IF(AND($B271="Program",OR($W271&gt;0,$V271=0)),0,1)))))</f>
        <v/>
      </c>
      <c r="Z271" s="31">
        <f>IF($A271="",0,IF($C271="Portfolio",1,IF(AND($B271="Project",$C271&lt;&gt;"",$C271&lt;&gt;"Outside the portfolio"),IFERROR(IF(AND(INDEX($B$6:$B$305,MATCH($C271,$A$6:$A$305,0))="Program",INDEX($C$6:$C$305,MATCH($C271,$A$6:$A$305,0))="Portfolio"),1,0),0),0)))</f>
        <v/>
      </c>
      <c r="AA271" s="31">
        <f>IF(AND($A271&lt;&gt;"",$E271="",OR($Q271=1,$D271="Proposed")),1,0)</f>
        <v/>
      </c>
      <c r="AB271" s="31">
        <f>IF(AND($A271&lt;&gt;"",$B271="Program",$F271="",$Q271=1),1,0)</f>
        <v/>
      </c>
      <c r="AC271" s="31">
        <f>IF(OR($A271="",$D271="Completed",$D271="Terminated"),0,IF($C271="",1,IF($C271="Portfolio",0,IF($C271="Outside the portfolio",IF($Q271=1,2,0),IF($B271="Project",IF(IFERROR(INDEX($B$6:$B$305,MATCH($C271,$A$6:$A$305,0)),"")="Program",0,1),1)))))</f>
        <v/>
      </c>
      <c r="AD271" s="31">
        <f>IF(AND($A271&lt;&gt;"",OR($M271="■ Red",$M271="◧ Amber"),$L271=""),1,0)</f>
        <v/>
      </c>
      <c r="AE271" s="31">
        <f>$AA271+$AB271+IF($AC271&gt;0,1,0)+$AD271</f>
        <v/>
      </c>
      <c r="AJ271" s="14" t="n"/>
      <c r="AK271" s="29" t="n"/>
      <c r="AL271" s="31">
        <f>IF(AND($Q271=1,$Z271=1),1,0)</f>
        <v/>
      </c>
      <c r="AM271" s="31">
        <f>IF(AND($AL271=1,$AJ271&lt;&gt;""),MAX(0,TODAY()-$AJ271),"")</f>
        <v/>
      </c>
      <c r="AN271" s="31">
        <f>IF(OR($AL271=0,COUNT($AJ$6:$AJ$305)=0),0,IF($AJ271="",1,IF(TODAY()-$AJ271&gt;Board!$B$40,1,0)))</f>
        <v/>
      </c>
      <c r="AO271" s="31">
        <f>IF($AL271=0,0,IF($M271="■ Red",3,IF($M271="◧ Amber",2,IF($M271="□ On track",1,0))))</f>
        <v/>
      </c>
      <c r="AP271" s="31">
        <f>IF($AL271=0,0,IF($AK271="Will not hold",3,IF($AK271="At risk",2,IF($AK271="Will hold",1,0))))</f>
        <v/>
      </c>
      <c r="AQ271" s="31">
        <f>IF($AL271=0,"",IF($AO271=3,0,IF($AO271=2,1,IF(AND($AP271&gt;=2,$AP271&gt;$AO271),2,""))))</f>
        <v/>
      </c>
      <c r="AR271" s="31">
        <f>IF($AQ271="","",$AQ271*1000+271)</f>
        <v/>
      </c>
      <c r="AS271" s="31">
        <f>IF(AND($AL271=1,$AO271&gt;=2,$AP271&gt;=1,$AP271&lt;$AO271),1,0)</f>
        <v/>
      </c>
      <c r="AT271" s="31">
        <f>IF(AND($AL271=1,$AO271&gt;=2,$AP271=0),1,0)</f>
        <v/>
      </c>
      <c r="AU271" s="31">
        <f>IF(AND($AL271=1,$U271&lt;&gt;"",$U271&lt;TODAY()),1,0)</f>
        <v/>
      </c>
      <c r="AV271" s="31">
        <f>IF(OR($A271="",$AJ271="",Portfolio!$B$10=""),0,IF($AJ271&lt;=Portfolio!$B$10,0,IF(AND($D271="Completed",$Z271=1),1,IF(AND($D271="Terminated",$Z271=1),2,IF(AND($Q271=1,$Z271=0),3,0)))))</f>
        <v/>
      </c>
      <c r="AW271" s="31">
        <f>IF($AV271&gt;0,COUNTIF($AV$6:$AV271,"&gt;0"),"")</f>
        <v/>
      </c>
      <c r="AX271" s="31">
        <f>IF($AL271=0,"",IF(AND($B271="Project",$H271&lt;&gt;"",$H271&lt;TODAY()),"Planned finish "&amp;TEXT($H271,"d mmm")&amp;" has passed",IF($X271&gt;=2,(NETWORKDAYS($H271,$U271)-1)&amp;" working days past plan","")))</f>
        <v/>
      </c>
      <c r="AY271" s="31">
        <f>IF($AL271=0,"",IF($Y271&gt;=2,"Over budget by "&amp;TEXT(IF($B271="Program",$V271,$J271)-$K271,"#,##0"),""))</f>
        <v/>
      </c>
      <c r="AZ271" s="31">
        <f>IF(AND($AL271=1,$U271&lt;&gt;""),IF(AND(N($U271)&gt;=TODAY(),N($U271)&lt;=TODAY()+Board!$B$41),1,0),0)</f>
        <v/>
      </c>
    </row>
    <row r="272">
      <c r="A272" s="29" t="n"/>
      <c r="B272" s="29" t="n"/>
      <c r="C272" s="29" t="n"/>
      <c r="D272" s="29" t="n"/>
      <c r="E272" s="29" t="n"/>
      <c r="F272" s="29" t="n"/>
      <c r="G272" s="29" t="n"/>
      <c r="H272" s="30" t="n"/>
      <c r="I272" s="30" t="n"/>
      <c r="J272" s="19" t="n"/>
      <c r="K272" s="19" t="n"/>
      <c r="L272" s="26" t="n"/>
      <c r="M272" s="31">
        <f>IF($A272="","",IF($D272="","Not read",IF($Q272=0,"Not counted",IF(MAX($X272,$Y272)=3,"■ Red",IF(MAX($X272,$Y272)=2,"◧ Amber",IF(MAX($X272,$Y272)=1,"□ On track","Not read"))))))</f>
        <v/>
      </c>
      <c r="N272" s="31">
        <f>IF(OR($A272="",$B272&lt;&gt;"Program"),"","■ "&amp;COUNTIFS($C$6:$C$305,$A272,$M$6:$M$305,"■ Red")&amp;" Red, ◧ "&amp;COUNTIFS($C$6:$C$305,$A272,$M$6:$M$305,"◧ Amber")&amp;" Amber")</f>
        <v/>
      </c>
      <c r="O272" s="32">
        <f>IF(OR($A272="",$E272=""),"",COUNTIFS($E$6:$E$305,$E272,$D$6:$D$305,"Active")+COUNTIFS($E$6:$E$305,$E272,$D$6:$D$305,"Paused"))</f>
        <v/>
      </c>
      <c r="P272" s="31">
        <f>IF($A272="","",IF($AE272=0,"○ Clear",IF($AA272=1,"△ No owner",IF($AC272=1,"△ Check Sits under",IF($AC272=2,"△ Outside the portfolio",IF($AB272=1,"△ No sponsor","△ No variance note"))))&amp;IF($AE272&gt;1," (+"&amp;($AE272-1)&amp;" more)","")))</f>
        <v/>
      </c>
      <c r="Q272" s="31">
        <f>IF(AND($A272&lt;&gt;"",OR($D272="Active",$D272="Paused")),1,0)</f>
        <v/>
      </c>
      <c r="R272" s="31">
        <f>IFERROR(INDEX($A$6:$A$305,MATCH(265,$S$6:$S$305,0)),"")</f>
        <v/>
      </c>
      <c r="S272" s="31">
        <f>IF(AND($A272&lt;&gt;"",$B272="Program"),COUNTIFS($B$6:$B272,"Program",$A$6:$A272,"&lt;&gt;"),"")</f>
        <v/>
      </c>
      <c r="T272" s="33">
        <f>IF(AND($A272&lt;&gt;"",$B272="Program"),SUMPRODUCT(MAX(($C$6:$C$305=$A272)*($B$6:$B$305="Project")*($D$6:$D$305&lt;&gt;"Proposed")*$I$6:$I$305)),0)</f>
        <v/>
      </c>
      <c r="U272" s="33">
        <f>IF($I272&lt;&gt;"",$I272,IF($T272&gt;0,$T272,""))</f>
        <v/>
      </c>
      <c r="V272" s="31">
        <f>IF(AND($A272&lt;&gt;"",$B272="Program"),SUMIFS($J$6:$J$305,$C$6:$C$305,$A272,$B$6:$B$305,"Project",$D$6:$D$305,"&lt;&gt;Proposed"),0)</f>
        <v/>
      </c>
      <c r="W272" s="31">
        <f>IF(AND($A272&lt;&gt;"",$B272="Program"),COUNTIFS($C$6:$C$305,$A272,$B$6:$B$305,"Project",$D$6:$D$305,"&lt;&gt;Proposed")-COUNTIFS($C$6:$C$305,$A272,$B$6:$B$305,"Project",$D$6:$D$305,"&lt;&gt;Proposed",$J$6:$J$305,"&gt;=0"),0)</f>
        <v/>
      </c>
      <c r="X272" s="31">
        <f>IF(OR($Q272=0,$H272=""),0,IF(AND($B272="Project",$H272&lt;TODAY()),3,IF($U272="",0,IF($U272&lt;=$H272,1,IF(NETWORKDAYS($H272,$U272)-1&gt;IF($B272="Program",Portfolio!$B$16,Portfolio!$B$15),3,2)))))</f>
        <v/>
      </c>
      <c r="Y272" s="31">
        <f>IF(OR($Q272=0,$K272="",$K272=0),0,IF(AND($B272="Project",$J272=""),0,IF(IF($B272="Program",$V272,$J272)&gt;$K272*(1+Portfolio!$B$17),3,IF(IF($B272="Program",$V272,$J272)&gt;$K272,2,IF(AND($B272="Program",OR($W272&gt;0,$V272=0)),0,1)))))</f>
        <v/>
      </c>
      <c r="Z272" s="31">
        <f>IF($A272="",0,IF($C272="Portfolio",1,IF(AND($B272="Project",$C272&lt;&gt;"",$C272&lt;&gt;"Outside the portfolio"),IFERROR(IF(AND(INDEX($B$6:$B$305,MATCH($C272,$A$6:$A$305,0))="Program",INDEX($C$6:$C$305,MATCH($C272,$A$6:$A$305,0))="Portfolio"),1,0),0),0)))</f>
        <v/>
      </c>
      <c r="AA272" s="31">
        <f>IF(AND($A272&lt;&gt;"",$E272="",OR($Q272=1,$D272="Proposed")),1,0)</f>
        <v/>
      </c>
      <c r="AB272" s="31">
        <f>IF(AND($A272&lt;&gt;"",$B272="Program",$F272="",$Q272=1),1,0)</f>
        <v/>
      </c>
      <c r="AC272" s="31">
        <f>IF(OR($A272="",$D272="Completed",$D272="Terminated"),0,IF($C272="",1,IF($C272="Portfolio",0,IF($C272="Outside the portfolio",IF($Q272=1,2,0),IF($B272="Project",IF(IFERROR(INDEX($B$6:$B$305,MATCH($C272,$A$6:$A$305,0)),"")="Program",0,1),1)))))</f>
        <v/>
      </c>
      <c r="AD272" s="31">
        <f>IF(AND($A272&lt;&gt;"",OR($M272="■ Red",$M272="◧ Amber"),$L272=""),1,0)</f>
        <v/>
      </c>
      <c r="AE272" s="31">
        <f>$AA272+$AB272+IF($AC272&gt;0,1,0)+$AD272</f>
        <v/>
      </c>
      <c r="AJ272" s="14" t="n"/>
      <c r="AK272" s="29" t="n"/>
      <c r="AL272" s="31">
        <f>IF(AND($Q272=1,$Z272=1),1,0)</f>
        <v/>
      </c>
      <c r="AM272" s="31">
        <f>IF(AND($AL272=1,$AJ272&lt;&gt;""),MAX(0,TODAY()-$AJ272),"")</f>
        <v/>
      </c>
      <c r="AN272" s="31">
        <f>IF(OR($AL272=0,COUNT($AJ$6:$AJ$305)=0),0,IF($AJ272="",1,IF(TODAY()-$AJ272&gt;Board!$B$40,1,0)))</f>
        <v/>
      </c>
      <c r="AO272" s="31">
        <f>IF($AL272=0,0,IF($M272="■ Red",3,IF($M272="◧ Amber",2,IF($M272="□ On track",1,0))))</f>
        <v/>
      </c>
      <c r="AP272" s="31">
        <f>IF($AL272=0,0,IF($AK272="Will not hold",3,IF($AK272="At risk",2,IF($AK272="Will hold",1,0))))</f>
        <v/>
      </c>
      <c r="AQ272" s="31">
        <f>IF($AL272=0,"",IF($AO272=3,0,IF($AO272=2,1,IF(AND($AP272&gt;=2,$AP272&gt;$AO272),2,""))))</f>
        <v/>
      </c>
      <c r="AR272" s="31">
        <f>IF($AQ272="","",$AQ272*1000+272)</f>
        <v/>
      </c>
      <c r="AS272" s="31">
        <f>IF(AND($AL272=1,$AO272&gt;=2,$AP272&gt;=1,$AP272&lt;$AO272),1,0)</f>
        <v/>
      </c>
      <c r="AT272" s="31">
        <f>IF(AND($AL272=1,$AO272&gt;=2,$AP272=0),1,0)</f>
        <v/>
      </c>
      <c r="AU272" s="31">
        <f>IF(AND($AL272=1,$U272&lt;&gt;"",$U272&lt;TODAY()),1,0)</f>
        <v/>
      </c>
      <c r="AV272" s="31">
        <f>IF(OR($A272="",$AJ272="",Portfolio!$B$10=""),0,IF($AJ272&lt;=Portfolio!$B$10,0,IF(AND($D272="Completed",$Z272=1),1,IF(AND($D272="Terminated",$Z272=1),2,IF(AND($Q272=1,$Z272=0),3,0)))))</f>
        <v/>
      </c>
      <c r="AW272" s="31">
        <f>IF($AV272&gt;0,COUNTIF($AV$6:$AV272,"&gt;0"),"")</f>
        <v/>
      </c>
      <c r="AX272" s="31">
        <f>IF($AL272=0,"",IF(AND($B272="Project",$H272&lt;&gt;"",$H272&lt;TODAY()),"Planned finish "&amp;TEXT($H272,"d mmm")&amp;" has passed",IF($X272&gt;=2,(NETWORKDAYS($H272,$U272)-1)&amp;" working days past plan","")))</f>
        <v/>
      </c>
      <c r="AY272" s="31">
        <f>IF($AL272=0,"",IF($Y272&gt;=2,"Over budget by "&amp;TEXT(IF($B272="Program",$V272,$J272)-$K272,"#,##0"),""))</f>
        <v/>
      </c>
      <c r="AZ272" s="31">
        <f>IF(AND($AL272=1,$U272&lt;&gt;""),IF(AND(N($U272)&gt;=TODAY(),N($U272)&lt;=TODAY()+Board!$B$41),1,0),0)</f>
        <v/>
      </c>
    </row>
    <row r="273">
      <c r="A273" s="29" t="n"/>
      <c r="B273" s="29" t="n"/>
      <c r="C273" s="29" t="n"/>
      <c r="D273" s="29" t="n"/>
      <c r="E273" s="29" t="n"/>
      <c r="F273" s="29" t="n"/>
      <c r="G273" s="29" t="n"/>
      <c r="H273" s="30" t="n"/>
      <c r="I273" s="30" t="n"/>
      <c r="J273" s="19" t="n"/>
      <c r="K273" s="19" t="n"/>
      <c r="L273" s="26" t="n"/>
      <c r="M273" s="31">
        <f>IF($A273="","",IF($D273="","Not read",IF($Q273=0,"Not counted",IF(MAX($X273,$Y273)=3,"■ Red",IF(MAX($X273,$Y273)=2,"◧ Amber",IF(MAX($X273,$Y273)=1,"□ On track","Not read"))))))</f>
        <v/>
      </c>
      <c r="N273" s="31">
        <f>IF(OR($A273="",$B273&lt;&gt;"Program"),"","■ "&amp;COUNTIFS($C$6:$C$305,$A273,$M$6:$M$305,"■ Red")&amp;" Red, ◧ "&amp;COUNTIFS($C$6:$C$305,$A273,$M$6:$M$305,"◧ Amber")&amp;" Amber")</f>
        <v/>
      </c>
      <c r="O273" s="32">
        <f>IF(OR($A273="",$E273=""),"",COUNTIFS($E$6:$E$305,$E273,$D$6:$D$305,"Active")+COUNTIFS($E$6:$E$305,$E273,$D$6:$D$305,"Paused"))</f>
        <v/>
      </c>
      <c r="P273" s="31">
        <f>IF($A273="","",IF($AE273=0,"○ Clear",IF($AA273=1,"△ No owner",IF($AC273=1,"△ Check Sits under",IF($AC273=2,"△ Outside the portfolio",IF($AB273=1,"△ No sponsor","△ No variance note"))))&amp;IF($AE273&gt;1," (+"&amp;($AE273-1)&amp;" more)","")))</f>
        <v/>
      </c>
      <c r="Q273" s="31">
        <f>IF(AND($A273&lt;&gt;"",OR($D273="Active",$D273="Paused")),1,0)</f>
        <v/>
      </c>
      <c r="R273" s="31">
        <f>IFERROR(INDEX($A$6:$A$305,MATCH(266,$S$6:$S$305,0)),"")</f>
        <v/>
      </c>
      <c r="S273" s="31">
        <f>IF(AND($A273&lt;&gt;"",$B273="Program"),COUNTIFS($B$6:$B273,"Program",$A$6:$A273,"&lt;&gt;"),"")</f>
        <v/>
      </c>
      <c r="T273" s="33">
        <f>IF(AND($A273&lt;&gt;"",$B273="Program"),SUMPRODUCT(MAX(($C$6:$C$305=$A273)*($B$6:$B$305="Project")*($D$6:$D$305&lt;&gt;"Proposed")*$I$6:$I$305)),0)</f>
        <v/>
      </c>
      <c r="U273" s="33">
        <f>IF($I273&lt;&gt;"",$I273,IF($T273&gt;0,$T273,""))</f>
        <v/>
      </c>
      <c r="V273" s="31">
        <f>IF(AND($A273&lt;&gt;"",$B273="Program"),SUMIFS($J$6:$J$305,$C$6:$C$305,$A273,$B$6:$B$305,"Project",$D$6:$D$305,"&lt;&gt;Proposed"),0)</f>
        <v/>
      </c>
      <c r="W273" s="31">
        <f>IF(AND($A273&lt;&gt;"",$B273="Program"),COUNTIFS($C$6:$C$305,$A273,$B$6:$B$305,"Project",$D$6:$D$305,"&lt;&gt;Proposed")-COUNTIFS($C$6:$C$305,$A273,$B$6:$B$305,"Project",$D$6:$D$305,"&lt;&gt;Proposed",$J$6:$J$305,"&gt;=0"),0)</f>
        <v/>
      </c>
      <c r="X273" s="31">
        <f>IF(OR($Q273=0,$H273=""),0,IF(AND($B273="Project",$H273&lt;TODAY()),3,IF($U273="",0,IF($U273&lt;=$H273,1,IF(NETWORKDAYS($H273,$U273)-1&gt;IF($B273="Program",Portfolio!$B$16,Portfolio!$B$15),3,2)))))</f>
        <v/>
      </c>
      <c r="Y273" s="31">
        <f>IF(OR($Q273=0,$K273="",$K273=0),0,IF(AND($B273="Project",$J273=""),0,IF(IF($B273="Program",$V273,$J273)&gt;$K273*(1+Portfolio!$B$17),3,IF(IF($B273="Program",$V273,$J273)&gt;$K273,2,IF(AND($B273="Program",OR($W273&gt;0,$V273=0)),0,1)))))</f>
        <v/>
      </c>
      <c r="Z273" s="31">
        <f>IF($A273="",0,IF($C273="Portfolio",1,IF(AND($B273="Project",$C273&lt;&gt;"",$C273&lt;&gt;"Outside the portfolio"),IFERROR(IF(AND(INDEX($B$6:$B$305,MATCH($C273,$A$6:$A$305,0))="Program",INDEX($C$6:$C$305,MATCH($C273,$A$6:$A$305,0))="Portfolio"),1,0),0),0)))</f>
        <v/>
      </c>
      <c r="AA273" s="31">
        <f>IF(AND($A273&lt;&gt;"",$E273="",OR($Q273=1,$D273="Proposed")),1,0)</f>
        <v/>
      </c>
      <c r="AB273" s="31">
        <f>IF(AND($A273&lt;&gt;"",$B273="Program",$F273="",$Q273=1),1,0)</f>
        <v/>
      </c>
      <c r="AC273" s="31">
        <f>IF(OR($A273="",$D273="Completed",$D273="Terminated"),0,IF($C273="",1,IF($C273="Portfolio",0,IF($C273="Outside the portfolio",IF($Q273=1,2,0),IF($B273="Project",IF(IFERROR(INDEX($B$6:$B$305,MATCH($C273,$A$6:$A$305,0)),"")="Program",0,1),1)))))</f>
        <v/>
      </c>
      <c r="AD273" s="31">
        <f>IF(AND($A273&lt;&gt;"",OR($M273="■ Red",$M273="◧ Amber"),$L273=""),1,0)</f>
        <v/>
      </c>
      <c r="AE273" s="31">
        <f>$AA273+$AB273+IF($AC273&gt;0,1,0)+$AD273</f>
        <v/>
      </c>
      <c r="AJ273" s="14" t="n"/>
      <c r="AK273" s="29" t="n"/>
      <c r="AL273" s="31">
        <f>IF(AND($Q273=1,$Z273=1),1,0)</f>
        <v/>
      </c>
      <c r="AM273" s="31">
        <f>IF(AND($AL273=1,$AJ273&lt;&gt;""),MAX(0,TODAY()-$AJ273),"")</f>
        <v/>
      </c>
      <c r="AN273" s="31">
        <f>IF(OR($AL273=0,COUNT($AJ$6:$AJ$305)=0),0,IF($AJ273="",1,IF(TODAY()-$AJ273&gt;Board!$B$40,1,0)))</f>
        <v/>
      </c>
      <c r="AO273" s="31">
        <f>IF($AL273=0,0,IF($M273="■ Red",3,IF($M273="◧ Amber",2,IF($M273="□ On track",1,0))))</f>
        <v/>
      </c>
      <c r="AP273" s="31">
        <f>IF($AL273=0,0,IF($AK273="Will not hold",3,IF($AK273="At risk",2,IF($AK273="Will hold",1,0))))</f>
        <v/>
      </c>
      <c r="AQ273" s="31">
        <f>IF($AL273=0,"",IF($AO273=3,0,IF($AO273=2,1,IF(AND($AP273&gt;=2,$AP273&gt;$AO273),2,""))))</f>
        <v/>
      </c>
      <c r="AR273" s="31">
        <f>IF($AQ273="","",$AQ273*1000+273)</f>
        <v/>
      </c>
      <c r="AS273" s="31">
        <f>IF(AND($AL273=1,$AO273&gt;=2,$AP273&gt;=1,$AP273&lt;$AO273),1,0)</f>
        <v/>
      </c>
      <c r="AT273" s="31">
        <f>IF(AND($AL273=1,$AO273&gt;=2,$AP273=0),1,0)</f>
        <v/>
      </c>
      <c r="AU273" s="31">
        <f>IF(AND($AL273=1,$U273&lt;&gt;"",$U273&lt;TODAY()),1,0)</f>
        <v/>
      </c>
      <c r="AV273" s="31">
        <f>IF(OR($A273="",$AJ273="",Portfolio!$B$10=""),0,IF($AJ273&lt;=Portfolio!$B$10,0,IF(AND($D273="Completed",$Z273=1),1,IF(AND($D273="Terminated",$Z273=1),2,IF(AND($Q273=1,$Z273=0),3,0)))))</f>
        <v/>
      </c>
      <c r="AW273" s="31">
        <f>IF($AV273&gt;0,COUNTIF($AV$6:$AV273,"&gt;0"),"")</f>
        <v/>
      </c>
      <c r="AX273" s="31">
        <f>IF($AL273=0,"",IF(AND($B273="Project",$H273&lt;&gt;"",$H273&lt;TODAY()),"Planned finish "&amp;TEXT($H273,"d mmm")&amp;" has passed",IF($X273&gt;=2,(NETWORKDAYS($H273,$U273)-1)&amp;" working days past plan","")))</f>
        <v/>
      </c>
      <c r="AY273" s="31">
        <f>IF($AL273=0,"",IF($Y273&gt;=2,"Over budget by "&amp;TEXT(IF($B273="Program",$V273,$J273)-$K273,"#,##0"),""))</f>
        <v/>
      </c>
      <c r="AZ273" s="31">
        <f>IF(AND($AL273=1,$U273&lt;&gt;""),IF(AND(N($U273)&gt;=TODAY(),N($U273)&lt;=TODAY()+Board!$B$41),1,0),0)</f>
        <v/>
      </c>
    </row>
    <row r="274">
      <c r="A274" s="29" t="n"/>
      <c r="B274" s="29" t="n"/>
      <c r="C274" s="29" t="n"/>
      <c r="D274" s="29" t="n"/>
      <c r="E274" s="29" t="n"/>
      <c r="F274" s="29" t="n"/>
      <c r="G274" s="29" t="n"/>
      <c r="H274" s="30" t="n"/>
      <c r="I274" s="30" t="n"/>
      <c r="J274" s="19" t="n"/>
      <c r="K274" s="19" t="n"/>
      <c r="L274" s="26" t="n"/>
      <c r="M274" s="31">
        <f>IF($A274="","",IF($D274="","Not read",IF($Q274=0,"Not counted",IF(MAX($X274,$Y274)=3,"■ Red",IF(MAX($X274,$Y274)=2,"◧ Amber",IF(MAX($X274,$Y274)=1,"□ On track","Not read"))))))</f>
        <v/>
      </c>
      <c r="N274" s="31">
        <f>IF(OR($A274="",$B274&lt;&gt;"Program"),"","■ "&amp;COUNTIFS($C$6:$C$305,$A274,$M$6:$M$305,"■ Red")&amp;" Red, ◧ "&amp;COUNTIFS($C$6:$C$305,$A274,$M$6:$M$305,"◧ Amber")&amp;" Amber")</f>
        <v/>
      </c>
      <c r="O274" s="32">
        <f>IF(OR($A274="",$E274=""),"",COUNTIFS($E$6:$E$305,$E274,$D$6:$D$305,"Active")+COUNTIFS($E$6:$E$305,$E274,$D$6:$D$305,"Paused"))</f>
        <v/>
      </c>
      <c r="P274" s="31">
        <f>IF($A274="","",IF($AE274=0,"○ Clear",IF($AA274=1,"△ No owner",IF($AC274=1,"△ Check Sits under",IF($AC274=2,"△ Outside the portfolio",IF($AB274=1,"△ No sponsor","△ No variance note"))))&amp;IF($AE274&gt;1," (+"&amp;($AE274-1)&amp;" more)","")))</f>
        <v/>
      </c>
      <c r="Q274" s="31">
        <f>IF(AND($A274&lt;&gt;"",OR($D274="Active",$D274="Paused")),1,0)</f>
        <v/>
      </c>
      <c r="R274" s="31">
        <f>IFERROR(INDEX($A$6:$A$305,MATCH(267,$S$6:$S$305,0)),"")</f>
        <v/>
      </c>
      <c r="S274" s="31">
        <f>IF(AND($A274&lt;&gt;"",$B274="Program"),COUNTIFS($B$6:$B274,"Program",$A$6:$A274,"&lt;&gt;"),"")</f>
        <v/>
      </c>
      <c r="T274" s="33">
        <f>IF(AND($A274&lt;&gt;"",$B274="Program"),SUMPRODUCT(MAX(($C$6:$C$305=$A274)*($B$6:$B$305="Project")*($D$6:$D$305&lt;&gt;"Proposed")*$I$6:$I$305)),0)</f>
        <v/>
      </c>
      <c r="U274" s="33">
        <f>IF($I274&lt;&gt;"",$I274,IF($T274&gt;0,$T274,""))</f>
        <v/>
      </c>
      <c r="V274" s="31">
        <f>IF(AND($A274&lt;&gt;"",$B274="Program"),SUMIFS($J$6:$J$305,$C$6:$C$305,$A274,$B$6:$B$305,"Project",$D$6:$D$305,"&lt;&gt;Proposed"),0)</f>
        <v/>
      </c>
      <c r="W274" s="31">
        <f>IF(AND($A274&lt;&gt;"",$B274="Program"),COUNTIFS($C$6:$C$305,$A274,$B$6:$B$305,"Project",$D$6:$D$305,"&lt;&gt;Proposed")-COUNTIFS($C$6:$C$305,$A274,$B$6:$B$305,"Project",$D$6:$D$305,"&lt;&gt;Proposed",$J$6:$J$305,"&gt;=0"),0)</f>
        <v/>
      </c>
      <c r="X274" s="31">
        <f>IF(OR($Q274=0,$H274=""),0,IF(AND($B274="Project",$H274&lt;TODAY()),3,IF($U274="",0,IF($U274&lt;=$H274,1,IF(NETWORKDAYS($H274,$U274)-1&gt;IF($B274="Program",Portfolio!$B$16,Portfolio!$B$15),3,2)))))</f>
        <v/>
      </c>
      <c r="Y274" s="31">
        <f>IF(OR($Q274=0,$K274="",$K274=0),0,IF(AND($B274="Project",$J274=""),0,IF(IF($B274="Program",$V274,$J274)&gt;$K274*(1+Portfolio!$B$17),3,IF(IF($B274="Program",$V274,$J274)&gt;$K274,2,IF(AND($B274="Program",OR($W274&gt;0,$V274=0)),0,1)))))</f>
        <v/>
      </c>
      <c r="Z274" s="31">
        <f>IF($A274="",0,IF($C274="Portfolio",1,IF(AND($B274="Project",$C274&lt;&gt;"",$C274&lt;&gt;"Outside the portfolio"),IFERROR(IF(AND(INDEX($B$6:$B$305,MATCH($C274,$A$6:$A$305,0))="Program",INDEX($C$6:$C$305,MATCH($C274,$A$6:$A$305,0))="Portfolio"),1,0),0),0)))</f>
        <v/>
      </c>
      <c r="AA274" s="31">
        <f>IF(AND($A274&lt;&gt;"",$E274="",OR($Q274=1,$D274="Proposed")),1,0)</f>
        <v/>
      </c>
      <c r="AB274" s="31">
        <f>IF(AND($A274&lt;&gt;"",$B274="Program",$F274="",$Q274=1),1,0)</f>
        <v/>
      </c>
      <c r="AC274" s="31">
        <f>IF(OR($A274="",$D274="Completed",$D274="Terminated"),0,IF($C274="",1,IF($C274="Portfolio",0,IF($C274="Outside the portfolio",IF($Q274=1,2,0),IF($B274="Project",IF(IFERROR(INDEX($B$6:$B$305,MATCH($C274,$A$6:$A$305,0)),"")="Program",0,1),1)))))</f>
        <v/>
      </c>
      <c r="AD274" s="31">
        <f>IF(AND($A274&lt;&gt;"",OR($M274="■ Red",$M274="◧ Amber"),$L274=""),1,0)</f>
        <v/>
      </c>
      <c r="AE274" s="31">
        <f>$AA274+$AB274+IF($AC274&gt;0,1,0)+$AD274</f>
        <v/>
      </c>
      <c r="AJ274" s="14" t="n"/>
      <c r="AK274" s="29" t="n"/>
      <c r="AL274" s="31">
        <f>IF(AND($Q274=1,$Z274=1),1,0)</f>
        <v/>
      </c>
      <c r="AM274" s="31">
        <f>IF(AND($AL274=1,$AJ274&lt;&gt;""),MAX(0,TODAY()-$AJ274),"")</f>
        <v/>
      </c>
      <c r="AN274" s="31">
        <f>IF(OR($AL274=0,COUNT($AJ$6:$AJ$305)=0),0,IF($AJ274="",1,IF(TODAY()-$AJ274&gt;Board!$B$40,1,0)))</f>
        <v/>
      </c>
      <c r="AO274" s="31">
        <f>IF($AL274=0,0,IF($M274="■ Red",3,IF($M274="◧ Amber",2,IF($M274="□ On track",1,0))))</f>
        <v/>
      </c>
      <c r="AP274" s="31">
        <f>IF($AL274=0,0,IF($AK274="Will not hold",3,IF($AK274="At risk",2,IF($AK274="Will hold",1,0))))</f>
        <v/>
      </c>
      <c r="AQ274" s="31">
        <f>IF($AL274=0,"",IF($AO274=3,0,IF($AO274=2,1,IF(AND($AP274&gt;=2,$AP274&gt;$AO274),2,""))))</f>
        <v/>
      </c>
      <c r="AR274" s="31">
        <f>IF($AQ274="","",$AQ274*1000+274)</f>
        <v/>
      </c>
      <c r="AS274" s="31">
        <f>IF(AND($AL274=1,$AO274&gt;=2,$AP274&gt;=1,$AP274&lt;$AO274),1,0)</f>
        <v/>
      </c>
      <c r="AT274" s="31">
        <f>IF(AND($AL274=1,$AO274&gt;=2,$AP274=0),1,0)</f>
        <v/>
      </c>
      <c r="AU274" s="31">
        <f>IF(AND($AL274=1,$U274&lt;&gt;"",$U274&lt;TODAY()),1,0)</f>
        <v/>
      </c>
      <c r="AV274" s="31">
        <f>IF(OR($A274="",$AJ274="",Portfolio!$B$10=""),0,IF($AJ274&lt;=Portfolio!$B$10,0,IF(AND($D274="Completed",$Z274=1),1,IF(AND($D274="Terminated",$Z274=1),2,IF(AND($Q274=1,$Z274=0),3,0)))))</f>
        <v/>
      </c>
      <c r="AW274" s="31">
        <f>IF($AV274&gt;0,COUNTIF($AV$6:$AV274,"&gt;0"),"")</f>
        <v/>
      </c>
      <c r="AX274" s="31">
        <f>IF($AL274=0,"",IF(AND($B274="Project",$H274&lt;&gt;"",$H274&lt;TODAY()),"Planned finish "&amp;TEXT($H274,"d mmm")&amp;" has passed",IF($X274&gt;=2,(NETWORKDAYS($H274,$U274)-1)&amp;" working days past plan","")))</f>
        <v/>
      </c>
      <c r="AY274" s="31">
        <f>IF($AL274=0,"",IF($Y274&gt;=2,"Over budget by "&amp;TEXT(IF($B274="Program",$V274,$J274)-$K274,"#,##0"),""))</f>
        <v/>
      </c>
      <c r="AZ274" s="31">
        <f>IF(AND($AL274=1,$U274&lt;&gt;""),IF(AND(N($U274)&gt;=TODAY(),N($U274)&lt;=TODAY()+Board!$B$41),1,0),0)</f>
        <v/>
      </c>
    </row>
    <row r="275">
      <c r="A275" s="29" t="n"/>
      <c r="B275" s="29" t="n"/>
      <c r="C275" s="29" t="n"/>
      <c r="D275" s="29" t="n"/>
      <c r="E275" s="29" t="n"/>
      <c r="F275" s="29" t="n"/>
      <c r="G275" s="29" t="n"/>
      <c r="H275" s="30" t="n"/>
      <c r="I275" s="30" t="n"/>
      <c r="J275" s="19" t="n"/>
      <c r="K275" s="19" t="n"/>
      <c r="L275" s="26" t="n"/>
      <c r="M275" s="31">
        <f>IF($A275="","",IF($D275="","Not read",IF($Q275=0,"Not counted",IF(MAX($X275,$Y275)=3,"■ Red",IF(MAX($X275,$Y275)=2,"◧ Amber",IF(MAX($X275,$Y275)=1,"□ On track","Not read"))))))</f>
        <v/>
      </c>
      <c r="N275" s="31">
        <f>IF(OR($A275="",$B275&lt;&gt;"Program"),"","■ "&amp;COUNTIFS($C$6:$C$305,$A275,$M$6:$M$305,"■ Red")&amp;" Red, ◧ "&amp;COUNTIFS($C$6:$C$305,$A275,$M$6:$M$305,"◧ Amber")&amp;" Amber")</f>
        <v/>
      </c>
      <c r="O275" s="32">
        <f>IF(OR($A275="",$E275=""),"",COUNTIFS($E$6:$E$305,$E275,$D$6:$D$305,"Active")+COUNTIFS($E$6:$E$305,$E275,$D$6:$D$305,"Paused"))</f>
        <v/>
      </c>
      <c r="P275" s="31">
        <f>IF($A275="","",IF($AE275=0,"○ Clear",IF($AA275=1,"△ No owner",IF($AC275=1,"△ Check Sits under",IF($AC275=2,"△ Outside the portfolio",IF($AB275=1,"△ No sponsor","△ No variance note"))))&amp;IF($AE275&gt;1," (+"&amp;($AE275-1)&amp;" more)","")))</f>
        <v/>
      </c>
      <c r="Q275" s="31">
        <f>IF(AND($A275&lt;&gt;"",OR($D275="Active",$D275="Paused")),1,0)</f>
        <v/>
      </c>
      <c r="R275" s="31">
        <f>IFERROR(INDEX($A$6:$A$305,MATCH(268,$S$6:$S$305,0)),"")</f>
        <v/>
      </c>
      <c r="S275" s="31">
        <f>IF(AND($A275&lt;&gt;"",$B275="Program"),COUNTIFS($B$6:$B275,"Program",$A$6:$A275,"&lt;&gt;"),"")</f>
        <v/>
      </c>
      <c r="T275" s="33">
        <f>IF(AND($A275&lt;&gt;"",$B275="Program"),SUMPRODUCT(MAX(($C$6:$C$305=$A275)*($B$6:$B$305="Project")*($D$6:$D$305&lt;&gt;"Proposed")*$I$6:$I$305)),0)</f>
        <v/>
      </c>
      <c r="U275" s="33">
        <f>IF($I275&lt;&gt;"",$I275,IF($T275&gt;0,$T275,""))</f>
        <v/>
      </c>
      <c r="V275" s="31">
        <f>IF(AND($A275&lt;&gt;"",$B275="Program"),SUMIFS($J$6:$J$305,$C$6:$C$305,$A275,$B$6:$B$305,"Project",$D$6:$D$305,"&lt;&gt;Proposed"),0)</f>
        <v/>
      </c>
      <c r="W275" s="31">
        <f>IF(AND($A275&lt;&gt;"",$B275="Program"),COUNTIFS($C$6:$C$305,$A275,$B$6:$B$305,"Project",$D$6:$D$305,"&lt;&gt;Proposed")-COUNTIFS($C$6:$C$305,$A275,$B$6:$B$305,"Project",$D$6:$D$305,"&lt;&gt;Proposed",$J$6:$J$305,"&gt;=0"),0)</f>
        <v/>
      </c>
      <c r="X275" s="31">
        <f>IF(OR($Q275=0,$H275=""),0,IF(AND($B275="Project",$H275&lt;TODAY()),3,IF($U275="",0,IF($U275&lt;=$H275,1,IF(NETWORKDAYS($H275,$U275)-1&gt;IF($B275="Program",Portfolio!$B$16,Portfolio!$B$15),3,2)))))</f>
        <v/>
      </c>
      <c r="Y275" s="31">
        <f>IF(OR($Q275=0,$K275="",$K275=0),0,IF(AND($B275="Project",$J275=""),0,IF(IF($B275="Program",$V275,$J275)&gt;$K275*(1+Portfolio!$B$17),3,IF(IF($B275="Program",$V275,$J275)&gt;$K275,2,IF(AND($B275="Program",OR($W275&gt;0,$V275=0)),0,1)))))</f>
        <v/>
      </c>
      <c r="Z275" s="31">
        <f>IF($A275="",0,IF($C275="Portfolio",1,IF(AND($B275="Project",$C275&lt;&gt;"",$C275&lt;&gt;"Outside the portfolio"),IFERROR(IF(AND(INDEX($B$6:$B$305,MATCH($C275,$A$6:$A$305,0))="Program",INDEX($C$6:$C$305,MATCH($C275,$A$6:$A$305,0))="Portfolio"),1,0),0),0)))</f>
        <v/>
      </c>
      <c r="AA275" s="31">
        <f>IF(AND($A275&lt;&gt;"",$E275="",OR($Q275=1,$D275="Proposed")),1,0)</f>
        <v/>
      </c>
      <c r="AB275" s="31">
        <f>IF(AND($A275&lt;&gt;"",$B275="Program",$F275="",$Q275=1),1,0)</f>
        <v/>
      </c>
      <c r="AC275" s="31">
        <f>IF(OR($A275="",$D275="Completed",$D275="Terminated"),0,IF($C275="",1,IF($C275="Portfolio",0,IF($C275="Outside the portfolio",IF($Q275=1,2,0),IF($B275="Project",IF(IFERROR(INDEX($B$6:$B$305,MATCH($C275,$A$6:$A$305,0)),"")="Program",0,1),1)))))</f>
        <v/>
      </c>
      <c r="AD275" s="31">
        <f>IF(AND($A275&lt;&gt;"",OR($M275="■ Red",$M275="◧ Amber"),$L275=""),1,0)</f>
        <v/>
      </c>
      <c r="AE275" s="31">
        <f>$AA275+$AB275+IF($AC275&gt;0,1,0)+$AD275</f>
        <v/>
      </c>
      <c r="AJ275" s="14" t="n"/>
      <c r="AK275" s="29" t="n"/>
      <c r="AL275" s="31">
        <f>IF(AND($Q275=1,$Z275=1),1,0)</f>
        <v/>
      </c>
      <c r="AM275" s="31">
        <f>IF(AND($AL275=1,$AJ275&lt;&gt;""),MAX(0,TODAY()-$AJ275),"")</f>
        <v/>
      </c>
      <c r="AN275" s="31">
        <f>IF(OR($AL275=0,COUNT($AJ$6:$AJ$305)=0),0,IF($AJ275="",1,IF(TODAY()-$AJ275&gt;Board!$B$40,1,0)))</f>
        <v/>
      </c>
      <c r="AO275" s="31">
        <f>IF($AL275=0,0,IF($M275="■ Red",3,IF($M275="◧ Amber",2,IF($M275="□ On track",1,0))))</f>
        <v/>
      </c>
      <c r="AP275" s="31">
        <f>IF($AL275=0,0,IF($AK275="Will not hold",3,IF($AK275="At risk",2,IF($AK275="Will hold",1,0))))</f>
        <v/>
      </c>
      <c r="AQ275" s="31">
        <f>IF($AL275=0,"",IF($AO275=3,0,IF($AO275=2,1,IF(AND($AP275&gt;=2,$AP275&gt;$AO275),2,""))))</f>
        <v/>
      </c>
      <c r="AR275" s="31">
        <f>IF($AQ275="","",$AQ275*1000+275)</f>
        <v/>
      </c>
      <c r="AS275" s="31">
        <f>IF(AND($AL275=1,$AO275&gt;=2,$AP275&gt;=1,$AP275&lt;$AO275),1,0)</f>
        <v/>
      </c>
      <c r="AT275" s="31">
        <f>IF(AND($AL275=1,$AO275&gt;=2,$AP275=0),1,0)</f>
        <v/>
      </c>
      <c r="AU275" s="31">
        <f>IF(AND($AL275=1,$U275&lt;&gt;"",$U275&lt;TODAY()),1,0)</f>
        <v/>
      </c>
      <c r="AV275" s="31">
        <f>IF(OR($A275="",$AJ275="",Portfolio!$B$10=""),0,IF($AJ275&lt;=Portfolio!$B$10,0,IF(AND($D275="Completed",$Z275=1),1,IF(AND($D275="Terminated",$Z275=1),2,IF(AND($Q275=1,$Z275=0),3,0)))))</f>
        <v/>
      </c>
      <c r="AW275" s="31">
        <f>IF($AV275&gt;0,COUNTIF($AV$6:$AV275,"&gt;0"),"")</f>
        <v/>
      </c>
      <c r="AX275" s="31">
        <f>IF($AL275=0,"",IF(AND($B275="Project",$H275&lt;&gt;"",$H275&lt;TODAY()),"Planned finish "&amp;TEXT($H275,"d mmm")&amp;" has passed",IF($X275&gt;=2,(NETWORKDAYS($H275,$U275)-1)&amp;" working days past plan","")))</f>
        <v/>
      </c>
      <c r="AY275" s="31">
        <f>IF($AL275=0,"",IF($Y275&gt;=2,"Over budget by "&amp;TEXT(IF($B275="Program",$V275,$J275)-$K275,"#,##0"),""))</f>
        <v/>
      </c>
      <c r="AZ275" s="31">
        <f>IF(AND($AL275=1,$U275&lt;&gt;""),IF(AND(N($U275)&gt;=TODAY(),N($U275)&lt;=TODAY()+Board!$B$41),1,0),0)</f>
        <v/>
      </c>
    </row>
    <row r="276">
      <c r="A276" s="29" t="n"/>
      <c r="B276" s="29" t="n"/>
      <c r="C276" s="29" t="n"/>
      <c r="D276" s="29" t="n"/>
      <c r="E276" s="29" t="n"/>
      <c r="F276" s="29" t="n"/>
      <c r="G276" s="29" t="n"/>
      <c r="H276" s="30" t="n"/>
      <c r="I276" s="30" t="n"/>
      <c r="J276" s="19" t="n"/>
      <c r="K276" s="19" t="n"/>
      <c r="L276" s="26" t="n"/>
      <c r="M276" s="31">
        <f>IF($A276="","",IF($D276="","Not read",IF($Q276=0,"Not counted",IF(MAX($X276,$Y276)=3,"■ Red",IF(MAX($X276,$Y276)=2,"◧ Amber",IF(MAX($X276,$Y276)=1,"□ On track","Not read"))))))</f>
        <v/>
      </c>
      <c r="N276" s="31">
        <f>IF(OR($A276="",$B276&lt;&gt;"Program"),"","■ "&amp;COUNTIFS($C$6:$C$305,$A276,$M$6:$M$305,"■ Red")&amp;" Red, ◧ "&amp;COUNTIFS($C$6:$C$305,$A276,$M$6:$M$305,"◧ Amber")&amp;" Amber")</f>
        <v/>
      </c>
      <c r="O276" s="32">
        <f>IF(OR($A276="",$E276=""),"",COUNTIFS($E$6:$E$305,$E276,$D$6:$D$305,"Active")+COUNTIFS($E$6:$E$305,$E276,$D$6:$D$305,"Paused"))</f>
        <v/>
      </c>
      <c r="P276" s="31">
        <f>IF($A276="","",IF($AE276=0,"○ Clear",IF($AA276=1,"△ No owner",IF($AC276=1,"△ Check Sits under",IF($AC276=2,"△ Outside the portfolio",IF($AB276=1,"△ No sponsor","△ No variance note"))))&amp;IF($AE276&gt;1," (+"&amp;($AE276-1)&amp;" more)","")))</f>
        <v/>
      </c>
      <c r="Q276" s="31">
        <f>IF(AND($A276&lt;&gt;"",OR($D276="Active",$D276="Paused")),1,0)</f>
        <v/>
      </c>
      <c r="R276" s="31">
        <f>IFERROR(INDEX($A$6:$A$305,MATCH(269,$S$6:$S$305,0)),"")</f>
        <v/>
      </c>
      <c r="S276" s="31">
        <f>IF(AND($A276&lt;&gt;"",$B276="Program"),COUNTIFS($B$6:$B276,"Program",$A$6:$A276,"&lt;&gt;"),"")</f>
        <v/>
      </c>
      <c r="T276" s="33">
        <f>IF(AND($A276&lt;&gt;"",$B276="Program"),SUMPRODUCT(MAX(($C$6:$C$305=$A276)*($B$6:$B$305="Project")*($D$6:$D$305&lt;&gt;"Proposed")*$I$6:$I$305)),0)</f>
        <v/>
      </c>
      <c r="U276" s="33">
        <f>IF($I276&lt;&gt;"",$I276,IF($T276&gt;0,$T276,""))</f>
        <v/>
      </c>
      <c r="V276" s="31">
        <f>IF(AND($A276&lt;&gt;"",$B276="Program"),SUMIFS($J$6:$J$305,$C$6:$C$305,$A276,$B$6:$B$305,"Project",$D$6:$D$305,"&lt;&gt;Proposed"),0)</f>
        <v/>
      </c>
      <c r="W276" s="31">
        <f>IF(AND($A276&lt;&gt;"",$B276="Program"),COUNTIFS($C$6:$C$305,$A276,$B$6:$B$305,"Project",$D$6:$D$305,"&lt;&gt;Proposed")-COUNTIFS($C$6:$C$305,$A276,$B$6:$B$305,"Project",$D$6:$D$305,"&lt;&gt;Proposed",$J$6:$J$305,"&gt;=0"),0)</f>
        <v/>
      </c>
      <c r="X276" s="31">
        <f>IF(OR($Q276=0,$H276=""),0,IF(AND($B276="Project",$H276&lt;TODAY()),3,IF($U276="",0,IF($U276&lt;=$H276,1,IF(NETWORKDAYS($H276,$U276)-1&gt;IF($B276="Program",Portfolio!$B$16,Portfolio!$B$15),3,2)))))</f>
        <v/>
      </c>
      <c r="Y276" s="31">
        <f>IF(OR($Q276=0,$K276="",$K276=0),0,IF(AND($B276="Project",$J276=""),0,IF(IF($B276="Program",$V276,$J276)&gt;$K276*(1+Portfolio!$B$17),3,IF(IF($B276="Program",$V276,$J276)&gt;$K276,2,IF(AND($B276="Program",OR($W276&gt;0,$V276=0)),0,1)))))</f>
        <v/>
      </c>
      <c r="Z276" s="31">
        <f>IF($A276="",0,IF($C276="Portfolio",1,IF(AND($B276="Project",$C276&lt;&gt;"",$C276&lt;&gt;"Outside the portfolio"),IFERROR(IF(AND(INDEX($B$6:$B$305,MATCH($C276,$A$6:$A$305,0))="Program",INDEX($C$6:$C$305,MATCH($C276,$A$6:$A$305,0))="Portfolio"),1,0),0),0)))</f>
        <v/>
      </c>
      <c r="AA276" s="31">
        <f>IF(AND($A276&lt;&gt;"",$E276="",OR($Q276=1,$D276="Proposed")),1,0)</f>
        <v/>
      </c>
      <c r="AB276" s="31">
        <f>IF(AND($A276&lt;&gt;"",$B276="Program",$F276="",$Q276=1),1,0)</f>
        <v/>
      </c>
      <c r="AC276" s="31">
        <f>IF(OR($A276="",$D276="Completed",$D276="Terminated"),0,IF($C276="",1,IF($C276="Portfolio",0,IF($C276="Outside the portfolio",IF($Q276=1,2,0),IF($B276="Project",IF(IFERROR(INDEX($B$6:$B$305,MATCH($C276,$A$6:$A$305,0)),"")="Program",0,1),1)))))</f>
        <v/>
      </c>
      <c r="AD276" s="31">
        <f>IF(AND($A276&lt;&gt;"",OR($M276="■ Red",$M276="◧ Amber"),$L276=""),1,0)</f>
        <v/>
      </c>
      <c r="AE276" s="31">
        <f>$AA276+$AB276+IF($AC276&gt;0,1,0)+$AD276</f>
        <v/>
      </c>
      <c r="AJ276" s="14" t="n"/>
      <c r="AK276" s="29" t="n"/>
      <c r="AL276" s="31">
        <f>IF(AND($Q276=1,$Z276=1),1,0)</f>
        <v/>
      </c>
      <c r="AM276" s="31">
        <f>IF(AND($AL276=1,$AJ276&lt;&gt;""),MAX(0,TODAY()-$AJ276),"")</f>
        <v/>
      </c>
      <c r="AN276" s="31">
        <f>IF(OR($AL276=0,COUNT($AJ$6:$AJ$305)=0),0,IF($AJ276="",1,IF(TODAY()-$AJ276&gt;Board!$B$40,1,0)))</f>
        <v/>
      </c>
      <c r="AO276" s="31">
        <f>IF($AL276=0,0,IF($M276="■ Red",3,IF($M276="◧ Amber",2,IF($M276="□ On track",1,0))))</f>
        <v/>
      </c>
      <c r="AP276" s="31">
        <f>IF($AL276=0,0,IF($AK276="Will not hold",3,IF($AK276="At risk",2,IF($AK276="Will hold",1,0))))</f>
        <v/>
      </c>
      <c r="AQ276" s="31">
        <f>IF($AL276=0,"",IF($AO276=3,0,IF($AO276=2,1,IF(AND($AP276&gt;=2,$AP276&gt;$AO276),2,""))))</f>
        <v/>
      </c>
      <c r="AR276" s="31">
        <f>IF($AQ276="","",$AQ276*1000+276)</f>
        <v/>
      </c>
      <c r="AS276" s="31">
        <f>IF(AND($AL276=1,$AO276&gt;=2,$AP276&gt;=1,$AP276&lt;$AO276),1,0)</f>
        <v/>
      </c>
      <c r="AT276" s="31">
        <f>IF(AND($AL276=1,$AO276&gt;=2,$AP276=0),1,0)</f>
        <v/>
      </c>
      <c r="AU276" s="31">
        <f>IF(AND($AL276=1,$U276&lt;&gt;"",$U276&lt;TODAY()),1,0)</f>
        <v/>
      </c>
      <c r="AV276" s="31">
        <f>IF(OR($A276="",$AJ276="",Portfolio!$B$10=""),0,IF($AJ276&lt;=Portfolio!$B$10,0,IF(AND($D276="Completed",$Z276=1),1,IF(AND($D276="Terminated",$Z276=1),2,IF(AND($Q276=1,$Z276=0),3,0)))))</f>
        <v/>
      </c>
      <c r="AW276" s="31">
        <f>IF($AV276&gt;0,COUNTIF($AV$6:$AV276,"&gt;0"),"")</f>
        <v/>
      </c>
      <c r="AX276" s="31">
        <f>IF($AL276=0,"",IF(AND($B276="Project",$H276&lt;&gt;"",$H276&lt;TODAY()),"Planned finish "&amp;TEXT($H276,"d mmm")&amp;" has passed",IF($X276&gt;=2,(NETWORKDAYS($H276,$U276)-1)&amp;" working days past plan","")))</f>
        <v/>
      </c>
      <c r="AY276" s="31">
        <f>IF($AL276=0,"",IF($Y276&gt;=2,"Over budget by "&amp;TEXT(IF($B276="Program",$V276,$J276)-$K276,"#,##0"),""))</f>
        <v/>
      </c>
      <c r="AZ276" s="31">
        <f>IF(AND($AL276=1,$U276&lt;&gt;""),IF(AND(N($U276)&gt;=TODAY(),N($U276)&lt;=TODAY()+Board!$B$41),1,0),0)</f>
        <v/>
      </c>
    </row>
    <row r="277">
      <c r="A277" s="29" t="n"/>
      <c r="B277" s="29" t="n"/>
      <c r="C277" s="29" t="n"/>
      <c r="D277" s="29" t="n"/>
      <c r="E277" s="29" t="n"/>
      <c r="F277" s="29" t="n"/>
      <c r="G277" s="29" t="n"/>
      <c r="H277" s="30" t="n"/>
      <c r="I277" s="30" t="n"/>
      <c r="J277" s="19" t="n"/>
      <c r="K277" s="19" t="n"/>
      <c r="L277" s="26" t="n"/>
      <c r="M277" s="31">
        <f>IF($A277="","",IF($D277="","Not read",IF($Q277=0,"Not counted",IF(MAX($X277,$Y277)=3,"■ Red",IF(MAX($X277,$Y277)=2,"◧ Amber",IF(MAX($X277,$Y277)=1,"□ On track","Not read"))))))</f>
        <v/>
      </c>
      <c r="N277" s="31">
        <f>IF(OR($A277="",$B277&lt;&gt;"Program"),"","■ "&amp;COUNTIFS($C$6:$C$305,$A277,$M$6:$M$305,"■ Red")&amp;" Red, ◧ "&amp;COUNTIFS($C$6:$C$305,$A277,$M$6:$M$305,"◧ Amber")&amp;" Amber")</f>
        <v/>
      </c>
      <c r="O277" s="32">
        <f>IF(OR($A277="",$E277=""),"",COUNTIFS($E$6:$E$305,$E277,$D$6:$D$305,"Active")+COUNTIFS($E$6:$E$305,$E277,$D$6:$D$305,"Paused"))</f>
        <v/>
      </c>
      <c r="P277" s="31">
        <f>IF($A277="","",IF($AE277=0,"○ Clear",IF($AA277=1,"△ No owner",IF($AC277=1,"△ Check Sits under",IF($AC277=2,"△ Outside the portfolio",IF($AB277=1,"△ No sponsor","△ No variance note"))))&amp;IF($AE277&gt;1," (+"&amp;($AE277-1)&amp;" more)","")))</f>
        <v/>
      </c>
      <c r="Q277" s="31">
        <f>IF(AND($A277&lt;&gt;"",OR($D277="Active",$D277="Paused")),1,0)</f>
        <v/>
      </c>
      <c r="R277" s="31">
        <f>IFERROR(INDEX($A$6:$A$305,MATCH(270,$S$6:$S$305,0)),"")</f>
        <v/>
      </c>
      <c r="S277" s="31">
        <f>IF(AND($A277&lt;&gt;"",$B277="Program"),COUNTIFS($B$6:$B277,"Program",$A$6:$A277,"&lt;&gt;"),"")</f>
        <v/>
      </c>
      <c r="T277" s="33">
        <f>IF(AND($A277&lt;&gt;"",$B277="Program"),SUMPRODUCT(MAX(($C$6:$C$305=$A277)*($B$6:$B$305="Project")*($D$6:$D$305&lt;&gt;"Proposed")*$I$6:$I$305)),0)</f>
        <v/>
      </c>
      <c r="U277" s="33">
        <f>IF($I277&lt;&gt;"",$I277,IF($T277&gt;0,$T277,""))</f>
        <v/>
      </c>
      <c r="V277" s="31">
        <f>IF(AND($A277&lt;&gt;"",$B277="Program"),SUMIFS($J$6:$J$305,$C$6:$C$305,$A277,$B$6:$B$305,"Project",$D$6:$D$305,"&lt;&gt;Proposed"),0)</f>
        <v/>
      </c>
      <c r="W277" s="31">
        <f>IF(AND($A277&lt;&gt;"",$B277="Program"),COUNTIFS($C$6:$C$305,$A277,$B$6:$B$305,"Project",$D$6:$D$305,"&lt;&gt;Proposed")-COUNTIFS($C$6:$C$305,$A277,$B$6:$B$305,"Project",$D$6:$D$305,"&lt;&gt;Proposed",$J$6:$J$305,"&gt;=0"),0)</f>
        <v/>
      </c>
      <c r="X277" s="31">
        <f>IF(OR($Q277=0,$H277=""),0,IF(AND($B277="Project",$H277&lt;TODAY()),3,IF($U277="",0,IF($U277&lt;=$H277,1,IF(NETWORKDAYS($H277,$U277)-1&gt;IF($B277="Program",Portfolio!$B$16,Portfolio!$B$15),3,2)))))</f>
        <v/>
      </c>
      <c r="Y277" s="31">
        <f>IF(OR($Q277=0,$K277="",$K277=0),0,IF(AND($B277="Project",$J277=""),0,IF(IF($B277="Program",$V277,$J277)&gt;$K277*(1+Portfolio!$B$17),3,IF(IF($B277="Program",$V277,$J277)&gt;$K277,2,IF(AND($B277="Program",OR($W277&gt;0,$V277=0)),0,1)))))</f>
        <v/>
      </c>
      <c r="Z277" s="31">
        <f>IF($A277="",0,IF($C277="Portfolio",1,IF(AND($B277="Project",$C277&lt;&gt;"",$C277&lt;&gt;"Outside the portfolio"),IFERROR(IF(AND(INDEX($B$6:$B$305,MATCH($C277,$A$6:$A$305,0))="Program",INDEX($C$6:$C$305,MATCH($C277,$A$6:$A$305,0))="Portfolio"),1,0),0),0)))</f>
        <v/>
      </c>
      <c r="AA277" s="31">
        <f>IF(AND($A277&lt;&gt;"",$E277="",OR($Q277=1,$D277="Proposed")),1,0)</f>
        <v/>
      </c>
      <c r="AB277" s="31">
        <f>IF(AND($A277&lt;&gt;"",$B277="Program",$F277="",$Q277=1),1,0)</f>
        <v/>
      </c>
      <c r="AC277" s="31">
        <f>IF(OR($A277="",$D277="Completed",$D277="Terminated"),0,IF($C277="",1,IF($C277="Portfolio",0,IF($C277="Outside the portfolio",IF($Q277=1,2,0),IF($B277="Project",IF(IFERROR(INDEX($B$6:$B$305,MATCH($C277,$A$6:$A$305,0)),"")="Program",0,1),1)))))</f>
        <v/>
      </c>
      <c r="AD277" s="31">
        <f>IF(AND($A277&lt;&gt;"",OR($M277="■ Red",$M277="◧ Amber"),$L277=""),1,0)</f>
        <v/>
      </c>
      <c r="AE277" s="31">
        <f>$AA277+$AB277+IF($AC277&gt;0,1,0)+$AD277</f>
        <v/>
      </c>
      <c r="AJ277" s="14" t="n"/>
      <c r="AK277" s="29" t="n"/>
      <c r="AL277" s="31">
        <f>IF(AND($Q277=1,$Z277=1),1,0)</f>
        <v/>
      </c>
      <c r="AM277" s="31">
        <f>IF(AND($AL277=1,$AJ277&lt;&gt;""),MAX(0,TODAY()-$AJ277),"")</f>
        <v/>
      </c>
      <c r="AN277" s="31">
        <f>IF(OR($AL277=0,COUNT($AJ$6:$AJ$305)=0),0,IF($AJ277="",1,IF(TODAY()-$AJ277&gt;Board!$B$40,1,0)))</f>
        <v/>
      </c>
      <c r="AO277" s="31">
        <f>IF($AL277=0,0,IF($M277="■ Red",3,IF($M277="◧ Amber",2,IF($M277="□ On track",1,0))))</f>
        <v/>
      </c>
      <c r="AP277" s="31">
        <f>IF($AL277=0,0,IF($AK277="Will not hold",3,IF($AK277="At risk",2,IF($AK277="Will hold",1,0))))</f>
        <v/>
      </c>
      <c r="AQ277" s="31">
        <f>IF($AL277=0,"",IF($AO277=3,0,IF($AO277=2,1,IF(AND($AP277&gt;=2,$AP277&gt;$AO277),2,""))))</f>
        <v/>
      </c>
      <c r="AR277" s="31">
        <f>IF($AQ277="","",$AQ277*1000+277)</f>
        <v/>
      </c>
      <c r="AS277" s="31">
        <f>IF(AND($AL277=1,$AO277&gt;=2,$AP277&gt;=1,$AP277&lt;$AO277),1,0)</f>
        <v/>
      </c>
      <c r="AT277" s="31">
        <f>IF(AND($AL277=1,$AO277&gt;=2,$AP277=0),1,0)</f>
        <v/>
      </c>
      <c r="AU277" s="31">
        <f>IF(AND($AL277=1,$U277&lt;&gt;"",$U277&lt;TODAY()),1,0)</f>
        <v/>
      </c>
      <c r="AV277" s="31">
        <f>IF(OR($A277="",$AJ277="",Portfolio!$B$10=""),0,IF($AJ277&lt;=Portfolio!$B$10,0,IF(AND($D277="Completed",$Z277=1),1,IF(AND($D277="Terminated",$Z277=1),2,IF(AND($Q277=1,$Z277=0),3,0)))))</f>
        <v/>
      </c>
      <c r="AW277" s="31">
        <f>IF($AV277&gt;0,COUNTIF($AV$6:$AV277,"&gt;0"),"")</f>
        <v/>
      </c>
      <c r="AX277" s="31">
        <f>IF($AL277=0,"",IF(AND($B277="Project",$H277&lt;&gt;"",$H277&lt;TODAY()),"Planned finish "&amp;TEXT($H277,"d mmm")&amp;" has passed",IF($X277&gt;=2,(NETWORKDAYS($H277,$U277)-1)&amp;" working days past plan","")))</f>
        <v/>
      </c>
      <c r="AY277" s="31">
        <f>IF($AL277=0,"",IF($Y277&gt;=2,"Over budget by "&amp;TEXT(IF($B277="Program",$V277,$J277)-$K277,"#,##0"),""))</f>
        <v/>
      </c>
      <c r="AZ277" s="31">
        <f>IF(AND($AL277=1,$U277&lt;&gt;""),IF(AND(N($U277)&gt;=TODAY(),N($U277)&lt;=TODAY()+Board!$B$41),1,0),0)</f>
        <v/>
      </c>
    </row>
    <row r="278">
      <c r="A278" s="29" t="n"/>
      <c r="B278" s="29" t="n"/>
      <c r="C278" s="29" t="n"/>
      <c r="D278" s="29" t="n"/>
      <c r="E278" s="29" t="n"/>
      <c r="F278" s="29" t="n"/>
      <c r="G278" s="29" t="n"/>
      <c r="H278" s="30" t="n"/>
      <c r="I278" s="30" t="n"/>
      <c r="J278" s="19" t="n"/>
      <c r="K278" s="19" t="n"/>
      <c r="L278" s="26" t="n"/>
      <c r="M278" s="31">
        <f>IF($A278="","",IF($D278="","Not read",IF($Q278=0,"Not counted",IF(MAX($X278,$Y278)=3,"■ Red",IF(MAX($X278,$Y278)=2,"◧ Amber",IF(MAX($X278,$Y278)=1,"□ On track","Not read"))))))</f>
        <v/>
      </c>
      <c r="N278" s="31">
        <f>IF(OR($A278="",$B278&lt;&gt;"Program"),"","■ "&amp;COUNTIFS($C$6:$C$305,$A278,$M$6:$M$305,"■ Red")&amp;" Red, ◧ "&amp;COUNTIFS($C$6:$C$305,$A278,$M$6:$M$305,"◧ Amber")&amp;" Amber")</f>
        <v/>
      </c>
      <c r="O278" s="32">
        <f>IF(OR($A278="",$E278=""),"",COUNTIFS($E$6:$E$305,$E278,$D$6:$D$305,"Active")+COUNTIFS($E$6:$E$305,$E278,$D$6:$D$305,"Paused"))</f>
        <v/>
      </c>
      <c r="P278" s="31">
        <f>IF($A278="","",IF($AE278=0,"○ Clear",IF($AA278=1,"△ No owner",IF($AC278=1,"△ Check Sits under",IF($AC278=2,"△ Outside the portfolio",IF($AB278=1,"△ No sponsor","△ No variance note"))))&amp;IF($AE278&gt;1," (+"&amp;($AE278-1)&amp;" more)","")))</f>
        <v/>
      </c>
      <c r="Q278" s="31">
        <f>IF(AND($A278&lt;&gt;"",OR($D278="Active",$D278="Paused")),1,0)</f>
        <v/>
      </c>
      <c r="R278" s="31">
        <f>IFERROR(INDEX($A$6:$A$305,MATCH(271,$S$6:$S$305,0)),"")</f>
        <v/>
      </c>
      <c r="S278" s="31">
        <f>IF(AND($A278&lt;&gt;"",$B278="Program"),COUNTIFS($B$6:$B278,"Program",$A$6:$A278,"&lt;&gt;"),"")</f>
        <v/>
      </c>
      <c r="T278" s="33">
        <f>IF(AND($A278&lt;&gt;"",$B278="Program"),SUMPRODUCT(MAX(($C$6:$C$305=$A278)*($B$6:$B$305="Project")*($D$6:$D$305&lt;&gt;"Proposed")*$I$6:$I$305)),0)</f>
        <v/>
      </c>
      <c r="U278" s="33">
        <f>IF($I278&lt;&gt;"",$I278,IF($T278&gt;0,$T278,""))</f>
        <v/>
      </c>
      <c r="V278" s="31">
        <f>IF(AND($A278&lt;&gt;"",$B278="Program"),SUMIFS($J$6:$J$305,$C$6:$C$305,$A278,$B$6:$B$305,"Project",$D$6:$D$305,"&lt;&gt;Proposed"),0)</f>
        <v/>
      </c>
      <c r="W278" s="31">
        <f>IF(AND($A278&lt;&gt;"",$B278="Program"),COUNTIFS($C$6:$C$305,$A278,$B$6:$B$305,"Project",$D$6:$D$305,"&lt;&gt;Proposed")-COUNTIFS($C$6:$C$305,$A278,$B$6:$B$305,"Project",$D$6:$D$305,"&lt;&gt;Proposed",$J$6:$J$305,"&gt;=0"),0)</f>
        <v/>
      </c>
      <c r="X278" s="31">
        <f>IF(OR($Q278=0,$H278=""),0,IF(AND($B278="Project",$H278&lt;TODAY()),3,IF($U278="",0,IF($U278&lt;=$H278,1,IF(NETWORKDAYS($H278,$U278)-1&gt;IF($B278="Program",Portfolio!$B$16,Portfolio!$B$15),3,2)))))</f>
        <v/>
      </c>
      <c r="Y278" s="31">
        <f>IF(OR($Q278=0,$K278="",$K278=0),0,IF(AND($B278="Project",$J278=""),0,IF(IF($B278="Program",$V278,$J278)&gt;$K278*(1+Portfolio!$B$17),3,IF(IF($B278="Program",$V278,$J278)&gt;$K278,2,IF(AND($B278="Program",OR($W278&gt;0,$V278=0)),0,1)))))</f>
        <v/>
      </c>
      <c r="Z278" s="31">
        <f>IF($A278="",0,IF($C278="Portfolio",1,IF(AND($B278="Project",$C278&lt;&gt;"",$C278&lt;&gt;"Outside the portfolio"),IFERROR(IF(AND(INDEX($B$6:$B$305,MATCH($C278,$A$6:$A$305,0))="Program",INDEX($C$6:$C$305,MATCH($C278,$A$6:$A$305,0))="Portfolio"),1,0),0),0)))</f>
        <v/>
      </c>
      <c r="AA278" s="31">
        <f>IF(AND($A278&lt;&gt;"",$E278="",OR($Q278=1,$D278="Proposed")),1,0)</f>
        <v/>
      </c>
      <c r="AB278" s="31">
        <f>IF(AND($A278&lt;&gt;"",$B278="Program",$F278="",$Q278=1),1,0)</f>
        <v/>
      </c>
      <c r="AC278" s="31">
        <f>IF(OR($A278="",$D278="Completed",$D278="Terminated"),0,IF($C278="",1,IF($C278="Portfolio",0,IF($C278="Outside the portfolio",IF($Q278=1,2,0),IF($B278="Project",IF(IFERROR(INDEX($B$6:$B$305,MATCH($C278,$A$6:$A$305,0)),"")="Program",0,1),1)))))</f>
        <v/>
      </c>
      <c r="AD278" s="31">
        <f>IF(AND($A278&lt;&gt;"",OR($M278="■ Red",$M278="◧ Amber"),$L278=""),1,0)</f>
        <v/>
      </c>
      <c r="AE278" s="31">
        <f>$AA278+$AB278+IF($AC278&gt;0,1,0)+$AD278</f>
        <v/>
      </c>
      <c r="AJ278" s="14" t="n"/>
      <c r="AK278" s="29" t="n"/>
      <c r="AL278" s="31">
        <f>IF(AND($Q278=1,$Z278=1),1,0)</f>
        <v/>
      </c>
      <c r="AM278" s="31">
        <f>IF(AND($AL278=1,$AJ278&lt;&gt;""),MAX(0,TODAY()-$AJ278),"")</f>
        <v/>
      </c>
      <c r="AN278" s="31">
        <f>IF(OR($AL278=0,COUNT($AJ$6:$AJ$305)=0),0,IF($AJ278="",1,IF(TODAY()-$AJ278&gt;Board!$B$40,1,0)))</f>
        <v/>
      </c>
      <c r="AO278" s="31">
        <f>IF($AL278=0,0,IF($M278="■ Red",3,IF($M278="◧ Amber",2,IF($M278="□ On track",1,0))))</f>
        <v/>
      </c>
      <c r="AP278" s="31">
        <f>IF($AL278=0,0,IF($AK278="Will not hold",3,IF($AK278="At risk",2,IF($AK278="Will hold",1,0))))</f>
        <v/>
      </c>
      <c r="AQ278" s="31">
        <f>IF($AL278=0,"",IF($AO278=3,0,IF($AO278=2,1,IF(AND($AP278&gt;=2,$AP278&gt;$AO278),2,""))))</f>
        <v/>
      </c>
      <c r="AR278" s="31">
        <f>IF($AQ278="","",$AQ278*1000+278)</f>
        <v/>
      </c>
      <c r="AS278" s="31">
        <f>IF(AND($AL278=1,$AO278&gt;=2,$AP278&gt;=1,$AP278&lt;$AO278),1,0)</f>
        <v/>
      </c>
      <c r="AT278" s="31">
        <f>IF(AND($AL278=1,$AO278&gt;=2,$AP278=0),1,0)</f>
        <v/>
      </c>
      <c r="AU278" s="31">
        <f>IF(AND($AL278=1,$U278&lt;&gt;"",$U278&lt;TODAY()),1,0)</f>
        <v/>
      </c>
      <c r="AV278" s="31">
        <f>IF(OR($A278="",$AJ278="",Portfolio!$B$10=""),0,IF($AJ278&lt;=Portfolio!$B$10,0,IF(AND($D278="Completed",$Z278=1),1,IF(AND($D278="Terminated",$Z278=1),2,IF(AND($Q278=1,$Z278=0),3,0)))))</f>
        <v/>
      </c>
      <c r="AW278" s="31">
        <f>IF($AV278&gt;0,COUNTIF($AV$6:$AV278,"&gt;0"),"")</f>
        <v/>
      </c>
      <c r="AX278" s="31">
        <f>IF($AL278=0,"",IF(AND($B278="Project",$H278&lt;&gt;"",$H278&lt;TODAY()),"Planned finish "&amp;TEXT($H278,"d mmm")&amp;" has passed",IF($X278&gt;=2,(NETWORKDAYS($H278,$U278)-1)&amp;" working days past plan","")))</f>
        <v/>
      </c>
      <c r="AY278" s="31">
        <f>IF($AL278=0,"",IF($Y278&gt;=2,"Over budget by "&amp;TEXT(IF($B278="Program",$V278,$J278)-$K278,"#,##0"),""))</f>
        <v/>
      </c>
      <c r="AZ278" s="31">
        <f>IF(AND($AL278=1,$U278&lt;&gt;""),IF(AND(N($U278)&gt;=TODAY(),N($U278)&lt;=TODAY()+Board!$B$41),1,0),0)</f>
        <v/>
      </c>
    </row>
    <row r="279">
      <c r="A279" s="29" t="n"/>
      <c r="B279" s="29" t="n"/>
      <c r="C279" s="29" t="n"/>
      <c r="D279" s="29" t="n"/>
      <c r="E279" s="29" t="n"/>
      <c r="F279" s="29" t="n"/>
      <c r="G279" s="29" t="n"/>
      <c r="H279" s="30" t="n"/>
      <c r="I279" s="30" t="n"/>
      <c r="J279" s="19" t="n"/>
      <c r="K279" s="19" t="n"/>
      <c r="L279" s="26" t="n"/>
      <c r="M279" s="31">
        <f>IF($A279="","",IF($D279="","Not read",IF($Q279=0,"Not counted",IF(MAX($X279,$Y279)=3,"■ Red",IF(MAX($X279,$Y279)=2,"◧ Amber",IF(MAX($X279,$Y279)=1,"□ On track","Not read"))))))</f>
        <v/>
      </c>
      <c r="N279" s="31">
        <f>IF(OR($A279="",$B279&lt;&gt;"Program"),"","■ "&amp;COUNTIFS($C$6:$C$305,$A279,$M$6:$M$305,"■ Red")&amp;" Red, ◧ "&amp;COUNTIFS($C$6:$C$305,$A279,$M$6:$M$305,"◧ Amber")&amp;" Amber")</f>
        <v/>
      </c>
      <c r="O279" s="32">
        <f>IF(OR($A279="",$E279=""),"",COUNTIFS($E$6:$E$305,$E279,$D$6:$D$305,"Active")+COUNTIFS($E$6:$E$305,$E279,$D$6:$D$305,"Paused"))</f>
        <v/>
      </c>
      <c r="P279" s="31">
        <f>IF($A279="","",IF($AE279=0,"○ Clear",IF($AA279=1,"△ No owner",IF($AC279=1,"△ Check Sits under",IF($AC279=2,"△ Outside the portfolio",IF($AB279=1,"△ No sponsor","△ No variance note"))))&amp;IF($AE279&gt;1," (+"&amp;($AE279-1)&amp;" more)","")))</f>
        <v/>
      </c>
      <c r="Q279" s="31">
        <f>IF(AND($A279&lt;&gt;"",OR($D279="Active",$D279="Paused")),1,0)</f>
        <v/>
      </c>
      <c r="R279" s="31">
        <f>IFERROR(INDEX($A$6:$A$305,MATCH(272,$S$6:$S$305,0)),"")</f>
        <v/>
      </c>
      <c r="S279" s="31">
        <f>IF(AND($A279&lt;&gt;"",$B279="Program"),COUNTIFS($B$6:$B279,"Program",$A$6:$A279,"&lt;&gt;"),"")</f>
        <v/>
      </c>
      <c r="T279" s="33">
        <f>IF(AND($A279&lt;&gt;"",$B279="Program"),SUMPRODUCT(MAX(($C$6:$C$305=$A279)*($B$6:$B$305="Project")*($D$6:$D$305&lt;&gt;"Proposed")*$I$6:$I$305)),0)</f>
        <v/>
      </c>
      <c r="U279" s="33">
        <f>IF($I279&lt;&gt;"",$I279,IF($T279&gt;0,$T279,""))</f>
        <v/>
      </c>
      <c r="V279" s="31">
        <f>IF(AND($A279&lt;&gt;"",$B279="Program"),SUMIFS($J$6:$J$305,$C$6:$C$305,$A279,$B$6:$B$305,"Project",$D$6:$D$305,"&lt;&gt;Proposed"),0)</f>
        <v/>
      </c>
      <c r="W279" s="31">
        <f>IF(AND($A279&lt;&gt;"",$B279="Program"),COUNTIFS($C$6:$C$305,$A279,$B$6:$B$305,"Project",$D$6:$D$305,"&lt;&gt;Proposed")-COUNTIFS($C$6:$C$305,$A279,$B$6:$B$305,"Project",$D$6:$D$305,"&lt;&gt;Proposed",$J$6:$J$305,"&gt;=0"),0)</f>
        <v/>
      </c>
      <c r="X279" s="31">
        <f>IF(OR($Q279=0,$H279=""),0,IF(AND($B279="Project",$H279&lt;TODAY()),3,IF($U279="",0,IF($U279&lt;=$H279,1,IF(NETWORKDAYS($H279,$U279)-1&gt;IF($B279="Program",Portfolio!$B$16,Portfolio!$B$15),3,2)))))</f>
        <v/>
      </c>
      <c r="Y279" s="31">
        <f>IF(OR($Q279=0,$K279="",$K279=0),0,IF(AND($B279="Project",$J279=""),0,IF(IF($B279="Program",$V279,$J279)&gt;$K279*(1+Portfolio!$B$17),3,IF(IF($B279="Program",$V279,$J279)&gt;$K279,2,IF(AND($B279="Program",OR($W279&gt;0,$V279=0)),0,1)))))</f>
        <v/>
      </c>
      <c r="Z279" s="31">
        <f>IF($A279="",0,IF($C279="Portfolio",1,IF(AND($B279="Project",$C279&lt;&gt;"",$C279&lt;&gt;"Outside the portfolio"),IFERROR(IF(AND(INDEX($B$6:$B$305,MATCH($C279,$A$6:$A$305,0))="Program",INDEX($C$6:$C$305,MATCH($C279,$A$6:$A$305,0))="Portfolio"),1,0),0),0)))</f>
        <v/>
      </c>
      <c r="AA279" s="31">
        <f>IF(AND($A279&lt;&gt;"",$E279="",OR($Q279=1,$D279="Proposed")),1,0)</f>
        <v/>
      </c>
      <c r="AB279" s="31">
        <f>IF(AND($A279&lt;&gt;"",$B279="Program",$F279="",$Q279=1),1,0)</f>
        <v/>
      </c>
      <c r="AC279" s="31">
        <f>IF(OR($A279="",$D279="Completed",$D279="Terminated"),0,IF($C279="",1,IF($C279="Portfolio",0,IF($C279="Outside the portfolio",IF($Q279=1,2,0),IF($B279="Project",IF(IFERROR(INDEX($B$6:$B$305,MATCH($C279,$A$6:$A$305,0)),"")="Program",0,1),1)))))</f>
        <v/>
      </c>
      <c r="AD279" s="31">
        <f>IF(AND($A279&lt;&gt;"",OR($M279="■ Red",$M279="◧ Amber"),$L279=""),1,0)</f>
        <v/>
      </c>
      <c r="AE279" s="31">
        <f>$AA279+$AB279+IF($AC279&gt;0,1,0)+$AD279</f>
        <v/>
      </c>
      <c r="AJ279" s="14" t="n"/>
      <c r="AK279" s="29" t="n"/>
      <c r="AL279" s="31">
        <f>IF(AND($Q279=1,$Z279=1),1,0)</f>
        <v/>
      </c>
      <c r="AM279" s="31">
        <f>IF(AND($AL279=1,$AJ279&lt;&gt;""),MAX(0,TODAY()-$AJ279),"")</f>
        <v/>
      </c>
      <c r="AN279" s="31">
        <f>IF(OR($AL279=0,COUNT($AJ$6:$AJ$305)=0),0,IF($AJ279="",1,IF(TODAY()-$AJ279&gt;Board!$B$40,1,0)))</f>
        <v/>
      </c>
      <c r="AO279" s="31">
        <f>IF($AL279=0,0,IF($M279="■ Red",3,IF($M279="◧ Amber",2,IF($M279="□ On track",1,0))))</f>
        <v/>
      </c>
      <c r="AP279" s="31">
        <f>IF($AL279=0,0,IF($AK279="Will not hold",3,IF($AK279="At risk",2,IF($AK279="Will hold",1,0))))</f>
        <v/>
      </c>
      <c r="AQ279" s="31">
        <f>IF($AL279=0,"",IF($AO279=3,0,IF($AO279=2,1,IF(AND($AP279&gt;=2,$AP279&gt;$AO279),2,""))))</f>
        <v/>
      </c>
      <c r="AR279" s="31">
        <f>IF($AQ279="","",$AQ279*1000+279)</f>
        <v/>
      </c>
      <c r="AS279" s="31">
        <f>IF(AND($AL279=1,$AO279&gt;=2,$AP279&gt;=1,$AP279&lt;$AO279),1,0)</f>
        <v/>
      </c>
      <c r="AT279" s="31">
        <f>IF(AND($AL279=1,$AO279&gt;=2,$AP279=0),1,0)</f>
        <v/>
      </c>
      <c r="AU279" s="31">
        <f>IF(AND($AL279=1,$U279&lt;&gt;"",$U279&lt;TODAY()),1,0)</f>
        <v/>
      </c>
      <c r="AV279" s="31">
        <f>IF(OR($A279="",$AJ279="",Portfolio!$B$10=""),0,IF($AJ279&lt;=Portfolio!$B$10,0,IF(AND($D279="Completed",$Z279=1),1,IF(AND($D279="Terminated",$Z279=1),2,IF(AND($Q279=1,$Z279=0),3,0)))))</f>
        <v/>
      </c>
      <c r="AW279" s="31">
        <f>IF($AV279&gt;0,COUNTIF($AV$6:$AV279,"&gt;0"),"")</f>
        <v/>
      </c>
      <c r="AX279" s="31">
        <f>IF($AL279=0,"",IF(AND($B279="Project",$H279&lt;&gt;"",$H279&lt;TODAY()),"Planned finish "&amp;TEXT($H279,"d mmm")&amp;" has passed",IF($X279&gt;=2,(NETWORKDAYS($H279,$U279)-1)&amp;" working days past plan","")))</f>
        <v/>
      </c>
      <c r="AY279" s="31">
        <f>IF($AL279=0,"",IF($Y279&gt;=2,"Over budget by "&amp;TEXT(IF($B279="Program",$V279,$J279)-$K279,"#,##0"),""))</f>
        <v/>
      </c>
      <c r="AZ279" s="31">
        <f>IF(AND($AL279=1,$U279&lt;&gt;""),IF(AND(N($U279)&gt;=TODAY(),N($U279)&lt;=TODAY()+Board!$B$41),1,0),0)</f>
        <v/>
      </c>
    </row>
    <row r="280">
      <c r="A280" s="29" t="n"/>
      <c r="B280" s="29" t="n"/>
      <c r="C280" s="29" t="n"/>
      <c r="D280" s="29" t="n"/>
      <c r="E280" s="29" t="n"/>
      <c r="F280" s="29" t="n"/>
      <c r="G280" s="29" t="n"/>
      <c r="H280" s="30" t="n"/>
      <c r="I280" s="30" t="n"/>
      <c r="J280" s="19" t="n"/>
      <c r="K280" s="19" t="n"/>
      <c r="L280" s="26" t="n"/>
      <c r="M280" s="31">
        <f>IF($A280="","",IF($D280="","Not read",IF($Q280=0,"Not counted",IF(MAX($X280,$Y280)=3,"■ Red",IF(MAX($X280,$Y280)=2,"◧ Amber",IF(MAX($X280,$Y280)=1,"□ On track","Not read"))))))</f>
        <v/>
      </c>
      <c r="N280" s="31">
        <f>IF(OR($A280="",$B280&lt;&gt;"Program"),"","■ "&amp;COUNTIFS($C$6:$C$305,$A280,$M$6:$M$305,"■ Red")&amp;" Red, ◧ "&amp;COUNTIFS($C$6:$C$305,$A280,$M$6:$M$305,"◧ Amber")&amp;" Amber")</f>
        <v/>
      </c>
      <c r="O280" s="32">
        <f>IF(OR($A280="",$E280=""),"",COUNTIFS($E$6:$E$305,$E280,$D$6:$D$305,"Active")+COUNTIFS($E$6:$E$305,$E280,$D$6:$D$305,"Paused"))</f>
        <v/>
      </c>
      <c r="P280" s="31">
        <f>IF($A280="","",IF($AE280=0,"○ Clear",IF($AA280=1,"△ No owner",IF($AC280=1,"△ Check Sits under",IF($AC280=2,"△ Outside the portfolio",IF($AB280=1,"△ No sponsor","△ No variance note"))))&amp;IF($AE280&gt;1," (+"&amp;($AE280-1)&amp;" more)","")))</f>
        <v/>
      </c>
      <c r="Q280" s="31">
        <f>IF(AND($A280&lt;&gt;"",OR($D280="Active",$D280="Paused")),1,0)</f>
        <v/>
      </c>
      <c r="R280" s="31">
        <f>IFERROR(INDEX($A$6:$A$305,MATCH(273,$S$6:$S$305,0)),"")</f>
        <v/>
      </c>
      <c r="S280" s="31">
        <f>IF(AND($A280&lt;&gt;"",$B280="Program"),COUNTIFS($B$6:$B280,"Program",$A$6:$A280,"&lt;&gt;"),"")</f>
        <v/>
      </c>
      <c r="T280" s="33">
        <f>IF(AND($A280&lt;&gt;"",$B280="Program"),SUMPRODUCT(MAX(($C$6:$C$305=$A280)*($B$6:$B$305="Project")*($D$6:$D$305&lt;&gt;"Proposed")*$I$6:$I$305)),0)</f>
        <v/>
      </c>
      <c r="U280" s="33">
        <f>IF($I280&lt;&gt;"",$I280,IF($T280&gt;0,$T280,""))</f>
        <v/>
      </c>
      <c r="V280" s="31">
        <f>IF(AND($A280&lt;&gt;"",$B280="Program"),SUMIFS($J$6:$J$305,$C$6:$C$305,$A280,$B$6:$B$305,"Project",$D$6:$D$305,"&lt;&gt;Proposed"),0)</f>
        <v/>
      </c>
      <c r="W280" s="31">
        <f>IF(AND($A280&lt;&gt;"",$B280="Program"),COUNTIFS($C$6:$C$305,$A280,$B$6:$B$305,"Project",$D$6:$D$305,"&lt;&gt;Proposed")-COUNTIFS($C$6:$C$305,$A280,$B$6:$B$305,"Project",$D$6:$D$305,"&lt;&gt;Proposed",$J$6:$J$305,"&gt;=0"),0)</f>
        <v/>
      </c>
      <c r="X280" s="31">
        <f>IF(OR($Q280=0,$H280=""),0,IF(AND($B280="Project",$H280&lt;TODAY()),3,IF($U280="",0,IF($U280&lt;=$H280,1,IF(NETWORKDAYS($H280,$U280)-1&gt;IF($B280="Program",Portfolio!$B$16,Portfolio!$B$15),3,2)))))</f>
        <v/>
      </c>
      <c r="Y280" s="31">
        <f>IF(OR($Q280=0,$K280="",$K280=0),0,IF(AND($B280="Project",$J280=""),0,IF(IF($B280="Program",$V280,$J280)&gt;$K280*(1+Portfolio!$B$17),3,IF(IF($B280="Program",$V280,$J280)&gt;$K280,2,IF(AND($B280="Program",OR($W280&gt;0,$V280=0)),0,1)))))</f>
        <v/>
      </c>
      <c r="Z280" s="31">
        <f>IF($A280="",0,IF($C280="Portfolio",1,IF(AND($B280="Project",$C280&lt;&gt;"",$C280&lt;&gt;"Outside the portfolio"),IFERROR(IF(AND(INDEX($B$6:$B$305,MATCH($C280,$A$6:$A$305,0))="Program",INDEX($C$6:$C$305,MATCH($C280,$A$6:$A$305,0))="Portfolio"),1,0),0),0)))</f>
        <v/>
      </c>
      <c r="AA280" s="31">
        <f>IF(AND($A280&lt;&gt;"",$E280="",OR($Q280=1,$D280="Proposed")),1,0)</f>
        <v/>
      </c>
      <c r="AB280" s="31">
        <f>IF(AND($A280&lt;&gt;"",$B280="Program",$F280="",$Q280=1),1,0)</f>
        <v/>
      </c>
      <c r="AC280" s="31">
        <f>IF(OR($A280="",$D280="Completed",$D280="Terminated"),0,IF($C280="",1,IF($C280="Portfolio",0,IF($C280="Outside the portfolio",IF($Q280=1,2,0),IF($B280="Project",IF(IFERROR(INDEX($B$6:$B$305,MATCH($C280,$A$6:$A$305,0)),"")="Program",0,1),1)))))</f>
        <v/>
      </c>
      <c r="AD280" s="31">
        <f>IF(AND($A280&lt;&gt;"",OR($M280="■ Red",$M280="◧ Amber"),$L280=""),1,0)</f>
        <v/>
      </c>
      <c r="AE280" s="31">
        <f>$AA280+$AB280+IF($AC280&gt;0,1,0)+$AD280</f>
        <v/>
      </c>
      <c r="AJ280" s="14" t="n"/>
      <c r="AK280" s="29" t="n"/>
      <c r="AL280" s="31">
        <f>IF(AND($Q280=1,$Z280=1),1,0)</f>
        <v/>
      </c>
      <c r="AM280" s="31">
        <f>IF(AND($AL280=1,$AJ280&lt;&gt;""),MAX(0,TODAY()-$AJ280),"")</f>
        <v/>
      </c>
      <c r="AN280" s="31">
        <f>IF(OR($AL280=0,COUNT($AJ$6:$AJ$305)=0),0,IF($AJ280="",1,IF(TODAY()-$AJ280&gt;Board!$B$40,1,0)))</f>
        <v/>
      </c>
      <c r="AO280" s="31">
        <f>IF($AL280=0,0,IF($M280="■ Red",3,IF($M280="◧ Amber",2,IF($M280="□ On track",1,0))))</f>
        <v/>
      </c>
      <c r="AP280" s="31">
        <f>IF($AL280=0,0,IF($AK280="Will not hold",3,IF($AK280="At risk",2,IF($AK280="Will hold",1,0))))</f>
        <v/>
      </c>
      <c r="AQ280" s="31">
        <f>IF($AL280=0,"",IF($AO280=3,0,IF($AO280=2,1,IF(AND($AP280&gt;=2,$AP280&gt;$AO280),2,""))))</f>
        <v/>
      </c>
      <c r="AR280" s="31">
        <f>IF($AQ280="","",$AQ280*1000+280)</f>
        <v/>
      </c>
      <c r="AS280" s="31">
        <f>IF(AND($AL280=1,$AO280&gt;=2,$AP280&gt;=1,$AP280&lt;$AO280),1,0)</f>
        <v/>
      </c>
      <c r="AT280" s="31">
        <f>IF(AND($AL280=1,$AO280&gt;=2,$AP280=0),1,0)</f>
        <v/>
      </c>
      <c r="AU280" s="31">
        <f>IF(AND($AL280=1,$U280&lt;&gt;"",$U280&lt;TODAY()),1,0)</f>
        <v/>
      </c>
      <c r="AV280" s="31">
        <f>IF(OR($A280="",$AJ280="",Portfolio!$B$10=""),0,IF($AJ280&lt;=Portfolio!$B$10,0,IF(AND($D280="Completed",$Z280=1),1,IF(AND($D280="Terminated",$Z280=1),2,IF(AND($Q280=1,$Z280=0),3,0)))))</f>
        <v/>
      </c>
      <c r="AW280" s="31">
        <f>IF($AV280&gt;0,COUNTIF($AV$6:$AV280,"&gt;0"),"")</f>
        <v/>
      </c>
      <c r="AX280" s="31">
        <f>IF($AL280=0,"",IF(AND($B280="Project",$H280&lt;&gt;"",$H280&lt;TODAY()),"Planned finish "&amp;TEXT($H280,"d mmm")&amp;" has passed",IF($X280&gt;=2,(NETWORKDAYS($H280,$U280)-1)&amp;" working days past plan","")))</f>
        <v/>
      </c>
      <c r="AY280" s="31">
        <f>IF($AL280=0,"",IF($Y280&gt;=2,"Over budget by "&amp;TEXT(IF($B280="Program",$V280,$J280)-$K280,"#,##0"),""))</f>
        <v/>
      </c>
      <c r="AZ280" s="31">
        <f>IF(AND($AL280=1,$U280&lt;&gt;""),IF(AND(N($U280)&gt;=TODAY(),N($U280)&lt;=TODAY()+Board!$B$41),1,0),0)</f>
        <v/>
      </c>
    </row>
    <row r="281">
      <c r="A281" s="29" t="n"/>
      <c r="B281" s="29" t="n"/>
      <c r="C281" s="29" t="n"/>
      <c r="D281" s="29" t="n"/>
      <c r="E281" s="29" t="n"/>
      <c r="F281" s="29" t="n"/>
      <c r="G281" s="29" t="n"/>
      <c r="H281" s="30" t="n"/>
      <c r="I281" s="30" t="n"/>
      <c r="J281" s="19" t="n"/>
      <c r="K281" s="19" t="n"/>
      <c r="L281" s="26" t="n"/>
      <c r="M281" s="31">
        <f>IF($A281="","",IF($D281="","Not read",IF($Q281=0,"Not counted",IF(MAX($X281,$Y281)=3,"■ Red",IF(MAX($X281,$Y281)=2,"◧ Amber",IF(MAX($X281,$Y281)=1,"□ On track","Not read"))))))</f>
        <v/>
      </c>
      <c r="N281" s="31">
        <f>IF(OR($A281="",$B281&lt;&gt;"Program"),"","■ "&amp;COUNTIFS($C$6:$C$305,$A281,$M$6:$M$305,"■ Red")&amp;" Red, ◧ "&amp;COUNTIFS($C$6:$C$305,$A281,$M$6:$M$305,"◧ Amber")&amp;" Amber")</f>
        <v/>
      </c>
      <c r="O281" s="32">
        <f>IF(OR($A281="",$E281=""),"",COUNTIFS($E$6:$E$305,$E281,$D$6:$D$305,"Active")+COUNTIFS($E$6:$E$305,$E281,$D$6:$D$305,"Paused"))</f>
        <v/>
      </c>
      <c r="P281" s="31">
        <f>IF($A281="","",IF($AE281=0,"○ Clear",IF($AA281=1,"△ No owner",IF($AC281=1,"△ Check Sits under",IF($AC281=2,"△ Outside the portfolio",IF($AB281=1,"△ No sponsor","△ No variance note"))))&amp;IF($AE281&gt;1," (+"&amp;($AE281-1)&amp;" more)","")))</f>
        <v/>
      </c>
      <c r="Q281" s="31">
        <f>IF(AND($A281&lt;&gt;"",OR($D281="Active",$D281="Paused")),1,0)</f>
        <v/>
      </c>
      <c r="R281" s="31">
        <f>IFERROR(INDEX($A$6:$A$305,MATCH(274,$S$6:$S$305,0)),"")</f>
        <v/>
      </c>
      <c r="S281" s="31">
        <f>IF(AND($A281&lt;&gt;"",$B281="Program"),COUNTIFS($B$6:$B281,"Program",$A$6:$A281,"&lt;&gt;"),"")</f>
        <v/>
      </c>
      <c r="T281" s="33">
        <f>IF(AND($A281&lt;&gt;"",$B281="Program"),SUMPRODUCT(MAX(($C$6:$C$305=$A281)*($B$6:$B$305="Project")*($D$6:$D$305&lt;&gt;"Proposed")*$I$6:$I$305)),0)</f>
        <v/>
      </c>
      <c r="U281" s="33">
        <f>IF($I281&lt;&gt;"",$I281,IF($T281&gt;0,$T281,""))</f>
        <v/>
      </c>
      <c r="V281" s="31">
        <f>IF(AND($A281&lt;&gt;"",$B281="Program"),SUMIFS($J$6:$J$305,$C$6:$C$305,$A281,$B$6:$B$305,"Project",$D$6:$D$305,"&lt;&gt;Proposed"),0)</f>
        <v/>
      </c>
      <c r="W281" s="31">
        <f>IF(AND($A281&lt;&gt;"",$B281="Program"),COUNTIFS($C$6:$C$305,$A281,$B$6:$B$305,"Project",$D$6:$D$305,"&lt;&gt;Proposed")-COUNTIFS($C$6:$C$305,$A281,$B$6:$B$305,"Project",$D$6:$D$305,"&lt;&gt;Proposed",$J$6:$J$305,"&gt;=0"),0)</f>
        <v/>
      </c>
      <c r="X281" s="31">
        <f>IF(OR($Q281=0,$H281=""),0,IF(AND($B281="Project",$H281&lt;TODAY()),3,IF($U281="",0,IF($U281&lt;=$H281,1,IF(NETWORKDAYS($H281,$U281)-1&gt;IF($B281="Program",Portfolio!$B$16,Portfolio!$B$15),3,2)))))</f>
        <v/>
      </c>
      <c r="Y281" s="31">
        <f>IF(OR($Q281=0,$K281="",$K281=0),0,IF(AND($B281="Project",$J281=""),0,IF(IF($B281="Program",$V281,$J281)&gt;$K281*(1+Portfolio!$B$17),3,IF(IF($B281="Program",$V281,$J281)&gt;$K281,2,IF(AND($B281="Program",OR($W281&gt;0,$V281=0)),0,1)))))</f>
        <v/>
      </c>
      <c r="Z281" s="31">
        <f>IF($A281="",0,IF($C281="Portfolio",1,IF(AND($B281="Project",$C281&lt;&gt;"",$C281&lt;&gt;"Outside the portfolio"),IFERROR(IF(AND(INDEX($B$6:$B$305,MATCH($C281,$A$6:$A$305,0))="Program",INDEX($C$6:$C$305,MATCH($C281,$A$6:$A$305,0))="Portfolio"),1,0),0),0)))</f>
        <v/>
      </c>
      <c r="AA281" s="31">
        <f>IF(AND($A281&lt;&gt;"",$E281="",OR($Q281=1,$D281="Proposed")),1,0)</f>
        <v/>
      </c>
      <c r="AB281" s="31">
        <f>IF(AND($A281&lt;&gt;"",$B281="Program",$F281="",$Q281=1),1,0)</f>
        <v/>
      </c>
      <c r="AC281" s="31">
        <f>IF(OR($A281="",$D281="Completed",$D281="Terminated"),0,IF($C281="",1,IF($C281="Portfolio",0,IF($C281="Outside the portfolio",IF($Q281=1,2,0),IF($B281="Project",IF(IFERROR(INDEX($B$6:$B$305,MATCH($C281,$A$6:$A$305,0)),"")="Program",0,1),1)))))</f>
        <v/>
      </c>
      <c r="AD281" s="31">
        <f>IF(AND($A281&lt;&gt;"",OR($M281="■ Red",$M281="◧ Amber"),$L281=""),1,0)</f>
        <v/>
      </c>
      <c r="AE281" s="31">
        <f>$AA281+$AB281+IF($AC281&gt;0,1,0)+$AD281</f>
        <v/>
      </c>
      <c r="AJ281" s="14" t="n"/>
      <c r="AK281" s="29" t="n"/>
      <c r="AL281" s="31">
        <f>IF(AND($Q281=1,$Z281=1),1,0)</f>
        <v/>
      </c>
      <c r="AM281" s="31">
        <f>IF(AND($AL281=1,$AJ281&lt;&gt;""),MAX(0,TODAY()-$AJ281),"")</f>
        <v/>
      </c>
      <c r="AN281" s="31">
        <f>IF(OR($AL281=0,COUNT($AJ$6:$AJ$305)=0),0,IF($AJ281="",1,IF(TODAY()-$AJ281&gt;Board!$B$40,1,0)))</f>
        <v/>
      </c>
      <c r="AO281" s="31">
        <f>IF($AL281=0,0,IF($M281="■ Red",3,IF($M281="◧ Amber",2,IF($M281="□ On track",1,0))))</f>
        <v/>
      </c>
      <c r="AP281" s="31">
        <f>IF($AL281=0,0,IF($AK281="Will not hold",3,IF($AK281="At risk",2,IF($AK281="Will hold",1,0))))</f>
        <v/>
      </c>
      <c r="AQ281" s="31">
        <f>IF($AL281=0,"",IF($AO281=3,0,IF($AO281=2,1,IF(AND($AP281&gt;=2,$AP281&gt;$AO281),2,""))))</f>
        <v/>
      </c>
      <c r="AR281" s="31">
        <f>IF($AQ281="","",$AQ281*1000+281)</f>
        <v/>
      </c>
      <c r="AS281" s="31">
        <f>IF(AND($AL281=1,$AO281&gt;=2,$AP281&gt;=1,$AP281&lt;$AO281),1,0)</f>
        <v/>
      </c>
      <c r="AT281" s="31">
        <f>IF(AND($AL281=1,$AO281&gt;=2,$AP281=0),1,0)</f>
        <v/>
      </c>
      <c r="AU281" s="31">
        <f>IF(AND($AL281=1,$U281&lt;&gt;"",$U281&lt;TODAY()),1,0)</f>
        <v/>
      </c>
      <c r="AV281" s="31">
        <f>IF(OR($A281="",$AJ281="",Portfolio!$B$10=""),0,IF($AJ281&lt;=Portfolio!$B$10,0,IF(AND($D281="Completed",$Z281=1),1,IF(AND($D281="Terminated",$Z281=1),2,IF(AND($Q281=1,$Z281=0),3,0)))))</f>
        <v/>
      </c>
      <c r="AW281" s="31">
        <f>IF($AV281&gt;0,COUNTIF($AV$6:$AV281,"&gt;0"),"")</f>
        <v/>
      </c>
      <c r="AX281" s="31">
        <f>IF($AL281=0,"",IF(AND($B281="Project",$H281&lt;&gt;"",$H281&lt;TODAY()),"Planned finish "&amp;TEXT($H281,"d mmm")&amp;" has passed",IF($X281&gt;=2,(NETWORKDAYS($H281,$U281)-1)&amp;" working days past plan","")))</f>
        <v/>
      </c>
      <c r="AY281" s="31">
        <f>IF($AL281=0,"",IF($Y281&gt;=2,"Over budget by "&amp;TEXT(IF($B281="Program",$V281,$J281)-$K281,"#,##0"),""))</f>
        <v/>
      </c>
      <c r="AZ281" s="31">
        <f>IF(AND($AL281=1,$U281&lt;&gt;""),IF(AND(N($U281)&gt;=TODAY(),N($U281)&lt;=TODAY()+Board!$B$41),1,0),0)</f>
        <v/>
      </c>
    </row>
    <row r="282">
      <c r="A282" s="29" t="n"/>
      <c r="B282" s="29" t="n"/>
      <c r="C282" s="29" t="n"/>
      <c r="D282" s="29" t="n"/>
      <c r="E282" s="29" t="n"/>
      <c r="F282" s="29" t="n"/>
      <c r="G282" s="29" t="n"/>
      <c r="H282" s="30" t="n"/>
      <c r="I282" s="30" t="n"/>
      <c r="J282" s="19" t="n"/>
      <c r="K282" s="19" t="n"/>
      <c r="L282" s="26" t="n"/>
      <c r="M282" s="31">
        <f>IF($A282="","",IF($D282="","Not read",IF($Q282=0,"Not counted",IF(MAX($X282,$Y282)=3,"■ Red",IF(MAX($X282,$Y282)=2,"◧ Amber",IF(MAX($X282,$Y282)=1,"□ On track","Not read"))))))</f>
        <v/>
      </c>
      <c r="N282" s="31">
        <f>IF(OR($A282="",$B282&lt;&gt;"Program"),"","■ "&amp;COUNTIFS($C$6:$C$305,$A282,$M$6:$M$305,"■ Red")&amp;" Red, ◧ "&amp;COUNTIFS($C$6:$C$305,$A282,$M$6:$M$305,"◧ Amber")&amp;" Amber")</f>
        <v/>
      </c>
      <c r="O282" s="32">
        <f>IF(OR($A282="",$E282=""),"",COUNTIFS($E$6:$E$305,$E282,$D$6:$D$305,"Active")+COUNTIFS($E$6:$E$305,$E282,$D$6:$D$305,"Paused"))</f>
        <v/>
      </c>
      <c r="P282" s="31">
        <f>IF($A282="","",IF($AE282=0,"○ Clear",IF($AA282=1,"△ No owner",IF($AC282=1,"△ Check Sits under",IF($AC282=2,"△ Outside the portfolio",IF($AB282=1,"△ No sponsor","△ No variance note"))))&amp;IF($AE282&gt;1," (+"&amp;($AE282-1)&amp;" more)","")))</f>
        <v/>
      </c>
      <c r="Q282" s="31">
        <f>IF(AND($A282&lt;&gt;"",OR($D282="Active",$D282="Paused")),1,0)</f>
        <v/>
      </c>
      <c r="R282" s="31">
        <f>IFERROR(INDEX($A$6:$A$305,MATCH(275,$S$6:$S$305,0)),"")</f>
        <v/>
      </c>
      <c r="S282" s="31">
        <f>IF(AND($A282&lt;&gt;"",$B282="Program"),COUNTIFS($B$6:$B282,"Program",$A$6:$A282,"&lt;&gt;"),"")</f>
        <v/>
      </c>
      <c r="T282" s="33">
        <f>IF(AND($A282&lt;&gt;"",$B282="Program"),SUMPRODUCT(MAX(($C$6:$C$305=$A282)*($B$6:$B$305="Project")*($D$6:$D$305&lt;&gt;"Proposed")*$I$6:$I$305)),0)</f>
        <v/>
      </c>
      <c r="U282" s="33">
        <f>IF($I282&lt;&gt;"",$I282,IF($T282&gt;0,$T282,""))</f>
        <v/>
      </c>
      <c r="V282" s="31">
        <f>IF(AND($A282&lt;&gt;"",$B282="Program"),SUMIFS($J$6:$J$305,$C$6:$C$305,$A282,$B$6:$B$305,"Project",$D$6:$D$305,"&lt;&gt;Proposed"),0)</f>
        <v/>
      </c>
      <c r="W282" s="31">
        <f>IF(AND($A282&lt;&gt;"",$B282="Program"),COUNTIFS($C$6:$C$305,$A282,$B$6:$B$305,"Project",$D$6:$D$305,"&lt;&gt;Proposed")-COUNTIFS($C$6:$C$305,$A282,$B$6:$B$305,"Project",$D$6:$D$305,"&lt;&gt;Proposed",$J$6:$J$305,"&gt;=0"),0)</f>
        <v/>
      </c>
      <c r="X282" s="31">
        <f>IF(OR($Q282=0,$H282=""),0,IF(AND($B282="Project",$H282&lt;TODAY()),3,IF($U282="",0,IF($U282&lt;=$H282,1,IF(NETWORKDAYS($H282,$U282)-1&gt;IF($B282="Program",Portfolio!$B$16,Portfolio!$B$15),3,2)))))</f>
        <v/>
      </c>
      <c r="Y282" s="31">
        <f>IF(OR($Q282=0,$K282="",$K282=0),0,IF(AND($B282="Project",$J282=""),0,IF(IF($B282="Program",$V282,$J282)&gt;$K282*(1+Portfolio!$B$17),3,IF(IF($B282="Program",$V282,$J282)&gt;$K282,2,IF(AND($B282="Program",OR($W282&gt;0,$V282=0)),0,1)))))</f>
        <v/>
      </c>
      <c r="Z282" s="31">
        <f>IF($A282="",0,IF($C282="Portfolio",1,IF(AND($B282="Project",$C282&lt;&gt;"",$C282&lt;&gt;"Outside the portfolio"),IFERROR(IF(AND(INDEX($B$6:$B$305,MATCH($C282,$A$6:$A$305,0))="Program",INDEX($C$6:$C$305,MATCH($C282,$A$6:$A$305,0))="Portfolio"),1,0),0),0)))</f>
        <v/>
      </c>
      <c r="AA282" s="31">
        <f>IF(AND($A282&lt;&gt;"",$E282="",OR($Q282=1,$D282="Proposed")),1,0)</f>
        <v/>
      </c>
      <c r="AB282" s="31">
        <f>IF(AND($A282&lt;&gt;"",$B282="Program",$F282="",$Q282=1),1,0)</f>
        <v/>
      </c>
      <c r="AC282" s="31">
        <f>IF(OR($A282="",$D282="Completed",$D282="Terminated"),0,IF($C282="",1,IF($C282="Portfolio",0,IF($C282="Outside the portfolio",IF($Q282=1,2,0),IF($B282="Project",IF(IFERROR(INDEX($B$6:$B$305,MATCH($C282,$A$6:$A$305,0)),"")="Program",0,1),1)))))</f>
        <v/>
      </c>
      <c r="AD282" s="31">
        <f>IF(AND($A282&lt;&gt;"",OR($M282="■ Red",$M282="◧ Amber"),$L282=""),1,0)</f>
        <v/>
      </c>
      <c r="AE282" s="31">
        <f>$AA282+$AB282+IF($AC282&gt;0,1,0)+$AD282</f>
        <v/>
      </c>
      <c r="AJ282" s="14" t="n"/>
      <c r="AK282" s="29" t="n"/>
      <c r="AL282" s="31">
        <f>IF(AND($Q282=1,$Z282=1),1,0)</f>
        <v/>
      </c>
      <c r="AM282" s="31">
        <f>IF(AND($AL282=1,$AJ282&lt;&gt;""),MAX(0,TODAY()-$AJ282),"")</f>
        <v/>
      </c>
      <c r="AN282" s="31">
        <f>IF(OR($AL282=0,COUNT($AJ$6:$AJ$305)=0),0,IF($AJ282="",1,IF(TODAY()-$AJ282&gt;Board!$B$40,1,0)))</f>
        <v/>
      </c>
      <c r="AO282" s="31">
        <f>IF($AL282=0,0,IF($M282="■ Red",3,IF($M282="◧ Amber",2,IF($M282="□ On track",1,0))))</f>
        <v/>
      </c>
      <c r="AP282" s="31">
        <f>IF($AL282=0,0,IF($AK282="Will not hold",3,IF($AK282="At risk",2,IF($AK282="Will hold",1,0))))</f>
        <v/>
      </c>
      <c r="AQ282" s="31">
        <f>IF($AL282=0,"",IF($AO282=3,0,IF($AO282=2,1,IF(AND($AP282&gt;=2,$AP282&gt;$AO282),2,""))))</f>
        <v/>
      </c>
      <c r="AR282" s="31">
        <f>IF($AQ282="","",$AQ282*1000+282)</f>
        <v/>
      </c>
      <c r="AS282" s="31">
        <f>IF(AND($AL282=1,$AO282&gt;=2,$AP282&gt;=1,$AP282&lt;$AO282),1,0)</f>
        <v/>
      </c>
      <c r="AT282" s="31">
        <f>IF(AND($AL282=1,$AO282&gt;=2,$AP282=0),1,0)</f>
        <v/>
      </c>
      <c r="AU282" s="31">
        <f>IF(AND($AL282=1,$U282&lt;&gt;"",$U282&lt;TODAY()),1,0)</f>
        <v/>
      </c>
      <c r="AV282" s="31">
        <f>IF(OR($A282="",$AJ282="",Portfolio!$B$10=""),0,IF($AJ282&lt;=Portfolio!$B$10,0,IF(AND($D282="Completed",$Z282=1),1,IF(AND($D282="Terminated",$Z282=1),2,IF(AND($Q282=1,$Z282=0),3,0)))))</f>
        <v/>
      </c>
      <c r="AW282" s="31">
        <f>IF($AV282&gt;0,COUNTIF($AV$6:$AV282,"&gt;0"),"")</f>
        <v/>
      </c>
      <c r="AX282" s="31">
        <f>IF($AL282=0,"",IF(AND($B282="Project",$H282&lt;&gt;"",$H282&lt;TODAY()),"Planned finish "&amp;TEXT($H282,"d mmm")&amp;" has passed",IF($X282&gt;=2,(NETWORKDAYS($H282,$U282)-1)&amp;" working days past plan","")))</f>
        <v/>
      </c>
      <c r="AY282" s="31">
        <f>IF($AL282=0,"",IF($Y282&gt;=2,"Over budget by "&amp;TEXT(IF($B282="Program",$V282,$J282)-$K282,"#,##0"),""))</f>
        <v/>
      </c>
      <c r="AZ282" s="31">
        <f>IF(AND($AL282=1,$U282&lt;&gt;""),IF(AND(N($U282)&gt;=TODAY(),N($U282)&lt;=TODAY()+Board!$B$41),1,0),0)</f>
        <v/>
      </c>
    </row>
    <row r="283">
      <c r="A283" s="29" t="n"/>
      <c r="B283" s="29" t="n"/>
      <c r="C283" s="29" t="n"/>
      <c r="D283" s="29" t="n"/>
      <c r="E283" s="29" t="n"/>
      <c r="F283" s="29" t="n"/>
      <c r="G283" s="29" t="n"/>
      <c r="H283" s="30" t="n"/>
      <c r="I283" s="30" t="n"/>
      <c r="J283" s="19" t="n"/>
      <c r="K283" s="19" t="n"/>
      <c r="L283" s="26" t="n"/>
      <c r="M283" s="31">
        <f>IF($A283="","",IF($D283="","Not read",IF($Q283=0,"Not counted",IF(MAX($X283,$Y283)=3,"■ Red",IF(MAX($X283,$Y283)=2,"◧ Amber",IF(MAX($X283,$Y283)=1,"□ On track","Not read"))))))</f>
        <v/>
      </c>
      <c r="N283" s="31">
        <f>IF(OR($A283="",$B283&lt;&gt;"Program"),"","■ "&amp;COUNTIFS($C$6:$C$305,$A283,$M$6:$M$305,"■ Red")&amp;" Red, ◧ "&amp;COUNTIFS($C$6:$C$305,$A283,$M$6:$M$305,"◧ Amber")&amp;" Amber")</f>
        <v/>
      </c>
      <c r="O283" s="32">
        <f>IF(OR($A283="",$E283=""),"",COUNTIFS($E$6:$E$305,$E283,$D$6:$D$305,"Active")+COUNTIFS($E$6:$E$305,$E283,$D$6:$D$305,"Paused"))</f>
        <v/>
      </c>
      <c r="P283" s="31">
        <f>IF($A283="","",IF($AE283=0,"○ Clear",IF($AA283=1,"△ No owner",IF($AC283=1,"△ Check Sits under",IF($AC283=2,"△ Outside the portfolio",IF($AB283=1,"△ No sponsor","△ No variance note"))))&amp;IF($AE283&gt;1," (+"&amp;($AE283-1)&amp;" more)","")))</f>
        <v/>
      </c>
      <c r="Q283" s="31">
        <f>IF(AND($A283&lt;&gt;"",OR($D283="Active",$D283="Paused")),1,0)</f>
        <v/>
      </c>
      <c r="R283" s="31">
        <f>IFERROR(INDEX($A$6:$A$305,MATCH(276,$S$6:$S$305,0)),"")</f>
        <v/>
      </c>
      <c r="S283" s="31">
        <f>IF(AND($A283&lt;&gt;"",$B283="Program"),COUNTIFS($B$6:$B283,"Program",$A$6:$A283,"&lt;&gt;"),"")</f>
        <v/>
      </c>
      <c r="T283" s="33">
        <f>IF(AND($A283&lt;&gt;"",$B283="Program"),SUMPRODUCT(MAX(($C$6:$C$305=$A283)*($B$6:$B$305="Project")*($D$6:$D$305&lt;&gt;"Proposed")*$I$6:$I$305)),0)</f>
        <v/>
      </c>
      <c r="U283" s="33">
        <f>IF($I283&lt;&gt;"",$I283,IF($T283&gt;0,$T283,""))</f>
        <v/>
      </c>
      <c r="V283" s="31">
        <f>IF(AND($A283&lt;&gt;"",$B283="Program"),SUMIFS($J$6:$J$305,$C$6:$C$305,$A283,$B$6:$B$305,"Project",$D$6:$D$305,"&lt;&gt;Proposed"),0)</f>
        <v/>
      </c>
      <c r="W283" s="31">
        <f>IF(AND($A283&lt;&gt;"",$B283="Program"),COUNTIFS($C$6:$C$305,$A283,$B$6:$B$305,"Project",$D$6:$D$305,"&lt;&gt;Proposed")-COUNTIFS($C$6:$C$305,$A283,$B$6:$B$305,"Project",$D$6:$D$305,"&lt;&gt;Proposed",$J$6:$J$305,"&gt;=0"),0)</f>
        <v/>
      </c>
      <c r="X283" s="31">
        <f>IF(OR($Q283=0,$H283=""),0,IF(AND($B283="Project",$H283&lt;TODAY()),3,IF($U283="",0,IF($U283&lt;=$H283,1,IF(NETWORKDAYS($H283,$U283)-1&gt;IF($B283="Program",Portfolio!$B$16,Portfolio!$B$15),3,2)))))</f>
        <v/>
      </c>
      <c r="Y283" s="31">
        <f>IF(OR($Q283=0,$K283="",$K283=0),0,IF(AND($B283="Project",$J283=""),0,IF(IF($B283="Program",$V283,$J283)&gt;$K283*(1+Portfolio!$B$17),3,IF(IF($B283="Program",$V283,$J283)&gt;$K283,2,IF(AND($B283="Program",OR($W283&gt;0,$V283=0)),0,1)))))</f>
        <v/>
      </c>
      <c r="Z283" s="31">
        <f>IF($A283="",0,IF($C283="Portfolio",1,IF(AND($B283="Project",$C283&lt;&gt;"",$C283&lt;&gt;"Outside the portfolio"),IFERROR(IF(AND(INDEX($B$6:$B$305,MATCH($C283,$A$6:$A$305,0))="Program",INDEX($C$6:$C$305,MATCH($C283,$A$6:$A$305,0))="Portfolio"),1,0),0),0)))</f>
        <v/>
      </c>
      <c r="AA283" s="31">
        <f>IF(AND($A283&lt;&gt;"",$E283="",OR($Q283=1,$D283="Proposed")),1,0)</f>
        <v/>
      </c>
      <c r="AB283" s="31">
        <f>IF(AND($A283&lt;&gt;"",$B283="Program",$F283="",$Q283=1),1,0)</f>
        <v/>
      </c>
      <c r="AC283" s="31">
        <f>IF(OR($A283="",$D283="Completed",$D283="Terminated"),0,IF($C283="",1,IF($C283="Portfolio",0,IF($C283="Outside the portfolio",IF($Q283=1,2,0),IF($B283="Project",IF(IFERROR(INDEX($B$6:$B$305,MATCH($C283,$A$6:$A$305,0)),"")="Program",0,1),1)))))</f>
        <v/>
      </c>
      <c r="AD283" s="31">
        <f>IF(AND($A283&lt;&gt;"",OR($M283="■ Red",$M283="◧ Amber"),$L283=""),1,0)</f>
        <v/>
      </c>
      <c r="AE283" s="31">
        <f>$AA283+$AB283+IF($AC283&gt;0,1,0)+$AD283</f>
        <v/>
      </c>
      <c r="AJ283" s="14" t="n"/>
      <c r="AK283" s="29" t="n"/>
      <c r="AL283" s="31">
        <f>IF(AND($Q283=1,$Z283=1),1,0)</f>
        <v/>
      </c>
      <c r="AM283" s="31">
        <f>IF(AND($AL283=1,$AJ283&lt;&gt;""),MAX(0,TODAY()-$AJ283),"")</f>
        <v/>
      </c>
      <c r="AN283" s="31">
        <f>IF(OR($AL283=0,COUNT($AJ$6:$AJ$305)=0),0,IF($AJ283="",1,IF(TODAY()-$AJ283&gt;Board!$B$40,1,0)))</f>
        <v/>
      </c>
      <c r="AO283" s="31">
        <f>IF($AL283=0,0,IF($M283="■ Red",3,IF($M283="◧ Amber",2,IF($M283="□ On track",1,0))))</f>
        <v/>
      </c>
      <c r="AP283" s="31">
        <f>IF($AL283=0,0,IF($AK283="Will not hold",3,IF($AK283="At risk",2,IF($AK283="Will hold",1,0))))</f>
        <v/>
      </c>
      <c r="AQ283" s="31">
        <f>IF($AL283=0,"",IF($AO283=3,0,IF($AO283=2,1,IF(AND($AP283&gt;=2,$AP283&gt;$AO283),2,""))))</f>
        <v/>
      </c>
      <c r="AR283" s="31">
        <f>IF($AQ283="","",$AQ283*1000+283)</f>
        <v/>
      </c>
      <c r="AS283" s="31">
        <f>IF(AND($AL283=1,$AO283&gt;=2,$AP283&gt;=1,$AP283&lt;$AO283),1,0)</f>
        <v/>
      </c>
      <c r="AT283" s="31">
        <f>IF(AND($AL283=1,$AO283&gt;=2,$AP283=0),1,0)</f>
        <v/>
      </c>
      <c r="AU283" s="31">
        <f>IF(AND($AL283=1,$U283&lt;&gt;"",$U283&lt;TODAY()),1,0)</f>
        <v/>
      </c>
      <c r="AV283" s="31">
        <f>IF(OR($A283="",$AJ283="",Portfolio!$B$10=""),0,IF($AJ283&lt;=Portfolio!$B$10,0,IF(AND($D283="Completed",$Z283=1),1,IF(AND($D283="Terminated",$Z283=1),2,IF(AND($Q283=1,$Z283=0),3,0)))))</f>
        <v/>
      </c>
      <c r="AW283" s="31">
        <f>IF($AV283&gt;0,COUNTIF($AV$6:$AV283,"&gt;0"),"")</f>
        <v/>
      </c>
      <c r="AX283" s="31">
        <f>IF($AL283=0,"",IF(AND($B283="Project",$H283&lt;&gt;"",$H283&lt;TODAY()),"Planned finish "&amp;TEXT($H283,"d mmm")&amp;" has passed",IF($X283&gt;=2,(NETWORKDAYS($H283,$U283)-1)&amp;" working days past plan","")))</f>
        <v/>
      </c>
      <c r="AY283" s="31">
        <f>IF($AL283=0,"",IF($Y283&gt;=2,"Over budget by "&amp;TEXT(IF($B283="Program",$V283,$J283)-$K283,"#,##0"),""))</f>
        <v/>
      </c>
      <c r="AZ283" s="31">
        <f>IF(AND($AL283=1,$U283&lt;&gt;""),IF(AND(N($U283)&gt;=TODAY(),N($U283)&lt;=TODAY()+Board!$B$41),1,0),0)</f>
        <v/>
      </c>
    </row>
    <row r="284">
      <c r="A284" s="29" t="n"/>
      <c r="B284" s="29" t="n"/>
      <c r="C284" s="29" t="n"/>
      <c r="D284" s="29" t="n"/>
      <c r="E284" s="29" t="n"/>
      <c r="F284" s="29" t="n"/>
      <c r="G284" s="29" t="n"/>
      <c r="H284" s="30" t="n"/>
      <c r="I284" s="30" t="n"/>
      <c r="J284" s="19" t="n"/>
      <c r="K284" s="19" t="n"/>
      <c r="L284" s="26" t="n"/>
      <c r="M284" s="31">
        <f>IF($A284="","",IF($D284="","Not read",IF($Q284=0,"Not counted",IF(MAX($X284,$Y284)=3,"■ Red",IF(MAX($X284,$Y284)=2,"◧ Amber",IF(MAX($X284,$Y284)=1,"□ On track","Not read"))))))</f>
        <v/>
      </c>
      <c r="N284" s="31">
        <f>IF(OR($A284="",$B284&lt;&gt;"Program"),"","■ "&amp;COUNTIFS($C$6:$C$305,$A284,$M$6:$M$305,"■ Red")&amp;" Red, ◧ "&amp;COUNTIFS($C$6:$C$305,$A284,$M$6:$M$305,"◧ Amber")&amp;" Amber")</f>
        <v/>
      </c>
      <c r="O284" s="32">
        <f>IF(OR($A284="",$E284=""),"",COUNTIFS($E$6:$E$305,$E284,$D$6:$D$305,"Active")+COUNTIFS($E$6:$E$305,$E284,$D$6:$D$305,"Paused"))</f>
        <v/>
      </c>
      <c r="P284" s="31">
        <f>IF($A284="","",IF($AE284=0,"○ Clear",IF($AA284=1,"△ No owner",IF($AC284=1,"△ Check Sits under",IF($AC284=2,"△ Outside the portfolio",IF($AB284=1,"△ No sponsor","△ No variance note"))))&amp;IF($AE284&gt;1," (+"&amp;($AE284-1)&amp;" more)","")))</f>
        <v/>
      </c>
      <c r="Q284" s="31">
        <f>IF(AND($A284&lt;&gt;"",OR($D284="Active",$D284="Paused")),1,0)</f>
        <v/>
      </c>
      <c r="R284" s="31">
        <f>IFERROR(INDEX($A$6:$A$305,MATCH(277,$S$6:$S$305,0)),"")</f>
        <v/>
      </c>
      <c r="S284" s="31">
        <f>IF(AND($A284&lt;&gt;"",$B284="Program"),COUNTIFS($B$6:$B284,"Program",$A$6:$A284,"&lt;&gt;"),"")</f>
        <v/>
      </c>
      <c r="T284" s="33">
        <f>IF(AND($A284&lt;&gt;"",$B284="Program"),SUMPRODUCT(MAX(($C$6:$C$305=$A284)*($B$6:$B$305="Project")*($D$6:$D$305&lt;&gt;"Proposed")*$I$6:$I$305)),0)</f>
        <v/>
      </c>
      <c r="U284" s="33">
        <f>IF($I284&lt;&gt;"",$I284,IF($T284&gt;0,$T284,""))</f>
        <v/>
      </c>
      <c r="V284" s="31">
        <f>IF(AND($A284&lt;&gt;"",$B284="Program"),SUMIFS($J$6:$J$305,$C$6:$C$305,$A284,$B$6:$B$305,"Project",$D$6:$D$305,"&lt;&gt;Proposed"),0)</f>
        <v/>
      </c>
      <c r="W284" s="31">
        <f>IF(AND($A284&lt;&gt;"",$B284="Program"),COUNTIFS($C$6:$C$305,$A284,$B$6:$B$305,"Project",$D$6:$D$305,"&lt;&gt;Proposed")-COUNTIFS($C$6:$C$305,$A284,$B$6:$B$305,"Project",$D$6:$D$305,"&lt;&gt;Proposed",$J$6:$J$305,"&gt;=0"),0)</f>
        <v/>
      </c>
      <c r="X284" s="31">
        <f>IF(OR($Q284=0,$H284=""),0,IF(AND($B284="Project",$H284&lt;TODAY()),3,IF($U284="",0,IF($U284&lt;=$H284,1,IF(NETWORKDAYS($H284,$U284)-1&gt;IF($B284="Program",Portfolio!$B$16,Portfolio!$B$15),3,2)))))</f>
        <v/>
      </c>
      <c r="Y284" s="31">
        <f>IF(OR($Q284=0,$K284="",$K284=0),0,IF(AND($B284="Project",$J284=""),0,IF(IF($B284="Program",$V284,$J284)&gt;$K284*(1+Portfolio!$B$17),3,IF(IF($B284="Program",$V284,$J284)&gt;$K284,2,IF(AND($B284="Program",OR($W284&gt;0,$V284=0)),0,1)))))</f>
        <v/>
      </c>
      <c r="Z284" s="31">
        <f>IF($A284="",0,IF($C284="Portfolio",1,IF(AND($B284="Project",$C284&lt;&gt;"",$C284&lt;&gt;"Outside the portfolio"),IFERROR(IF(AND(INDEX($B$6:$B$305,MATCH($C284,$A$6:$A$305,0))="Program",INDEX($C$6:$C$305,MATCH($C284,$A$6:$A$305,0))="Portfolio"),1,0),0),0)))</f>
        <v/>
      </c>
      <c r="AA284" s="31">
        <f>IF(AND($A284&lt;&gt;"",$E284="",OR($Q284=1,$D284="Proposed")),1,0)</f>
        <v/>
      </c>
      <c r="AB284" s="31">
        <f>IF(AND($A284&lt;&gt;"",$B284="Program",$F284="",$Q284=1),1,0)</f>
        <v/>
      </c>
      <c r="AC284" s="31">
        <f>IF(OR($A284="",$D284="Completed",$D284="Terminated"),0,IF($C284="",1,IF($C284="Portfolio",0,IF($C284="Outside the portfolio",IF($Q284=1,2,0),IF($B284="Project",IF(IFERROR(INDEX($B$6:$B$305,MATCH($C284,$A$6:$A$305,0)),"")="Program",0,1),1)))))</f>
        <v/>
      </c>
      <c r="AD284" s="31">
        <f>IF(AND($A284&lt;&gt;"",OR($M284="■ Red",$M284="◧ Amber"),$L284=""),1,0)</f>
        <v/>
      </c>
      <c r="AE284" s="31">
        <f>$AA284+$AB284+IF($AC284&gt;0,1,0)+$AD284</f>
        <v/>
      </c>
      <c r="AJ284" s="14" t="n"/>
      <c r="AK284" s="29" t="n"/>
      <c r="AL284" s="31">
        <f>IF(AND($Q284=1,$Z284=1),1,0)</f>
        <v/>
      </c>
      <c r="AM284" s="31">
        <f>IF(AND($AL284=1,$AJ284&lt;&gt;""),MAX(0,TODAY()-$AJ284),"")</f>
        <v/>
      </c>
      <c r="AN284" s="31">
        <f>IF(OR($AL284=0,COUNT($AJ$6:$AJ$305)=0),0,IF($AJ284="",1,IF(TODAY()-$AJ284&gt;Board!$B$40,1,0)))</f>
        <v/>
      </c>
      <c r="AO284" s="31">
        <f>IF($AL284=0,0,IF($M284="■ Red",3,IF($M284="◧ Amber",2,IF($M284="□ On track",1,0))))</f>
        <v/>
      </c>
      <c r="AP284" s="31">
        <f>IF($AL284=0,0,IF($AK284="Will not hold",3,IF($AK284="At risk",2,IF($AK284="Will hold",1,0))))</f>
        <v/>
      </c>
      <c r="AQ284" s="31">
        <f>IF($AL284=0,"",IF($AO284=3,0,IF($AO284=2,1,IF(AND($AP284&gt;=2,$AP284&gt;$AO284),2,""))))</f>
        <v/>
      </c>
      <c r="AR284" s="31">
        <f>IF($AQ284="","",$AQ284*1000+284)</f>
        <v/>
      </c>
      <c r="AS284" s="31">
        <f>IF(AND($AL284=1,$AO284&gt;=2,$AP284&gt;=1,$AP284&lt;$AO284),1,0)</f>
        <v/>
      </c>
      <c r="AT284" s="31">
        <f>IF(AND($AL284=1,$AO284&gt;=2,$AP284=0),1,0)</f>
        <v/>
      </c>
      <c r="AU284" s="31">
        <f>IF(AND($AL284=1,$U284&lt;&gt;"",$U284&lt;TODAY()),1,0)</f>
        <v/>
      </c>
      <c r="AV284" s="31">
        <f>IF(OR($A284="",$AJ284="",Portfolio!$B$10=""),0,IF($AJ284&lt;=Portfolio!$B$10,0,IF(AND($D284="Completed",$Z284=1),1,IF(AND($D284="Terminated",$Z284=1),2,IF(AND($Q284=1,$Z284=0),3,0)))))</f>
        <v/>
      </c>
      <c r="AW284" s="31">
        <f>IF($AV284&gt;0,COUNTIF($AV$6:$AV284,"&gt;0"),"")</f>
        <v/>
      </c>
      <c r="AX284" s="31">
        <f>IF($AL284=0,"",IF(AND($B284="Project",$H284&lt;&gt;"",$H284&lt;TODAY()),"Planned finish "&amp;TEXT($H284,"d mmm")&amp;" has passed",IF($X284&gt;=2,(NETWORKDAYS($H284,$U284)-1)&amp;" working days past plan","")))</f>
        <v/>
      </c>
      <c r="AY284" s="31">
        <f>IF($AL284=0,"",IF($Y284&gt;=2,"Over budget by "&amp;TEXT(IF($B284="Program",$V284,$J284)-$K284,"#,##0"),""))</f>
        <v/>
      </c>
      <c r="AZ284" s="31">
        <f>IF(AND($AL284=1,$U284&lt;&gt;""),IF(AND(N($U284)&gt;=TODAY(),N($U284)&lt;=TODAY()+Board!$B$41),1,0),0)</f>
        <v/>
      </c>
    </row>
    <row r="285">
      <c r="A285" s="29" t="n"/>
      <c r="B285" s="29" t="n"/>
      <c r="C285" s="29" t="n"/>
      <c r="D285" s="29" t="n"/>
      <c r="E285" s="29" t="n"/>
      <c r="F285" s="29" t="n"/>
      <c r="G285" s="29" t="n"/>
      <c r="H285" s="30" t="n"/>
      <c r="I285" s="30" t="n"/>
      <c r="J285" s="19" t="n"/>
      <c r="K285" s="19" t="n"/>
      <c r="L285" s="26" t="n"/>
      <c r="M285" s="31">
        <f>IF($A285="","",IF($D285="","Not read",IF($Q285=0,"Not counted",IF(MAX($X285,$Y285)=3,"■ Red",IF(MAX($X285,$Y285)=2,"◧ Amber",IF(MAX($X285,$Y285)=1,"□ On track","Not read"))))))</f>
        <v/>
      </c>
      <c r="N285" s="31">
        <f>IF(OR($A285="",$B285&lt;&gt;"Program"),"","■ "&amp;COUNTIFS($C$6:$C$305,$A285,$M$6:$M$305,"■ Red")&amp;" Red, ◧ "&amp;COUNTIFS($C$6:$C$305,$A285,$M$6:$M$305,"◧ Amber")&amp;" Amber")</f>
        <v/>
      </c>
      <c r="O285" s="32">
        <f>IF(OR($A285="",$E285=""),"",COUNTIFS($E$6:$E$305,$E285,$D$6:$D$305,"Active")+COUNTIFS($E$6:$E$305,$E285,$D$6:$D$305,"Paused"))</f>
        <v/>
      </c>
      <c r="P285" s="31">
        <f>IF($A285="","",IF($AE285=0,"○ Clear",IF($AA285=1,"△ No owner",IF($AC285=1,"△ Check Sits under",IF($AC285=2,"△ Outside the portfolio",IF($AB285=1,"△ No sponsor","△ No variance note"))))&amp;IF($AE285&gt;1," (+"&amp;($AE285-1)&amp;" more)","")))</f>
        <v/>
      </c>
      <c r="Q285" s="31">
        <f>IF(AND($A285&lt;&gt;"",OR($D285="Active",$D285="Paused")),1,0)</f>
        <v/>
      </c>
      <c r="R285" s="31">
        <f>IFERROR(INDEX($A$6:$A$305,MATCH(278,$S$6:$S$305,0)),"")</f>
        <v/>
      </c>
      <c r="S285" s="31">
        <f>IF(AND($A285&lt;&gt;"",$B285="Program"),COUNTIFS($B$6:$B285,"Program",$A$6:$A285,"&lt;&gt;"),"")</f>
        <v/>
      </c>
      <c r="T285" s="33">
        <f>IF(AND($A285&lt;&gt;"",$B285="Program"),SUMPRODUCT(MAX(($C$6:$C$305=$A285)*($B$6:$B$305="Project")*($D$6:$D$305&lt;&gt;"Proposed")*$I$6:$I$305)),0)</f>
        <v/>
      </c>
      <c r="U285" s="33">
        <f>IF($I285&lt;&gt;"",$I285,IF($T285&gt;0,$T285,""))</f>
        <v/>
      </c>
      <c r="V285" s="31">
        <f>IF(AND($A285&lt;&gt;"",$B285="Program"),SUMIFS($J$6:$J$305,$C$6:$C$305,$A285,$B$6:$B$305,"Project",$D$6:$D$305,"&lt;&gt;Proposed"),0)</f>
        <v/>
      </c>
      <c r="W285" s="31">
        <f>IF(AND($A285&lt;&gt;"",$B285="Program"),COUNTIFS($C$6:$C$305,$A285,$B$6:$B$305,"Project",$D$6:$D$305,"&lt;&gt;Proposed")-COUNTIFS($C$6:$C$305,$A285,$B$6:$B$305,"Project",$D$6:$D$305,"&lt;&gt;Proposed",$J$6:$J$305,"&gt;=0"),0)</f>
        <v/>
      </c>
      <c r="X285" s="31">
        <f>IF(OR($Q285=0,$H285=""),0,IF(AND($B285="Project",$H285&lt;TODAY()),3,IF($U285="",0,IF($U285&lt;=$H285,1,IF(NETWORKDAYS($H285,$U285)-1&gt;IF($B285="Program",Portfolio!$B$16,Portfolio!$B$15),3,2)))))</f>
        <v/>
      </c>
      <c r="Y285" s="31">
        <f>IF(OR($Q285=0,$K285="",$K285=0),0,IF(AND($B285="Project",$J285=""),0,IF(IF($B285="Program",$V285,$J285)&gt;$K285*(1+Portfolio!$B$17),3,IF(IF($B285="Program",$V285,$J285)&gt;$K285,2,IF(AND($B285="Program",OR($W285&gt;0,$V285=0)),0,1)))))</f>
        <v/>
      </c>
      <c r="Z285" s="31">
        <f>IF($A285="",0,IF($C285="Portfolio",1,IF(AND($B285="Project",$C285&lt;&gt;"",$C285&lt;&gt;"Outside the portfolio"),IFERROR(IF(AND(INDEX($B$6:$B$305,MATCH($C285,$A$6:$A$305,0))="Program",INDEX($C$6:$C$305,MATCH($C285,$A$6:$A$305,0))="Portfolio"),1,0),0),0)))</f>
        <v/>
      </c>
      <c r="AA285" s="31">
        <f>IF(AND($A285&lt;&gt;"",$E285="",OR($Q285=1,$D285="Proposed")),1,0)</f>
        <v/>
      </c>
      <c r="AB285" s="31">
        <f>IF(AND($A285&lt;&gt;"",$B285="Program",$F285="",$Q285=1),1,0)</f>
        <v/>
      </c>
      <c r="AC285" s="31">
        <f>IF(OR($A285="",$D285="Completed",$D285="Terminated"),0,IF($C285="",1,IF($C285="Portfolio",0,IF($C285="Outside the portfolio",IF($Q285=1,2,0),IF($B285="Project",IF(IFERROR(INDEX($B$6:$B$305,MATCH($C285,$A$6:$A$305,0)),"")="Program",0,1),1)))))</f>
        <v/>
      </c>
      <c r="AD285" s="31">
        <f>IF(AND($A285&lt;&gt;"",OR($M285="■ Red",$M285="◧ Amber"),$L285=""),1,0)</f>
        <v/>
      </c>
      <c r="AE285" s="31">
        <f>$AA285+$AB285+IF($AC285&gt;0,1,0)+$AD285</f>
        <v/>
      </c>
      <c r="AJ285" s="14" t="n"/>
      <c r="AK285" s="29" t="n"/>
      <c r="AL285" s="31">
        <f>IF(AND($Q285=1,$Z285=1),1,0)</f>
        <v/>
      </c>
      <c r="AM285" s="31">
        <f>IF(AND($AL285=1,$AJ285&lt;&gt;""),MAX(0,TODAY()-$AJ285),"")</f>
        <v/>
      </c>
      <c r="AN285" s="31">
        <f>IF(OR($AL285=0,COUNT($AJ$6:$AJ$305)=0),0,IF($AJ285="",1,IF(TODAY()-$AJ285&gt;Board!$B$40,1,0)))</f>
        <v/>
      </c>
      <c r="AO285" s="31">
        <f>IF($AL285=0,0,IF($M285="■ Red",3,IF($M285="◧ Amber",2,IF($M285="□ On track",1,0))))</f>
        <v/>
      </c>
      <c r="AP285" s="31">
        <f>IF($AL285=0,0,IF($AK285="Will not hold",3,IF($AK285="At risk",2,IF($AK285="Will hold",1,0))))</f>
        <v/>
      </c>
      <c r="AQ285" s="31">
        <f>IF($AL285=0,"",IF($AO285=3,0,IF($AO285=2,1,IF(AND($AP285&gt;=2,$AP285&gt;$AO285),2,""))))</f>
        <v/>
      </c>
      <c r="AR285" s="31">
        <f>IF($AQ285="","",$AQ285*1000+285)</f>
        <v/>
      </c>
      <c r="AS285" s="31">
        <f>IF(AND($AL285=1,$AO285&gt;=2,$AP285&gt;=1,$AP285&lt;$AO285),1,0)</f>
        <v/>
      </c>
      <c r="AT285" s="31">
        <f>IF(AND($AL285=1,$AO285&gt;=2,$AP285=0),1,0)</f>
        <v/>
      </c>
      <c r="AU285" s="31">
        <f>IF(AND($AL285=1,$U285&lt;&gt;"",$U285&lt;TODAY()),1,0)</f>
        <v/>
      </c>
      <c r="AV285" s="31">
        <f>IF(OR($A285="",$AJ285="",Portfolio!$B$10=""),0,IF($AJ285&lt;=Portfolio!$B$10,0,IF(AND($D285="Completed",$Z285=1),1,IF(AND($D285="Terminated",$Z285=1),2,IF(AND($Q285=1,$Z285=0),3,0)))))</f>
        <v/>
      </c>
      <c r="AW285" s="31">
        <f>IF($AV285&gt;0,COUNTIF($AV$6:$AV285,"&gt;0"),"")</f>
        <v/>
      </c>
      <c r="AX285" s="31">
        <f>IF($AL285=0,"",IF(AND($B285="Project",$H285&lt;&gt;"",$H285&lt;TODAY()),"Planned finish "&amp;TEXT($H285,"d mmm")&amp;" has passed",IF($X285&gt;=2,(NETWORKDAYS($H285,$U285)-1)&amp;" working days past plan","")))</f>
        <v/>
      </c>
      <c r="AY285" s="31">
        <f>IF($AL285=0,"",IF($Y285&gt;=2,"Over budget by "&amp;TEXT(IF($B285="Program",$V285,$J285)-$K285,"#,##0"),""))</f>
        <v/>
      </c>
      <c r="AZ285" s="31">
        <f>IF(AND($AL285=1,$U285&lt;&gt;""),IF(AND(N($U285)&gt;=TODAY(),N($U285)&lt;=TODAY()+Board!$B$41),1,0),0)</f>
        <v/>
      </c>
    </row>
    <row r="286">
      <c r="A286" s="29" t="n"/>
      <c r="B286" s="29" t="n"/>
      <c r="C286" s="29" t="n"/>
      <c r="D286" s="29" t="n"/>
      <c r="E286" s="29" t="n"/>
      <c r="F286" s="29" t="n"/>
      <c r="G286" s="29" t="n"/>
      <c r="H286" s="30" t="n"/>
      <c r="I286" s="30" t="n"/>
      <c r="J286" s="19" t="n"/>
      <c r="K286" s="19" t="n"/>
      <c r="L286" s="26" t="n"/>
      <c r="M286" s="31">
        <f>IF($A286="","",IF($D286="","Not read",IF($Q286=0,"Not counted",IF(MAX($X286,$Y286)=3,"■ Red",IF(MAX($X286,$Y286)=2,"◧ Amber",IF(MAX($X286,$Y286)=1,"□ On track","Not read"))))))</f>
        <v/>
      </c>
      <c r="N286" s="31">
        <f>IF(OR($A286="",$B286&lt;&gt;"Program"),"","■ "&amp;COUNTIFS($C$6:$C$305,$A286,$M$6:$M$305,"■ Red")&amp;" Red, ◧ "&amp;COUNTIFS($C$6:$C$305,$A286,$M$6:$M$305,"◧ Amber")&amp;" Amber")</f>
        <v/>
      </c>
      <c r="O286" s="32">
        <f>IF(OR($A286="",$E286=""),"",COUNTIFS($E$6:$E$305,$E286,$D$6:$D$305,"Active")+COUNTIFS($E$6:$E$305,$E286,$D$6:$D$305,"Paused"))</f>
        <v/>
      </c>
      <c r="P286" s="31">
        <f>IF($A286="","",IF($AE286=0,"○ Clear",IF($AA286=1,"△ No owner",IF($AC286=1,"△ Check Sits under",IF($AC286=2,"△ Outside the portfolio",IF($AB286=1,"△ No sponsor","△ No variance note"))))&amp;IF($AE286&gt;1," (+"&amp;($AE286-1)&amp;" more)","")))</f>
        <v/>
      </c>
      <c r="Q286" s="31">
        <f>IF(AND($A286&lt;&gt;"",OR($D286="Active",$D286="Paused")),1,0)</f>
        <v/>
      </c>
      <c r="R286" s="31">
        <f>IFERROR(INDEX($A$6:$A$305,MATCH(279,$S$6:$S$305,0)),"")</f>
        <v/>
      </c>
      <c r="S286" s="31">
        <f>IF(AND($A286&lt;&gt;"",$B286="Program"),COUNTIFS($B$6:$B286,"Program",$A$6:$A286,"&lt;&gt;"),"")</f>
        <v/>
      </c>
      <c r="T286" s="33">
        <f>IF(AND($A286&lt;&gt;"",$B286="Program"),SUMPRODUCT(MAX(($C$6:$C$305=$A286)*($B$6:$B$305="Project")*($D$6:$D$305&lt;&gt;"Proposed")*$I$6:$I$305)),0)</f>
        <v/>
      </c>
      <c r="U286" s="33">
        <f>IF($I286&lt;&gt;"",$I286,IF($T286&gt;0,$T286,""))</f>
        <v/>
      </c>
      <c r="V286" s="31">
        <f>IF(AND($A286&lt;&gt;"",$B286="Program"),SUMIFS($J$6:$J$305,$C$6:$C$305,$A286,$B$6:$B$305,"Project",$D$6:$D$305,"&lt;&gt;Proposed"),0)</f>
        <v/>
      </c>
      <c r="W286" s="31">
        <f>IF(AND($A286&lt;&gt;"",$B286="Program"),COUNTIFS($C$6:$C$305,$A286,$B$6:$B$305,"Project",$D$6:$D$305,"&lt;&gt;Proposed")-COUNTIFS($C$6:$C$305,$A286,$B$6:$B$305,"Project",$D$6:$D$305,"&lt;&gt;Proposed",$J$6:$J$305,"&gt;=0"),0)</f>
        <v/>
      </c>
      <c r="X286" s="31">
        <f>IF(OR($Q286=0,$H286=""),0,IF(AND($B286="Project",$H286&lt;TODAY()),3,IF($U286="",0,IF($U286&lt;=$H286,1,IF(NETWORKDAYS($H286,$U286)-1&gt;IF($B286="Program",Portfolio!$B$16,Portfolio!$B$15),3,2)))))</f>
        <v/>
      </c>
      <c r="Y286" s="31">
        <f>IF(OR($Q286=0,$K286="",$K286=0),0,IF(AND($B286="Project",$J286=""),0,IF(IF($B286="Program",$V286,$J286)&gt;$K286*(1+Portfolio!$B$17),3,IF(IF($B286="Program",$V286,$J286)&gt;$K286,2,IF(AND($B286="Program",OR($W286&gt;0,$V286=0)),0,1)))))</f>
        <v/>
      </c>
      <c r="Z286" s="31">
        <f>IF($A286="",0,IF($C286="Portfolio",1,IF(AND($B286="Project",$C286&lt;&gt;"",$C286&lt;&gt;"Outside the portfolio"),IFERROR(IF(AND(INDEX($B$6:$B$305,MATCH($C286,$A$6:$A$305,0))="Program",INDEX($C$6:$C$305,MATCH($C286,$A$6:$A$305,0))="Portfolio"),1,0),0),0)))</f>
        <v/>
      </c>
      <c r="AA286" s="31">
        <f>IF(AND($A286&lt;&gt;"",$E286="",OR($Q286=1,$D286="Proposed")),1,0)</f>
        <v/>
      </c>
      <c r="AB286" s="31">
        <f>IF(AND($A286&lt;&gt;"",$B286="Program",$F286="",$Q286=1),1,0)</f>
        <v/>
      </c>
      <c r="AC286" s="31">
        <f>IF(OR($A286="",$D286="Completed",$D286="Terminated"),0,IF($C286="",1,IF($C286="Portfolio",0,IF($C286="Outside the portfolio",IF($Q286=1,2,0),IF($B286="Project",IF(IFERROR(INDEX($B$6:$B$305,MATCH($C286,$A$6:$A$305,0)),"")="Program",0,1),1)))))</f>
        <v/>
      </c>
      <c r="AD286" s="31">
        <f>IF(AND($A286&lt;&gt;"",OR($M286="■ Red",$M286="◧ Amber"),$L286=""),1,0)</f>
        <v/>
      </c>
      <c r="AE286" s="31">
        <f>$AA286+$AB286+IF($AC286&gt;0,1,0)+$AD286</f>
        <v/>
      </c>
      <c r="AJ286" s="14" t="n"/>
      <c r="AK286" s="29" t="n"/>
      <c r="AL286" s="31">
        <f>IF(AND($Q286=1,$Z286=1),1,0)</f>
        <v/>
      </c>
      <c r="AM286" s="31">
        <f>IF(AND($AL286=1,$AJ286&lt;&gt;""),MAX(0,TODAY()-$AJ286),"")</f>
        <v/>
      </c>
      <c r="AN286" s="31">
        <f>IF(OR($AL286=0,COUNT($AJ$6:$AJ$305)=0),0,IF($AJ286="",1,IF(TODAY()-$AJ286&gt;Board!$B$40,1,0)))</f>
        <v/>
      </c>
      <c r="AO286" s="31">
        <f>IF($AL286=0,0,IF($M286="■ Red",3,IF($M286="◧ Amber",2,IF($M286="□ On track",1,0))))</f>
        <v/>
      </c>
      <c r="AP286" s="31">
        <f>IF($AL286=0,0,IF($AK286="Will not hold",3,IF($AK286="At risk",2,IF($AK286="Will hold",1,0))))</f>
        <v/>
      </c>
      <c r="AQ286" s="31">
        <f>IF($AL286=0,"",IF($AO286=3,0,IF($AO286=2,1,IF(AND($AP286&gt;=2,$AP286&gt;$AO286),2,""))))</f>
        <v/>
      </c>
      <c r="AR286" s="31">
        <f>IF($AQ286="","",$AQ286*1000+286)</f>
        <v/>
      </c>
      <c r="AS286" s="31">
        <f>IF(AND($AL286=1,$AO286&gt;=2,$AP286&gt;=1,$AP286&lt;$AO286),1,0)</f>
        <v/>
      </c>
      <c r="AT286" s="31">
        <f>IF(AND($AL286=1,$AO286&gt;=2,$AP286=0),1,0)</f>
        <v/>
      </c>
      <c r="AU286" s="31">
        <f>IF(AND($AL286=1,$U286&lt;&gt;"",$U286&lt;TODAY()),1,0)</f>
        <v/>
      </c>
      <c r="AV286" s="31">
        <f>IF(OR($A286="",$AJ286="",Portfolio!$B$10=""),0,IF($AJ286&lt;=Portfolio!$B$10,0,IF(AND($D286="Completed",$Z286=1),1,IF(AND($D286="Terminated",$Z286=1),2,IF(AND($Q286=1,$Z286=0),3,0)))))</f>
        <v/>
      </c>
      <c r="AW286" s="31">
        <f>IF($AV286&gt;0,COUNTIF($AV$6:$AV286,"&gt;0"),"")</f>
        <v/>
      </c>
      <c r="AX286" s="31">
        <f>IF($AL286=0,"",IF(AND($B286="Project",$H286&lt;&gt;"",$H286&lt;TODAY()),"Planned finish "&amp;TEXT($H286,"d mmm")&amp;" has passed",IF($X286&gt;=2,(NETWORKDAYS($H286,$U286)-1)&amp;" working days past plan","")))</f>
        <v/>
      </c>
      <c r="AY286" s="31">
        <f>IF($AL286=0,"",IF($Y286&gt;=2,"Over budget by "&amp;TEXT(IF($B286="Program",$V286,$J286)-$K286,"#,##0"),""))</f>
        <v/>
      </c>
      <c r="AZ286" s="31">
        <f>IF(AND($AL286=1,$U286&lt;&gt;""),IF(AND(N($U286)&gt;=TODAY(),N($U286)&lt;=TODAY()+Board!$B$41),1,0),0)</f>
        <v/>
      </c>
    </row>
    <row r="287">
      <c r="A287" s="29" t="n"/>
      <c r="B287" s="29" t="n"/>
      <c r="C287" s="29" t="n"/>
      <c r="D287" s="29" t="n"/>
      <c r="E287" s="29" t="n"/>
      <c r="F287" s="29" t="n"/>
      <c r="G287" s="29" t="n"/>
      <c r="H287" s="30" t="n"/>
      <c r="I287" s="30" t="n"/>
      <c r="J287" s="19" t="n"/>
      <c r="K287" s="19" t="n"/>
      <c r="L287" s="26" t="n"/>
      <c r="M287" s="31">
        <f>IF($A287="","",IF($D287="","Not read",IF($Q287=0,"Not counted",IF(MAX($X287,$Y287)=3,"■ Red",IF(MAX($X287,$Y287)=2,"◧ Amber",IF(MAX($X287,$Y287)=1,"□ On track","Not read"))))))</f>
        <v/>
      </c>
      <c r="N287" s="31">
        <f>IF(OR($A287="",$B287&lt;&gt;"Program"),"","■ "&amp;COUNTIFS($C$6:$C$305,$A287,$M$6:$M$305,"■ Red")&amp;" Red, ◧ "&amp;COUNTIFS($C$6:$C$305,$A287,$M$6:$M$305,"◧ Amber")&amp;" Amber")</f>
        <v/>
      </c>
      <c r="O287" s="32">
        <f>IF(OR($A287="",$E287=""),"",COUNTIFS($E$6:$E$305,$E287,$D$6:$D$305,"Active")+COUNTIFS($E$6:$E$305,$E287,$D$6:$D$305,"Paused"))</f>
        <v/>
      </c>
      <c r="P287" s="31">
        <f>IF($A287="","",IF($AE287=0,"○ Clear",IF($AA287=1,"△ No owner",IF($AC287=1,"△ Check Sits under",IF($AC287=2,"△ Outside the portfolio",IF($AB287=1,"△ No sponsor","△ No variance note"))))&amp;IF($AE287&gt;1," (+"&amp;($AE287-1)&amp;" more)","")))</f>
        <v/>
      </c>
      <c r="Q287" s="31">
        <f>IF(AND($A287&lt;&gt;"",OR($D287="Active",$D287="Paused")),1,0)</f>
        <v/>
      </c>
      <c r="R287" s="31">
        <f>IFERROR(INDEX($A$6:$A$305,MATCH(280,$S$6:$S$305,0)),"")</f>
        <v/>
      </c>
      <c r="S287" s="31">
        <f>IF(AND($A287&lt;&gt;"",$B287="Program"),COUNTIFS($B$6:$B287,"Program",$A$6:$A287,"&lt;&gt;"),"")</f>
        <v/>
      </c>
      <c r="T287" s="33">
        <f>IF(AND($A287&lt;&gt;"",$B287="Program"),SUMPRODUCT(MAX(($C$6:$C$305=$A287)*($B$6:$B$305="Project")*($D$6:$D$305&lt;&gt;"Proposed")*$I$6:$I$305)),0)</f>
        <v/>
      </c>
      <c r="U287" s="33">
        <f>IF($I287&lt;&gt;"",$I287,IF($T287&gt;0,$T287,""))</f>
        <v/>
      </c>
      <c r="V287" s="31">
        <f>IF(AND($A287&lt;&gt;"",$B287="Program"),SUMIFS($J$6:$J$305,$C$6:$C$305,$A287,$B$6:$B$305,"Project",$D$6:$D$305,"&lt;&gt;Proposed"),0)</f>
        <v/>
      </c>
      <c r="W287" s="31">
        <f>IF(AND($A287&lt;&gt;"",$B287="Program"),COUNTIFS($C$6:$C$305,$A287,$B$6:$B$305,"Project",$D$6:$D$305,"&lt;&gt;Proposed")-COUNTIFS($C$6:$C$305,$A287,$B$6:$B$305,"Project",$D$6:$D$305,"&lt;&gt;Proposed",$J$6:$J$305,"&gt;=0"),0)</f>
        <v/>
      </c>
      <c r="X287" s="31">
        <f>IF(OR($Q287=0,$H287=""),0,IF(AND($B287="Project",$H287&lt;TODAY()),3,IF($U287="",0,IF($U287&lt;=$H287,1,IF(NETWORKDAYS($H287,$U287)-1&gt;IF($B287="Program",Portfolio!$B$16,Portfolio!$B$15),3,2)))))</f>
        <v/>
      </c>
      <c r="Y287" s="31">
        <f>IF(OR($Q287=0,$K287="",$K287=0),0,IF(AND($B287="Project",$J287=""),0,IF(IF($B287="Program",$V287,$J287)&gt;$K287*(1+Portfolio!$B$17),3,IF(IF($B287="Program",$V287,$J287)&gt;$K287,2,IF(AND($B287="Program",OR($W287&gt;0,$V287=0)),0,1)))))</f>
        <v/>
      </c>
      <c r="Z287" s="31">
        <f>IF($A287="",0,IF($C287="Portfolio",1,IF(AND($B287="Project",$C287&lt;&gt;"",$C287&lt;&gt;"Outside the portfolio"),IFERROR(IF(AND(INDEX($B$6:$B$305,MATCH($C287,$A$6:$A$305,0))="Program",INDEX($C$6:$C$305,MATCH($C287,$A$6:$A$305,0))="Portfolio"),1,0),0),0)))</f>
        <v/>
      </c>
      <c r="AA287" s="31">
        <f>IF(AND($A287&lt;&gt;"",$E287="",OR($Q287=1,$D287="Proposed")),1,0)</f>
        <v/>
      </c>
      <c r="AB287" s="31">
        <f>IF(AND($A287&lt;&gt;"",$B287="Program",$F287="",$Q287=1),1,0)</f>
        <v/>
      </c>
      <c r="AC287" s="31">
        <f>IF(OR($A287="",$D287="Completed",$D287="Terminated"),0,IF($C287="",1,IF($C287="Portfolio",0,IF($C287="Outside the portfolio",IF($Q287=1,2,0),IF($B287="Project",IF(IFERROR(INDEX($B$6:$B$305,MATCH($C287,$A$6:$A$305,0)),"")="Program",0,1),1)))))</f>
        <v/>
      </c>
      <c r="AD287" s="31">
        <f>IF(AND($A287&lt;&gt;"",OR($M287="■ Red",$M287="◧ Amber"),$L287=""),1,0)</f>
        <v/>
      </c>
      <c r="AE287" s="31">
        <f>$AA287+$AB287+IF($AC287&gt;0,1,0)+$AD287</f>
        <v/>
      </c>
      <c r="AJ287" s="14" t="n"/>
      <c r="AK287" s="29" t="n"/>
      <c r="AL287" s="31">
        <f>IF(AND($Q287=1,$Z287=1),1,0)</f>
        <v/>
      </c>
      <c r="AM287" s="31">
        <f>IF(AND($AL287=1,$AJ287&lt;&gt;""),MAX(0,TODAY()-$AJ287),"")</f>
        <v/>
      </c>
      <c r="AN287" s="31">
        <f>IF(OR($AL287=0,COUNT($AJ$6:$AJ$305)=0),0,IF($AJ287="",1,IF(TODAY()-$AJ287&gt;Board!$B$40,1,0)))</f>
        <v/>
      </c>
      <c r="AO287" s="31">
        <f>IF($AL287=0,0,IF($M287="■ Red",3,IF($M287="◧ Amber",2,IF($M287="□ On track",1,0))))</f>
        <v/>
      </c>
      <c r="AP287" s="31">
        <f>IF($AL287=0,0,IF($AK287="Will not hold",3,IF($AK287="At risk",2,IF($AK287="Will hold",1,0))))</f>
        <v/>
      </c>
      <c r="AQ287" s="31">
        <f>IF($AL287=0,"",IF($AO287=3,0,IF($AO287=2,1,IF(AND($AP287&gt;=2,$AP287&gt;$AO287),2,""))))</f>
        <v/>
      </c>
      <c r="AR287" s="31">
        <f>IF($AQ287="","",$AQ287*1000+287)</f>
        <v/>
      </c>
      <c r="AS287" s="31">
        <f>IF(AND($AL287=1,$AO287&gt;=2,$AP287&gt;=1,$AP287&lt;$AO287),1,0)</f>
        <v/>
      </c>
      <c r="AT287" s="31">
        <f>IF(AND($AL287=1,$AO287&gt;=2,$AP287=0),1,0)</f>
        <v/>
      </c>
      <c r="AU287" s="31">
        <f>IF(AND($AL287=1,$U287&lt;&gt;"",$U287&lt;TODAY()),1,0)</f>
        <v/>
      </c>
      <c r="AV287" s="31">
        <f>IF(OR($A287="",$AJ287="",Portfolio!$B$10=""),0,IF($AJ287&lt;=Portfolio!$B$10,0,IF(AND($D287="Completed",$Z287=1),1,IF(AND($D287="Terminated",$Z287=1),2,IF(AND($Q287=1,$Z287=0),3,0)))))</f>
        <v/>
      </c>
      <c r="AW287" s="31">
        <f>IF($AV287&gt;0,COUNTIF($AV$6:$AV287,"&gt;0"),"")</f>
        <v/>
      </c>
      <c r="AX287" s="31">
        <f>IF($AL287=0,"",IF(AND($B287="Project",$H287&lt;&gt;"",$H287&lt;TODAY()),"Planned finish "&amp;TEXT($H287,"d mmm")&amp;" has passed",IF($X287&gt;=2,(NETWORKDAYS($H287,$U287)-1)&amp;" working days past plan","")))</f>
        <v/>
      </c>
      <c r="AY287" s="31">
        <f>IF($AL287=0,"",IF($Y287&gt;=2,"Over budget by "&amp;TEXT(IF($B287="Program",$V287,$J287)-$K287,"#,##0"),""))</f>
        <v/>
      </c>
      <c r="AZ287" s="31">
        <f>IF(AND($AL287=1,$U287&lt;&gt;""),IF(AND(N($U287)&gt;=TODAY(),N($U287)&lt;=TODAY()+Board!$B$41),1,0),0)</f>
        <v/>
      </c>
    </row>
    <row r="288">
      <c r="A288" s="29" t="n"/>
      <c r="B288" s="29" t="n"/>
      <c r="C288" s="29" t="n"/>
      <c r="D288" s="29" t="n"/>
      <c r="E288" s="29" t="n"/>
      <c r="F288" s="29" t="n"/>
      <c r="G288" s="29" t="n"/>
      <c r="H288" s="30" t="n"/>
      <c r="I288" s="30" t="n"/>
      <c r="J288" s="19" t="n"/>
      <c r="K288" s="19" t="n"/>
      <c r="L288" s="26" t="n"/>
      <c r="M288" s="31">
        <f>IF($A288="","",IF($D288="","Not read",IF($Q288=0,"Not counted",IF(MAX($X288,$Y288)=3,"■ Red",IF(MAX($X288,$Y288)=2,"◧ Amber",IF(MAX($X288,$Y288)=1,"□ On track","Not read"))))))</f>
        <v/>
      </c>
      <c r="N288" s="31">
        <f>IF(OR($A288="",$B288&lt;&gt;"Program"),"","■ "&amp;COUNTIFS($C$6:$C$305,$A288,$M$6:$M$305,"■ Red")&amp;" Red, ◧ "&amp;COUNTIFS($C$6:$C$305,$A288,$M$6:$M$305,"◧ Amber")&amp;" Amber")</f>
        <v/>
      </c>
      <c r="O288" s="32">
        <f>IF(OR($A288="",$E288=""),"",COUNTIFS($E$6:$E$305,$E288,$D$6:$D$305,"Active")+COUNTIFS($E$6:$E$305,$E288,$D$6:$D$305,"Paused"))</f>
        <v/>
      </c>
      <c r="P288" s="31">
        <f>IF($A288="","",IF($AE288=0,"○ Clear",IF($AA288=1,"△ No owner",IF($AC288=1,"△ Check Sits under",IF($AC288=2,"△ Outside the portfolio",IF($AB288=1,"△ No sponsor","△ No variance note"))))&amp;IF($AE288&gt;1," (+"&amp;($AE288-1)&amp;" more)","")))</f>
        <v/>
      </c>
      <c r="Q288" s="31">
        <f>IF(AND($A288&lt;&gt;"",OR($D288="Active",$D288="Paused")),1,0)</f>
        <v/>
      </c>
      <c r="R288" s="31">
        <f>IFERROR(INDEX($A$6:$A$305,MATCH(281,$S$6:$S$305,0)),"")</f>
        <v/>
      </c>
      <c r="S288" s="31">
        <f>IF(AND($A288&lt;&gt;"",$B288="Program"),COUNTIFS($B$6:$B288,"Program",$A$6:$A288,"&lt;&gt;"),"")</f>
        <v/>
      </c>
      <c r="T288" s="33">
        <f>IF(AND($A288&lt;&gt;"",$B288="Program"),SUMPRODUCT(MAX(($C$6:$C$305=$A288)*($B$6:$B$305="Project")*($D$6:$D$305&lt;&gt;"Proposed")*$I$6:$I$305)),0)</f>
        <v/>
      </c>
      <c r="U288" s="33">
        <f>IF($I288&lt;&gt;"",$I288,IF($T288&gt;0,$T288,""))</f>
        <v/>
      </c>
      <c r="V288" s="31">
        <f>IF(AND($A288&lt;&gt;"",$B288="Program"),SUMIFS($J$6:$J$305,$C$6:$C$305,$A288,$B$6:$B$305,"Project",$D$6:$D$305,"&lt;&gt;Proposed"),0)</f>
        <v/>
      </c>
      <c r="W288" s="31">
        <f>IF(AND($A288&lt;&gt;"",$B288="Program"),COUNTIFS($C$6:$C$305,$A288,$B$6:$B$305,"Project",$D$6:$D$305,"&lt;&gt;Proposed")-COUNTIFS($C$6:$C$305,$A288,$B$6:$B$305,"Project",$D$6:$D$305,"&lt;&gt;Proposed",$J$6:$J$305,"&gt;=0"),0)</f>
        <v/>
      </c>
      <c r="X288" s="31">
        <f>IF(OR($Q288=0,$H288=""),0,IF(AND($B288="Project",$H288&lt;TODAY()),3,IF($U288="",0,IF($U288&lt;=$H288,1,IF(NETWORKDAYS($H288,$U288)-1&gt;IF($B288="Program",Portfolio!$B$16,Portfolio!$B$15),3,2)))))</f>
        <v/>
      </c>
      <c r="Y288" s="31">
        <f>IF(OR($Q288=0,$K288="",$K288=0),0,IF(AND($B288="Project",$J288=""),0,IF(IF($B288="Program",$V288,$J288)&gt;$K288*(1+Portfolio!$B$17),3,IF(IF($B288="Program",$V288,$J288)&gt;$K288,2,IF(AND($B288="Program",OR($W288&gt;0,$V288=0)),0,1)))))</f>
        <v/>
      </c>
      <c r="Z288" s="31">
        <f>IF($A288="",0,IF($C288="Portfolio",1,IF(AND($B288="Project",$C288&lt;&gt;"",$C288&lt;&gt;"Outside the portfolio"),IFERROR(IF(AND(INDEX($B$6:$B$305,MATCH($C288,$A$6:$A$305,0))="Program",INDEX($C$6:$C$305,MATCH($C288,$A$6:$A$305,0))="Portfolio"),1,0),0),0)))</f>
        <v/>
      </c>
      <c r="AA288" s="31">
        <f>IF(AND($A288&lt;&gt;"",$E288="",OR($Q288=1,$D288="Proposed")),1,0)</f>
        <v/>
      </c>
      <c r="AB288" s="31">
        <f>IF(AND($A288&lt;&gt;"",$B288="Program",$F288="",$Q288=1),1,0)</f>
        <v/>
      </c>
      <c r="AC288" s="31">
        <f>IF(OR($A288="",$D288="Completed",$D288="Terminated"),0,IF($C288="",1,IF($C288="Portfolio",0,IF($C288="Outside the portfolio",IF($Q288=1,2,0),IF($B288="Project",IF(IFERROR(INDEX($B$6:$B$305,MATCH($C288,$A$6:$A$305,0)),"")="Program",0,1),1)))))</f>
        <v/>
      </c>
      <c r="AD288" s="31">
        <f>IF(AND($A288&lt;&gt;"",OR($M288="■ Red",$M288="◧ Amber"),$L288=""),1,0)</f>
        <v/>
      </c>
      <c r="AE288" s="31">
        <f>$AA288+$AB288+IF($AC288&gt;0,1,0)+$AD288</f>
        <v/>
      </c>
      <c r="AJ288" s="14" t="n"/>
      <c r="AK288" s="29" t="n"/>
      <c r="AL288" s="31">
        <f>IF(AND($Q288=1,$Z288=1),1,0)</f>
        <v/>
      </c>
      <c r="AM288" s="31">
        <f>IF(AND($AL288=1,$AJ288&lt;&gt;""),MAX(0,TODAY()-$AJ288),"")</f>
        <v/>
      </c>
      <c r="AN288" s="31">
        <f>IF(OR($AL288=0,COUNT($AJ$6:$AJ$305)=0),0,IF($AJ288="",1,IF(TODAY()-$AJ288&gt;Board!$B$40,1,0)))</f>
        <v/>
      </c>
      <c r="AO288" s="31">
        <f>IF($AL288=0,0,IF($M288="■ Red",3,IF($M288="◧ Amber",2,IF($M288="□ On track",1,0))))</f>
        <v/>
      </c>
      <c r="AP288" s="31">
        <f>IF($AL288=0,0,IF($AK288="Will not hold",3,IF($AK288="At risk",2,IF($AK288="Will hold",1,0))))</f>
        <v/>
      </c>
      <c r="AQ288" s="31">
        <f>IF($AL288=0,"",IF($AO288=3,0,IF($AO288=2,1,IF(AND($AP288&gt;=2,$AP288&gt;$AO288),2,""))))</f>
        <v/>
      </c>
      <c r="AR288" s="31">
        <f>IF($AQ288="","",$AQ288*1000+288)</f>
        <v/>
      </c>
      <c r="AS288" s="31">
        <f>IF(AND($AL288=1,$AO288&gt;=2,$AP288&gt;=1,$AP288&lt;$AO288),1,0)</f>
        <v/>
      </c>
      <c r="AT288" s="31">
        <f>IF(AND($AL288=1,$AO288&gt;=2,$AP288=0),1,0)</f>
        <v/>
      </c>
      <c r="AU288" s="31">
        <f>IF(AND($AL288=1,$U288&lt;&gt;"",$U288&lt;TODAY()),1,0)</f>
        <v/>
      </c>
      <c r="AV288" s="31">
        <f>IF(OR($A288="",$AJ288="",Portfolio!$B$10=""),0,IF($AJ288&lt;=Portfolio!$B$10,0,IF(AND($D288="Completed",$Z288=1),1,IF(AND($D288="Terminated",$Z288=1),2,IF(AND($Q288=1,$Z288=0),3,0)))))</f>
        <v/>
      </c>
      <c r="AW288" s="31">
        <f>IF($AV288&gt;0,COUNTIF($AV$6:$AV288,"&gt;0"),"")</f>
        <v/>
      </c>
      <c r="AX288" s="31">
        <f>IF($AL288=0,"",IF(AND($B288="Project",$H288&lt;&gt;"",$H288&lt;TODAY()),"Planned finish "&amp;TEXT($H288,"d mmm")&amp;" has passed",IF($X288&gt;=2,(NETWORKDAYS($H288,$U288)-1)&amp;" working days past plan","")))</f>
        <v/>
      </c>
      <c r="AY288" s="31">
        <f>IF($AL288=0,"",IF($Y288&gt;=2,"Over budget by "&amp;TEXT(IF($B288="Program",$V288,$J288)-$K288,"#,##0"),""))</f>
        <v/>
      </c>
      <c r="AZ288" s="31">
        <f>IF(AND($AL288=1,$U288&lt;&gt;""),IF(AND(N($U288)&gt;=TODAY(),N($U288)&lt;=TODAY()+Board!$B$41),1,0),0)</f>
        <v/>
      </c>
    </row>
    <row r="289">
      <c r="A289" s="29" t="n"/>
      <c r="B289" s="29" t="n"/>
      <c r="C289" s="29" t="n"/>
      <c r="D289" s="29" t="n"/>
      <c r="E289" s="29" t="n"/>
      <c r="F289" s="29" t="n"/>
      <c r="G289" s="29" t="n"/>
      <c r="H289" s="30" t="n"/>
      <c r="I289" s="30" t="n"/>
      <c r="J289" s="19" t="n"/>
      <c r="K289" s="19" t="n"/>
      <c r="L289" s="26" t="n"/>
      <c r="M289" s="31">
        <f>IF($A289="","",IF($D289="","Not read",IF($Q289=0,"Not counted",IF(MAX($X289,$Y289)=3,"■ Red",IF(MAX($X289,$Y289)=2,"◧ Amber",IF(MAX($X289,$Y289)=1,"□ On track","Not read"))))))</f>
        <v/>
      </c>
      <c r="N289" s="31">
        <f>IF(OR($A289="",$B289&lt;&gt;"Program"),"","■ "&amp;COUNTIFS($C$6:$C$305,$A289,$M$6:$M$305,"■ Red")&amp;" Red, ◧ "&amp;COUNTIFS($C$6:$C$305,$A289,$M$6:$M$305,"◧ Amber")&amp;" Amber")</f>
        <v/>
      </c>
      <c r="O289" s="32">
        <f>IF(OR($A289="",$E289=""),"",COUNTIFS($E$6:$E$305,$E289,$D$6:$D$305,"Active")+COUNTIFS($E$6:$E$305,$E289,$D$6:$D$305,"Paused"))</f>
        <v/>
      </c>
      <c r="P289" s="31">
        <f>IF($A289="","",IF($AE289=0,"○ Clear",IF($AA289=1,"△ No owner",IF($AC289=1,"△ Check Sits under",IF($AC289=2,"△ Outside the portfolio",IF($AB289=1,"△ No sponsor","△ No variance note"))))&amp;IF($AE289&gt;1," (+"&amp;($AE289-1)&amp;" more)","")))</f>
        <v/>
      </c>
      <c r="Q289" s="31">
        <f>IF(AND($A289&lt;&gt;"",OR($D289="Active",$D289="Paused")),1,0)</f>
        <v/>
      </c>
      <c r="R289" s="31">
        <f>IFERROR(INDEX($A$6:$A$305,MATCH(282,$S$6:$S$305,0)),"")</f>
        <v/>
      </c>
      <c r="S289" s="31">
        <f>IF(AND($A289&lt;&gt;"",$B289="Program"),COUNTIFS($B$6:$B289,"Program",$A$6:$A289,"&lt;&gt;"),"")</f>
        <v/>
      </c>
      <c r="T289" s="33">
        <f>IF(AND($A289&lt;&gt;"",$B289="Program"),SUMPRODUCT(MAX(($C$6:$C$305=$A289)*($B$6:$B$305="Project")*($D$6:$D$305&lt;&gt;"Proposed")*$I$6:$I$305)),0)</f>
        <v/>
      </c>
      <c r="U289" s="33">
        <f>IF($I289&lt;&gt;"",$I289,IF($T289&gt;0,$T289,""))</f>
        <v/>
      </c>
      <c r="V289" s="31">
        <f>IF(AND($A289&lt;&gt;"",$B289="Program"),SUMIFS($J$6:$J$305,$C$6:$C$305,$A289,$B$6:$B$305,"Project",$D$6:$D$305,"&lt;&gt;Proposed"),0)</f>
        <v/>
      </c>
      <c r="W289" s="31">
        <f>IF(AND($A289&lt;&gt;"",$B289="Program"),COUNTIFS($C$6:$C$305,$A289,$B$6:$B$305,"Project",$D$6:$D$305,"&lt;&gt;Proposed")-COUNTIFS($C$6:$C$305,$A289,$B$6:$B$305,"Project",$D$6:$D$305,"&lt;&gt;Proposed",$J$6:$J$305,"&gt;=0"),0)</f>
        <v/>
      </c>
      <c r="X289" s="31">
        <f>IF(OR($Q289=0,$H289=""),0,IF(AND($B289="Project",$H289&lt;TODAY()),3,IF($U289="",0,IF($U289&lt;=$H289,1,IF(NETWORKDAYS($H289,$U289)-1&gt;IF($B289="Program",Portfolio!$B$16,Portfolio!$B$15),3,2)))))</f>
        <v/>
      </c>
      <c r="Y289" s="31">
        <f>IF(OR($Q289=0,$K289="",$K289=0),0,IF(AND($B289="Project",$J289=""),0,IF(IF($B289="Program",$V289,$J289)&gt;$K289*(1+Portfolio!$B$17),3,IF(IF($B289="Program",$V289,$J289)&gt;$K289,2,IF(AND($B289="Program",OR($W289&gt;0,$V289=0)),0,1)))))</f>
        <v/>
      </c>
      <c r="Z289" s="31">
        <f>IF($A289="",0,IF($C289="Portfolio",1,IF(AND($B289="Project",$C289&lt;&gt;"",$C289&lt;&gt;"Outside the portfolio"),IFERROR(IF(AND(INDEX($B$6:$B$305,MATCH($C289,$A$6:$A$305,0))="Program",INDEX($C$6:$C$305,MATCH($C289,$A$6:$A$305,0))="Portfolio"),1,0),0),0)))</f>
        <v/>
      </c>
      <c r="AA289" s="31">
        <f>IF(AND($A289&lt;&gt;"",$E289="",OR($Q289=1,$D289="Proposed")),1,0)</f>
        <v/>
      </c>
      <c r="AB289" s="31">
        <f>IF(AND($A289&lt;&gt;"",$B289="Program",$F289="",$Q289=1),1,0)</f>
        <v/>
      </c>
      <c r="AC289" s="31">
        <f>IF(OR($A289="",$D289="Completed",$D289="Terminated"),0,IF($C289="",1,IF($C289="Portfolio",0,IF($C289="Outside the portfolio",IF($Q289=1,2,0),IF($B289="Project",IF(IFERROR(INDEX($B$6:$B$305,MATCH($C289,$A$6:$A$305,0)),"")="Program",0,1),1)))))</f>
        <v/>
      </c>
      <c r="AD289" s="31">
        <f>IF(AND($A289&lt;&gt;"",OR($M289="■ Red",$M289="◧ Amber"),$L289=""),1,0)</f>
        <v/>
      </c>
      <c r="AE289" s="31">
        <f>$AA289+$AB289+IF($AC289&gt;0,1,0)+$AD289</f>
        <v/>
      </c>
      <c r="AJ289" s="14" t="n"/>
      <c r="AK289" s="29" t="n"/>
      <c r="AL289" s="31">
        <f>IF(AND($Q289=1,$Z289=1),1,0)</f>
        <v/>
      </c>
      <c r="AM289" s="31">
        <f>IF(AND($AL289=1,$AJ289&lt;&gt;""),MAX(0,TODAY()-$AJ289),"")</f>
        <v/>
      </c>
      <c r="AN289" s="31">
        <f>IF(OR($AL289=0,COUNT($AJ$6:$AJ$305)=0),0,IF($AJ289="",1,IF(TODAY()-$AJ289&gt;Board!$B$40,1,0)))</f>
        <v/>
      </c>
      <c r="AO289" s="31">
        <f>IF($AL289=0,0,IF($M289="■ Red",3,IF($M289="◧ Amber",2,IF($M289="□ On track",1,0))))</f>
        <v/>
      </c>
      <c r="AP289" s="31">
        <f>IF($AL289=0,0,IF($AK289="Will not hold",3,IF($AK289="At risk",2,IF($AK289="Will hold",1,0))))</f>
        <v/>
      </c>
      <c r="AQ289" s="31">
        <f>IF($AL289=0,"",IF($AO289=3,0,IF($AO289=2,1,IF(AND($AP289&gt;=2,$AP289&gt;$AO289),2,""))))</f>
        <v/>
      </c>
      <c r="AR289" s="31">
        <f>IF($AQ289="","",$AQ289*1000+289)</f>
        <v/>
      </c>
      <c r="AS289" s="31">
        <f>IF(AND($AL289=1,$AO289&gt;=2,$AP289&gt;=1,$AP289&lt;$AO289),1,0)</f>
        <v/>
      </c>
      <c r="AT289" s="31">
        <f>IF(AND($AL289=1,$AO289&gt;=2,$AP289=0),1,0)</f>
        <v/>
      </c>
      <c r="AU289" s="31">
        <f>IF(AND($AL289=1,$U289&lt;&gt;"",$U289&lt;TODAY()),1,0)</f>
        <v/>
      </c>
      <c r="AV289" s="31">
        <f>IF(OR($A289="",$AJ289="",Portfolio!$B$10=""),0,IF($AJ289&lt;=Portfolio!$B$10,0,IF(AND($D289="Completed",$Z289=1),1,IF(AND($D289="Terminated",$Z289=1),2,IF(AND($Q289=1,$Z289=0),3,0)))))</f>
        <v/>
      </c>
      <c r="AW289" s="31">
        <f>IF($AV289&gt;0,COUNTIF($AV$6:$AV289,"&gt;0"),"")</f>
        <v/>
      </c>
      <c r="AX289" s="31">
        <f>IF($AL289=0,"",IF(AND($B289="Project",$H289&lt;&gt;"",$H289&lt;TODAY()),"Planned finish "&amp;TEXT($H289,"d mmm")&amp;" has passed",IF($X289&gt;=2,(NETWORKDAYS($H289,$U289)-1)&amp;" working days past plan","")))</f>
        <v/>
      </c>
      <c r="AY289" s="31">
        <f>IF($AL289=0,"",IF($Y289&gt;=2,"Over budget by "&amp;TEXT(IF($B289="Program",$V289,$J289)-$K289,"#,##0"),""))</f>
        <v/>
      </c>
      <c r="AZ289" s="31">
        <f>IF(AND($AL289=1,$U289&lt;&gt;""),IF(AND(N($U289)&gt;=TODAY(),N($U289)&lt;=TODAY()+Board!$B$41),1,0),0)</f>
        <v/>
      </c>
    </row>
    <row r="290">
      <c r="A290" s="29" t="n"/>
      <c r="B290" s="29" t="n"/>
      <c r="C290" s="29" t="n"/>
      <c r="D290" s="29" t="n"/>
      <c r="E290" s="29" t="n"/>
      <c r="F290" s="29" t="n"/>
      <c r="G290" s="29" t="n"/>
      <c r="H290" s="30" t="n"/>
      <c r="I290" s="30" t="n"/>
      <c r="J290" s="19" t="n"/>
      <c r="K290" s="19" t="n"/>
      <c r="L290" s="26" t="n"/>
      <c r="M290" s="31">
        <f>IF($A290="","",IF($D290="","Not read",IF($Q290=0,"Not counted",IF(MAX($X290,$Y290)=3,"■ Red",IF(MAX($X290,$Y290)=2,"◧ Amber",IF(MAX($X290,$Y290)=1,"□ On track","Not read"))))))</f>
        <v/>
      </c>
      <c r="N290" s="31">
        <f>IF(OR($A290="",$B290&lt;&gt;"Program"),"","■ "&amp;COUNTIFS($C$6:$C$305,$A290,$M$6:$M$305,"■ Red")&amp;" Red, ◧ "&amp;COUNTIFS($C$6:$C$305,$A290,$M$6:$M$305,"◧ Amber")&amp;" Amber")</f>
        <v/>
      </c>
      <c r="O290" s="32">
        <f>IF(OR($A290="",$E290=""),"",COUNTIFS($E$6:$E$305,$E290,$D$6:$D$305,"Active")+COUNTIFS($E$6:$E$305,$E290,$D$6:$D$305,"Paused"))</f>
        <v/>
      </c>
      <c r="P290" s="31">
        <f>IF($A290="","",IF($AE290=0,"○ Clear",IF($AA290=1,"△ No owner",IF($AC290=1,"△ Check Sits under",IF($AC290=2,"△ Outside the portfolio",IF($AB290=1,"△ No sponsor","△ No variance note"))))&amp;IF($AE290&gt;1," (+"&amp;($AE290-1)&amp;" more)","")))</f>
        <v/>
      </c>
      <c r="Q290" s="31">
        <f>IF(AND($A290&lt;&gt;"",OR($D290="Active",$D290="Paused")),1,0)</f>
        <v/>
      </c>
      <c r="R290" s="31">
        <f>IFERROR(INDEX($A$6:$A$305,MATCH(283,$S$6:$S$305,0)),"")</f>
        <v/>
      </c>
      <c r="S290" s="31">
        <f>IF(AND($A290&lt;&gt;"",$B290="Program"),COUNTIFS($B$6:$B290,"Program",$A$6:$A290,"&lt;&gt;"),"")</f>
        <v/>
      </c>
      <c r="T290" s="33">
        <f>IF(AND($A290&lt;&gt;"",$B290="Program"),SUMPRODUCT(MAX(($C$6:$C$305=$A290)*($B$6:$B$305="Project")*($D$6:$D$305&lt;&gt;"Proposed")*$I$6:$I$305)),0)</f>
        <v/>
      </c>
      <c r="U290" s="33">
        <f>IF($I290&lt;&gt;"",$I290,IF($T290&gt;0,$T290,""))</f>
        <v/>
      </c>
      <c r="V290" s="31">
        <f>IF(AND($A290&lt;&gt;"",$B290="Program"),SUMIFS($J$6:$J$305,$C$6:$C$305,$A290,$B$6:$B$305,"Project",$D$6:$D$305,"&lt;&gt;Proposed"),0)</f>
        <v/>
      </c>
      <c r="W290" s="31">
        <f>IF(AND($A290&lt;&gt;"",$B290="Program"),COUNTIFS($C$6:$C$305,$A290,$B$6:$B$305,"Project",$D$6:$D$305,"&lt;&gt;Proposed")-COUNTIFS($C$6:$C$305,$A290,$B$6:$B$305,"Project",$D$6:$D$305,"&lt;&gt;Proposed",$J$6:$J$305,"&gt;=0"),0)</f>
        <v/>
      </c>
      <c r="X290" s="31">
        <f>IF(OR($Q290=0,$H290=""),0,IF(AND($B290="Project",$H290&lt;TODAY()),3,IF($U290="",0,IF($U290&lt;=$H290,1,IF(NETWORKDAYS($H290,$U290)-1&gt;IF($B290="Program",Portfolio!$B$16,Portfolio!$B$15),3,2)))))</f>
        <v/>
      </c>
      <c r="Y290" s="31">
        <f>IF(OR($Q290=0,$K290="",$K290=0),0,IF(AND($B290="Project",$J290=""),0,IF(IF($B290="Program",$V290,$J290)&gt;$K290*(1+Portfolio!$B$17),3,IF(IF($B290="Program",$V290,$J290)&gt;$K290,2,IF(AND($B290="Program",OR($W290&gt;0,$V290=0)),0,1)))))</f>
        <v/>
      </c>
      <c r="Z290" s="31">
        <f>IF($A290="",0,IF($C290="Portfolio",1,IF(AND($B290="Project",$C290&lt;&gt;"",$C290&lt;&gt;"Outside the portfolio"),IFERROR(IF(AND(INDEX($B$6:$B$305,MATCH($C290,$A$6:$A$305,0))="Program",INDEX($C$6:$C$305,MATCH($C290,$A$6:$A$305,0))="Portfolio"),1,0),0),0)))</f>
        <v/>
      </c>
      <c r="AA290" s="31">
        <f>IF(AND($A290&lt;&gt;"",$E290="",OR($Q290=1,$D290="Proposed")),1,0)</f>
        <v/>
      </c>
      <c r="AB290" s="31">
        <f>IF(AND($A290&lt;&gt;"",$B290="Program",$F290="",$Q290=1),1,0)</f>
        <v/>
      </c>
      <c r="AC290" s="31">
        <f>IF(OR($A290="",$D290="Completed",$D290="Terminated"),0,IF($C290="",1,IF($C290="Portfolio",0,IF($C290="Outside the portfolio",IF($Q290=1,2,0),IF($B290="Project",IF(IFERROR(INDEX($B$6:$B$305,MATCH($C290,$A$6:$A$305,0)),"")="Program",0,1),1)))))</f>
        <v/>
      </c>
      <c r="AD290" s="31">
        <f>IF(AND($A290&lt;&gt;"",OR($M290="■ Red",$M290="◧ Amber"),$L290=""),1,0)</f>
        <v/>
      </c>
      <c r="AE290" s="31">
        <f>$AA290+$AB290+IF($AC290&gt;0,1,0)+$AD290</f>
        <v/>
      </c>
      <c r="AJ290" s="14" t="n"/>
      <c r="AK290" s="29" t="n"/>
      <c r="AL290" s="31">
        <f>IF(AND($Q290=1,$Z290=1),1,0)</f>
        <v/>
      </c>
      <c r="AM290" s="31">
        <f>IF(AND($AL290=1,$AJ290&lt;&gt;""),MAX(0,TODAY()-$AJ290),"")</f>
        <v/>
      </c>
      <c r="AN290" s="31">
        <f>IF(OR($AL290=0,COUNT($AJ$6:$AJ$305)=0),0,IF($AJ290="",1,IF(TODAY()-$AJ290&gt;Board!$B$40,1,0)))</f>
        <v/>
      </c>
      <c r="AO290" s="31">
        <f>IF($AL290=0,0,IF($M290="■ Red",3,IF($M290="◧ Amber",2,IF($M290="□ On track",1,0))))</f>
        <v/>
      </c>
      <c r="AP290" s="31">
        <f>IF($AL290=0,0,IF($AK290="Will not hold",3,IF($AK290="At risk",2,IF($AK290="Will hold",1,0))))</f>
        <v/>
      </c>
      <c r="AQ290" s="31">
        <f>IF($AL290=0,"",IF($AO290=3,0,IF($AO290=2,1,IF(AND($AP290&gt;=2,$AP290&gt;$AO290),2,""))))</f>
        <v/>
      </c>
      <c r="AR290" s="31">
        <f>IF($AQ290="","",$AQ290*1000+290)</f>
        <v/>
      </c>
      <c r="AS290" s="31">
        <f>IF(AND($AL290=1,$AO290&gt;=2,$AP290&gt;=1,$AP290&lt;$AO290),1,0)</f>
        <v/>
      </c>
      <c r="AT290" s="31">
        <f>IF(AND($AL290=1,$AO290&gt;=2,$AP290=0),1,0)</f>
        <v/>
      </c>
      <c r="AU290" s="31">
        <f>IF(AND($AL290=1,$U290&lt;&gt;"",$U290&lt;TODAY()),1,0)</f>
        <v/>
      </c>
      <c r="AV290" s="31">
        <f>IF(OR($A290="",$AJ290="",Portfolio!$B$10=""),0,IF($AJ290&lt;=Portfolio!$B$10,0,IF(AND($D290="Completed",$Z290=1),1,IF(AND($D290="Terminated",$Z290=1),2,IF(AND($Q290=1,$Z290=0),3,0)))))</f>
        <v/>
      </c>
      <c r="AW290" s="31">
        <f>IF($AV290&gt;0,COUNTIF($AV$6:$AV290,"&gt;0"),"")</f>
        <v/>
      </c>
      <c r="AX290" s="31">
        <f>IF($AL290=0,"",IF(AND($B290="Project",$H290&lt;&gt;"",$H290&lt;TODAY()),"Planned finish "&amp;TEXT($H290,"d mmm")&amp;" has passed",IF($X290&gt;=2,(NETWORKDAYS($H290,$U290)-1)&amp;" working days past plan","")))</f>
        <v/>
      </c>
      <c r="AY290" s="31">
        <f>IF($AL290=0,"",IF($Y290&gt;=2,"Over budget by "&amp;TEXT(IF($B290="Program",$V290,$J290)-$K290,"#,##0"),""))</f>
        <v/>
      </c>
      <c r="AZ290" s="31">
        <f>IF(AND($AL290=1,$U290&lt;&gt;""),IF(AND(N($U290)&gt;=TODAY(),N($U290)&lt;=TODAY()+Board!$B$41),1,0),0)</f>
        <v/>
      </c>
    </row>
    <row r="291">
      <c r="A291" s="29" t="n"/>
      <c r="B291" s="29" t="n"/>
      <c r="C291" s="29" t="n"/>
      <c r="D291" s="29" t="n"/>
      <c r="E291" s="29" t="n"/>
      <c r="F291" s="29" t="n"/>
      <c r="G291" s="29" t="n"/>
      <c r="H291" s="30" t="n"/>
      <c r="I291" s="30" t="n"/>
      <c r="J291" s="19" t="n"/>
      <c r="K291" s="19" t="n"/>
      <c r="L291" s="26" t="n"/>
      <c r="M291" s="31">
        <f>IF($A291="","",IF($D291="","Not read",IF($Q291=0,"Not counted",IF(MAX($X291,$Y291)=3,"■ Red",IF(MAX($X291,$Y291)=2,"◧ Amber",IF(MAX($X291,$Y291)=1,"□ On track","Not read"))))))</f>
        <v/>
      </c>
      <c r="N291" s="31">
        <f>IF(OR($A291="",$B291&lt;&gt;"Program"),"","■ "&amp;COUNTIFS($C$6:$C$305,$A291,$M$6:$M$305,"■ Red")&amp;" Red, ◧ "&amp;COUNTIFS($C$6:$C$305,$A291,$M$6:$M$305,"◧ Amber")&amp;" Amber")</f>
        <v/>
      </c>
      <c r="O291" s="32">
        <f>IF(OR($A291="",$E291=""),"",COUNTIFS($E$6:$E$305,$E291,$D$6:$D$305,"Active")+COUNTIFS($E$6:$E$305,$E291,$D$6:$D$305,"Paused"))</f>
        <v/>
      </c>
      <c r="P291" s="31">
        <f>IF($A291="","",IF($AE291=0,"○ Clear",IF($AA291=1,"△ No owner",IF($AC291=1,"△ Check Sits under",IF($AC291=2,"△ Outside the portfolio",IF($AB291=1,"△ No sponsor","△ No variance note"))))&amp;IF($AE291&gt;1," (+"&amp;($AE291-1)&amp;" more)","")))</f>
        <v/>
      </c>
      <c r="Q291" s="31">
        <f>IF(AND($A291&lt;&gt;"",OR($D291="Active",$D291="Paused")),1,0)</f>
        <v/>
      </c>
      <c r="R291" s="31">
        <f>IFERROR(INDEX($A$6:$A$305,MATCH(284,$S$6:$S$305,0)),"")</f>
        <v/>
      </c>
      <c r="S291" s="31">
        <f>IF(AND($A291&lt;&gt;"",$B291="Program"),COUNTIFS($B$6:$B291,"Program",$A$6:$A291,"&lt;&gt;"),"")</f>
        <v/>
      </c>
      <c r="T291" s="33">
        <f>IF(AND($A291&lt;&gt;"",$B291="Program"),SUMPRODUCT(MAX(($C$6:$C$305=$A291)*($B$6:$B$305="Project")*($D$6:$D$305&lt;&gt;"Proposed")*$I$6:$I$305)),0)</f>
        <v/>
      </c>
      <c r="U291" s="33">
        <f>IF($I291&lt;&gt;"",$I291,IF($T291&gt;0,$T291,""))</f>
        <v/>
      </c>
      <c r="V291" s="31">
        <f>IF(AND($A291&lt;&gt;"",$B291="Program"),SUMIFS($J$6:$J$305,$C$6:$C$305,$A291,$B$6:$B$305,"Project",$D$6:$D$305,"&lt;&gt;Proposed"),0)</f>
        <v/>
      </c>
      <c r="W291" s="31">
        <f>IF(AND($A291&lt;&gt;"",$B291="Program"),COUNTIFS($C$6:$C$305,$A291,$B$6:$B$305,"Project",$D$6:$D$305,"&lt;&gt;Proposed")-COUNTIFS($C$6:$C$305,$A291,$B$6:$B$305,"Project",$D$6:$D$305,"&lt;&gt;Proposed",$J$6:$J$305,"&gt;=0"),0)</f>
        <v/>
      </c>
      <c r="X291" s="31">
        <f>IF(OR($Q291=0,$H291=""),0,IF(AND($B291="Project",$H291&lt;TODAY()),3,IF($U291="",0,IF($U291&lt;=$H291,1,IF(NETWORKDAYS($H291,$U291)-1&gt;IF($B291="Program",Portfolio!$B$16,Portfolio!$B$15),3,2)))))</f>
        <v/>
      </c>
      <c r="Y291" s="31">
        <f>IF(OR($Q291=0,$K291="",$K291=0),0,IF(AND($B291="Project",$J291=""),0,IF(IF($B291="Program",$V291,$J291)&gt;$K291*(1+Portfolio!$B$17),3,IF(IF($B291="Program",$V291,$J291)&gt;$K291,2,IF(AND($B291="Program",OR($W291&gt;0,$V291=0)),0,1)))))</f>
        <v/>
      </c>
      <c r="Z291" s="31">
        <f>IF($A291="",0,IF($C291="Portfolio",1,IF(AND($B291="Project",$C291&lt;&gt;"",$C291&lt;&gt;"Outside the portfolio"),IFERROR(IF(AND(INDEX($B$6:$B$305,MATCH($C291,$A$6:$A$305,0))="Program",INDEX($C$6:$C$305,MATCH($C291,$A$6:$A$305,0))="Portfolio"),1,0),0),0)))</f>
        <v/>
      </c>
      <c r="AA291" s="31">
        <f>IF(AND($A291&lt;&gt;"",$E291="",OR($Q291=1,$D291="Proposed")),1,0)</f>
        <v/>
      </c>
      <c r="AB291" s="31">
        <f>IF(AND($A291&lt;&gt;"",$B291="Program",$F291="",$Q291=1),1,0)</f>
        <v/>
      </c>
      <c r="AC291" s="31">
        <f>IF(OR($A291="",$D291="Completed",$D291="Terminated"),0,IF($C291="",1,IF($C291="Portfolio",0,IF($C291="Outside the portfolio",IF($Q291=1,2,0),IF($B291="Project",IF(IFERROR(INDEX($B$6:$B$305,MATCH($C291,$A$6:$A$305,0)),"")="Program",0,1),1)))))</f>
        <v/>
      </c>
      <c r="AD291" s="31">
        <f>IF(AND($A291&lt;&gt;"",OR($M291="■ Red",$M291="◧ Amber"),$L291=""),1,0)</f>
        <v/>
      </c>
      <c r="AE291" s="31">
        <f>$AA291+$AB291+IF($AC291&gt;0,1,0)+$AD291</f>
        <v/>
      </c>
      <c r="AJ291" s="14" t="n"/>
      <c r="AK291" s="29" t="n"/>
      <c r="AL291" s="31">
        <f>IF(AND($Q291=1,$Z291=1),1,0)</f>
        <v/>
      </c>
      <c r="AM291" s="31">
        <f>IF(AND($AL291=1,$AJ291&lt;&gt;""),MAX(0,TODAY()-$AJ291),"")</f>
        <v/>
      </c>
      <c r="AN291" s="31">
        <f>IF(OR($AL291=0,COUNT($AJ$6:$AJ$305)=0),0,IF($AJ291="",1,IF(TODAY()-$AJ291&gt;Board!$B$40,1,0)))</f>
        <v/>
      </c>
      <c r="AO291" s="31">
        <f>IF($AL291=0,0,IF($M291="■ Red",3,IF($M291="◧ Amber",2,IF($M291="□ On track",1,0))))</f>
        <v/>
      </c>
      <c r="AP291" s="31">
        <f>IF($AL291=0,0,IF($AK291="Will not hold",3,IF($AK291="At risk",2,IF($AK291="Will hold",1,0))))</f>
        <v/>
      </c>
      <c r="AQ291" s="31">
        <f>IF($AL291=0,"",IF($AO291=3,0,IF($AO291=2,1,IF(AND($AP291&gt;=2,$AP291&gt;$AO291),2,""))))</f>
        <v/>
      </c>
      <c r="AR291" s="31">
        <f>IF($AQ291="","",$AQ291*1000+291)</f>
        <v/>
      </c>
      <c r="AS291" s="31">
        <f>IF(AND($AL291=1,$AO291&gt;=2,$AP291&gt;=1,$AP291&lt;$AO291),1,0)</f>
        <v/>
      </c>
      <c r="AT291" s="31">
        <f>IF(AND($AL291=1,$AO291&gt;=2,$AP291=0),1,0)</f>
        <v/>
      </c>
      <c r="AU291" s="31">
        <f>IF(AND($AL291=1,$U291&lt;&gt;"",$U291&lt;TODAY()),1,0)</f>
        <v/>
      </c>
      <c r="AV291" s="31">
        <f>IF(OR($A291="",$AJ291="",Portfolio!$B$10=""),0,IF($AJ291&lt;=Portfolio!$B$10,0,IF(AND($D291="Completed",$Z291=1),1,IF(AND($D291="Terminated",$Z291=1),2,IF(AND($Q291=1,$Z291=0),3,0)))))</f>
        <v/>
      </c>
      <c r="AW291" s="31">
        <f>IF($AV291&gt;0,COUNTIF($AV$6:$AV291,"&gt;0"),"")</f>
        <v/>
      </c>
      <c r="AX291" s="31">
        <f>IF($AL291=0,"",IF(AND($B291="Project",$H291&lt;&gt;"",$H291&lt;TODAY()),"Planned finish "&amp;TEXT($H291,"d mmm")&amp;" has passed",IF($X291&gt;=2,(NETWORKDAYS($H291,$U291)-1)&amp;" working days past plan","")))</f>
        <v/>
      </c>
      <c r="AY291" s="31">
        <f>IF($AL291=0,"",IF($Y291&gt;=2,"Over budget by "&amp;TEXT(IF($B291="Program",$V291,$J291)-$K291,"#,##0"),""))</f>
        <v/>
      </c>
      <c r="AZ291" s="31">
        <f>IF(AND($AL291=1,$U291&lt;&gt;""),IF(AND(N($U291)&gt;=TODAY(),N($U291)&lt;=TODAY()+Board!$B$41),1,0),0)</f>
        <v/>
      </c>
    </row>
    <row r="292">
      <c r="A292" s="29" t="n"/>
      <c r="B292" s="29" t="n"/>
      <c r="C292" s="29" t="n"/>
      <c r="D292" s="29" t="n"/>
      <c r="E292" s="29" t="n"/>
      <c r="F292" s="29" t="n"/>
      <c r="G292" s="29" t="n"/>
      <c r="H292" s="30" t="n"/>
      <c r="I292" s="30" t="n"/>
      <c r="J292" s="19" t="n"/>
      <c r="K292" s="19" t="n"/>
      <c r="L292" s="26" t="n"/>
      <c r="M292" s="31">
        <f>IF($A292="","",IF($D292="","Not read",IF($Q292=0,"Not counted",IF(MAX($X292,$Y292)=3,"■ Red",IF(MAX($X292,$Y292)=2,"◧ Amber",IF(MAX($X292,$Y292)=1,"□ On track","Not read"))))))</f>
        <v/>
      </c>
      <c r="N292" s="31">
        <f>IF(OR($A292="",$B292&lt;&gt;"Program"),"","■ "&amp;COUNTIFS($C$6:$C$305,$A292,$M$6:$M$305,"■ Red")&amp;" Red, ◧ "&amp;COUNTIFS($C$6:$C$305,$A292,$M$6:$M$305,"◧ Amber")&amp;" Amber")</f>
        <v/>
      </c>
      <c r="O292" s="32">
        <f>IF(OR($A292="",$E292=""),"",COUNTIFS($E$6:$E$305,$E292,$D$6:$D$305,"Active")+COUNTIFS($E$6:$E$305,$E292,$D$6:$D$305,"Paused"))</f>
        <v/>
      </c>
      <c r="P292" s="31">
        <f>IF($A292="","",IF($AE292=0,"○ Clear",IF($AA292=1,"△ No owner",IF($AC292=1,"△ Check Sits under",IF($AC292=2,"△ Outside the portfolio",IF($AB292=1,"△ No sponsor","△ No variance note"))))&amp;IF($AE292&gt;1," (+"&amp;($AE292-1)&amp;" more)","")))</f>
        <v/>
      </c>
      <c r="Q292" s="31">
        <f>IF(AND($A292&lt;&gt;"",OR($D292="Active",$D292="Paused")),1,0)</f>
        <v/>
      </c>
      <c r="R292" s="31">
        <f>IFERROR(INDEX($A$6:$A$305,MATCH(285,$S$6:$S$305,0)),"")</f>
        <v/>
      </c>
      <c r="S292" s="31">
        <f>IF(AND($A292&lt;&gt;"",$B292="Program"),COUNTIFS($B$6:$B292,"Program",$A$6:$A292,"&lt;&gt;"),"")</f>
        <v/>
      </c>
      <c r="T292" s="33">
        <f>IF(AND($A292&lt;&gt;"",$B292="Program"),SUMPRODUCT(MAX(($C$6:$C$305=$A292)*($B$6:$B$305="Project")*($D$6:$D$305&lt;&gt;"Proposed")*$I$6:$I$305)),0)</f>
        <v/>
      </c>
      <c r="U292" s="33">
        <f>IF($I292&lt;&gt;"",$I292,IF($T292&gt;0,$T292,""))</f>
        <v/>
      </c>
      <c r="V292" s="31">
        <f>IF(AND($A292&lt;&gt;"",$B292="Program"),SUMIFS($J$6:$J$305,$C$6:$C$305,$A292,$B$6:$B$305,"Project",$D$6:$D$305,"&lt;&gt;Proposed"),0)</f>
        <v/>
      </c>
      <c r="W292" s="31">
        <f>IF(AND($A292&lt;&gt;"",$B292="Program"),COUNTIFS($C$6:$C$305,$A292,$B$6:$B$305,"Project",$D$6:$D$305,"&lt;&gt;Proposed")-COUNTIFS($C$6:$C$305,$A292,$B$6:$B$305,"Project",$D$6:$D$305,"&lt;&gt;Proposed",$J$6:$J$305,"&gt;=0"),0)</f>
        <v/>
      </c>
      <c r="X292" s="31">
        <f>IF(OR($Q292=0,$H292=""),0,IF(AND($B292="Project",$H292&lt;TODAY()),3,IF($U292="",0,IF($U292&lt;=$H292,1,IF(NETWORKDAYS($H292,$U292)-1&gt;IF($B292="Program",Portfolio!$B$16,Portfolio!$B$15),3,2)))))</f>
        <v/>
      </c>
      <c r="Y292" s="31">
        <f>IF(OR($Q292=0,$K292="",$K292=0),0,IF(AND($B292="Project",$J292=""),0,IF(IF($B292="Program",$V292,$J292)&gt;$K292*(1+Portfolio!$B$17),3,IF(IF($B292="Program",$V292,$J292)&gt;$K292,2,IF(AND($B292="Program",OR($W292&gt;0,$V292=0)),0,1)))))</f>
        <v/>
      </c>
      <c r="Z292" s="31">
        <f>IF($A292="",0,IF($C292="Portfolio",1,IF(AND($B292="Project",$C292&lt;&gt;"",$C292&lt;&gt;"Outside the portfolio"),IFERROR(IF(AND(INDEX($B$6:$B$305,MATCH($C292,$A$6:$A$305,0))="Program",INDEX($C$6:$C$305,MATCH($C292,$A$6:$A$305,0))="Portfolio"),1,0),0),0)))</f>
        <v/>
      </c>
      <c r="AA292" s="31">
        <f>IF(AND($A292&lt;&gt;"",$E292="",OR($Q292=1,$D292="Proposed")),1,0)</f>
        <v/>
      </c>
      <c r="AB292" s="31">
        <f>IF(AND($A292&lt;&gt;"",$B292="Program",$F292="",$Q292=1),1,0)</f>
        <v/>
      </c>
      <c r="AC292" s="31">
        <f>IF(OR($A292="",$D292="Completed",$D292="Terminated"),0,IF($C292="",1,IF($C292="Portfolio",0,IF($C292="Outside the portfolio",IF($Q292=1,2,0),IF($B292="Project",IF(IFERROR(INDEX($B$6:$B$305,MATCH($C292,$A$6:$A$305,0)),"")="Program",0,1),1)))))</f>
        <v/>
      </c>
      <c r="AD292" s="31">
        <f>IF(AND($A292&lt;&gt;"",OR($M292="■ Red",$M292="◧ Amber"),$L292=""),1,0)</f>
        <v/>
      </c>
      <c r="AE292" s="31">
        <f>$AA292+$AB292+IF($AC292&gt;0,1,0)+$AD292</f>
        <v/>
      </c>
      <c r="AJ292" s="14" t="n"/>
      <c r="AK292" s="29" t="n"/>
      <c r="AL292" s="31">
        <f>IF(AND($Q292=1,$Z292=1),1,0)</f>
        <v/>
      </c>
      <c r="AM292" s="31">
        <f>IF(AND($AL292=1,$AJ292&lt;&gt;""),MAX(0,TODAY()-$AJ292),"")</f>
        <v/>
      </c>
      <c r="AN292" s="31">
        <f>IF(OR($AL292=0,COUNT($AJ$6:$AJ$305)=0),0,IF($AJ292="",1,IF(TODAY()-$AJ292&gt;Board!$B$40,1,0)))</f>
        <v/>
      </c>
      <c r="AO292" s="31">
        <f>IF($AL292=0,0,IF($M292="■ Red",3,IF($M292="◧ Amber",2,IF($M292="□ On track",1,0))))</f>
        <v/>
      </c>
      <c r="AP292" s="31">
        <f>IF($AL292=0,0,IF($AK292="Will not hold",3,IF($AK292="At risk",2,IF($AK292="Will hold",1,0))))</f>
        <v/>
      </c>
      <c r="AQ292" s="31">
        <f>IF($AL292=0,"",IF($AO292=3,0,IF($AO292=2,1,IF(AND($AP292&gt;=2,$AP292&gt;$AO292),2,""))))</f>
        <v/>
      </c>
      <c r="AR292" s="31">
        <f>IF($AQ292="","",$AQ292*1000+292)</f>
        <v/>
      </c>
      <c r="AS292" s="31">
        <f>IF(AND($AL292=1,$AO292&gt;=2,$AP292&gt;=1,$AP292&lt;$AO292),1,0)</f>
        <v/>
      </c>
      <c r="AT292" s="31">
        <f>IF(AND($AL292=1,$AO292&gt;=2,$AP292=0),1,0)</f>
        <v/>
      </c>
      <c r="AU292" s="31">
        <f>IF(AND($AL292=1,$U292&lt;&gt;"",$U292&lt;TODAY()),1,0)</f>
        <v/>
      </c>
      <c r="AV292" s="31">
        <f>IF(OR($A292="",$AJ292="",Portfolio!$B$10=""),0,IF($AJ292&lt;=Portfolio!$B$10,0,IF(AND($D292="Completed",$Z292=1),1,IF(AND($D292="Terminated",$Z292=1),2,IF(AND($Q292=1,$Z292=0),3,0)))))</f>
        <v/>
      </c>
      <c r="AW292" s="31">
        <f>IF($AV292&gt;0,COUNTIF($AV$6:$AV292,"&gt;0"),"")</f>
        <v/>
      </c>
      <c r="AX292" s="31">
        <f>IF($AL292=0,"",IF(AND($B292="Project",$H292&lt;&gt;"",$H292&lt;TODAY()),"Planned finish "&amp;TEXT($H292,"d mmm")&amp;" has passed",IF($X292&gt;=2,(NETWORKDAYS($H292,$U292)-1)&amp;" working days past plan","")))</f>
        <v/>
      </c>
      <c r="AY292" s="31">
        <f>IF($AL292=0,"",IF($Y292&gt;=2,"Over budget by "&amp;TEXT(IF($B292="Program",$V292,$J292)-$K292,"#,##0"),""))</f>
        <v/>
      </c>
      <c r="AZ292" s="31">
        <f>IF(AND($AL292=1,$U292&lt;&gt;""),IF(AND(N($U292)&gt;=TODAY(),N($U292)&lt;=TODAY()+Board!$B$41),1,0),0)</f>
        <v/>
      </c>
    </row>
    <row r="293">
      <c r="A293" s="29" t="n"/>
      <c r="B293" s="29" t="n"/>
      <c r="C293" s="29" t="n"/>
      <c r="D293" s="29" t="n"/>
      <c r="E293" s="29" t="n"/>
      <c r="F293" s="29" t="n"/>
      <c r="G293" s="29" t="n"/>
      <c r="H293" s="30" t="n"/>
      <c r="I293" s="30" t="n"/>
      <c r="J293" s="19" t="n"/>
      <c r="K293" s="19" t="n"/>
      <c r="L293" s="26" t="n"/>
      <c r="M293" s="31">
        <f>IF($A293="","",IF($D293="","Not read",IF($Q293=0,"Not counted",IF(MAX($X293,$Y293)=3,"■ Red",IF(MAX($X293,$Y293)=2,"◧ Amber",IF(MAX($X293,$Y293)=1,"□ On track","Not read"))))))</f>
        <v/>
      </c>
      <c r="N293" s="31">
        <f>IF(OR($A293="",$B293&lt;&gt;"Program"),"","■ "&amp;COUNTIFS($C$6:$C$305,$A293,$M$6:$M$305,"■ Red")&amp;" Red, ◧ "&amp;COUNTIFS($C$6:$C$305,$A293,$M$6:$M$305,"◧ Amber")&amp;" Amber")</f>
        <v/>
      </c>
      <c r="O293" s="32">
        <f>IF(OR($A293="",$E293=""),"",COUNTIFS($E$6:$E$305,$E293,$D$6:$D$305,"Active")+COUNTIFS($E$6:$E$305,$E293,$D$6:$D$305,"Paused"))</f>
        <v/>
      </c>
      <c r="P293" s="31">
        <f>IF($A293="","",IF($AE293=0,"○ Clear",IF($AA293=1,"△ No owner",IF($AC293=1,"△ Check Sits under",IF($AC293=2,"△ Outside the portfolio",IF($AB293=1,"△ No sponsor","△ No variance note"))))&amp;IF($AE293&gt;1," (+"&amp;($AE293-1)&amp;" more)","")))</f>
        <v/>
      </c>
      <c r="Q293" s="31">
        <f>IF(AND($A293&lt;&gt;"",OR($D293="Active",$D293="Paused")),1,0)</f>
        <v/>
      </c>
      <c r="R293" s="31">
        <f>IFERROR(INDEX($A$6:$A$305,MATCH(286,$S$6:$S$305,0)),"")</f>
        <v/>
      </c>
      <c r="S293" s="31">
        <f>IF(AND($A293&lt;&gt;"",$B293="Program"),COUNTIFS($B$6:$B293,"Program",$A$6:$A293,"&lt;&gt;"),"")</f>
        <v/>
      </c>
      <c r="T293" s="33">
        <f>IF(AND($A293&lt;&gt;"",$B293="Program"),SUMPRODUCT(MAX(($C$6:$C$305=$A293)*($B$6:$B$305="Project")*($D$6:$D$305&lt;&gt;"Proposed")*$I$6:$I$305)),0)</f>
        <v/>
      </c>
      <c r="U293" s="33">
        <f>IF($I293&lt;&gt;"",$I293,IF($T293&gt;0,$T293,""))</f>
        <v/>
      </c>
      <c r="V293" s="31">
        <f>IF(AND($A293&lt;&gt;"",$B293="Program"),SUMIFS($J$6:$J$305,$C$6:$C$305,$A293,$B$6:$B$305,"Project",$D$6:$D$305,"&lt;&gt;Proposed"),0)</f>
        <v/>
      </c>
      <c r="W293" s="31">
        <f>IF(AND($A293&lt;&gt;"",$B293="Program"),COUNTIFS($C$6:$C$305,$A293,$B$6:$B$305,"Project",$D$6:$D$305,"&lt;&gt;Proposed")-COUNTIFS($C$6:$C$305,$A293,$B$6:$B$305,"Project",$D$6:$D$305,"&lt;&gt;Proposed",$J$6:$J$305,"&gt;=0"),0)</f>
        <v/>
      </c>
      <c r="X293" s="31">
        <f>IF(OR($Q293=0,$H293=""),0,IF(AND($B293="Project",$H293&lt;TODAY()),3,IF($U293="",0,IF($U293&lt;=$H293,1,IF(NETWORKDAYS($H293,$U293)-1&gt;IF($B293="Program",Portfolio!$B$16,Portfolio!$B$15),3,2)))))</f>
        <v/>
      </c>
      <c r="Y293" s="31">
        <f>IF(OR($Q293=0,$K293="",$K293=0),0,IF(AND($B293="Project",$J293=""),0,IF(IF($B293="Program",$V293,$J293)&gt;$K293*(1+Portfolio!$B$17),3,IF(IF($B293="Program",$V293,$J293)&gt;$K293,2,IF(AND($B293="Program",OR($W293&gt;0,$V293=0)),0,1)))))</f>
        <v/>
      </c>
      <c r="Z293" s="31">
        <f>IF($A293="",0,IF($C293="Portfolio",1,IF(AND($B293="Project",$C293&lt;&gt;"",$C293&lt;&gt;"Outside the portfolio"),IFERROR(IF(AND(INDEX($B$6:$B$305,MATCH($C293,$A$6:$A$305,0))="Program",INDEX($C$6:$C$305,MATCH($C293,$A$6:$A$305,0))="Portfolio"),1,0),0),0)))</f>
        <v/>
      </c>
      <c r="AA293" s="31">
        <f>IF(AND($A293&lt;&gt;"",$E293="",OR($Q293=1,$D293="Proposed")),1,0)</f>
        <v/>
      </c>
      <c r="AB293" s="31">
        <f>IF(AND($A293&lt;&gt;"",$B293="Program",$F293="",$Q293=1),1,0)</f>
        <v/>
      </c>
      <c r="AC293" s="31">
        <f>IF(OR($A293="",$D293="Completed",$D293="Terminated"),0,IF($C293="",1,IF($C293="Portfolio",0,IF($C293="Outside the portfolio",IF($Q293=1,2,0),IF($B293="Project",IF(IFERROR(INDEX($B$6:$B$305,MATCH($C293,$A$6:$A$305,0)),"")="Program",0,1),1)))))</f>
        <v/>
      </c>
      <c r="AD293" s="31">
        <f>IF(AND($A293&lt;&gt;"",OR($M293="■ Red",$M293="◧ Amber"),$L293=""),1,0)</f>
        <v/>
      </c>
      <c r="AE293" s="31">
        <f>$AA293+$AB293+IF($AC293&gt;0,1,0)+$AD293</f>
        <v/>
      </c>
      <c r="AJ293" s="14" t="n"/>
      <c r="AK293" s="29" t="n"/>
      <c r="AL293" s="31">
        <f>IF(AND($Q293=1,$Z293=1),1,0)</f>
        <v/>
      </c>
      <c r="AM293" s="31">
        <f>IF(AND($AL293=1,$AJ293&lt;&gt;""),MAX(0,TODAY()-$AJ293),"")</f>
        <v/>
      </c>
      <c r="AN293" s="31">
        <f>IF(OR($AL293=0,COUNT($AJ$6:$AJ$305)=0),0,IF($AJ293="",1,IF(TODAY()-$AJ293&gt;Board!$B$40,1,0)))</f>
        <v/>
      </c>
      <c r="AO293" s="31">
        <f>IF($AL293=0,0,IF($M293="■ Red",3,IF($M293="◧ Amber",2,IF($M293="□ On track",1,0))))</f>
        <v/>
      </c>
      <c r="AP293" s="31">
        <f>IF($AL293=0,0,IF($AK293="Will not hold",3,IF($AK293="At risk",2,IF($AK293="Will hold",1,0))))</f>
        <v/>
      </c>
      <c r="AQ293" s="31">
        <f>IF($AL293=0,"",IF($AO293=3,0,IF($AO293=2,1,IF(AND($AP293&gt;=2,$AP293&gt;$AO293),2,""))))</f>
        <v/>
      </c>
      <c r="AR293" s="31">
        <f>IF($AQ293="","",$AQ293*1000+293)</f>
        <v/>
      </c>
      <c r="AS293" s="31">
        <f>IF(AND($AL293=1,$AO293&gt;=2,$AP293&gt;=1,$AP293&lt;$AO293),1,0)</f>
        <v/>
      </c>
      <c r="AT293" s="31">
        <f>IF(AND($AL293=1,$AO293&gt;=2,$AP293=0),1,0)</f>
        <v/>
      </c>
      <c r="AU293" s="31">
        <f>IF(AND($AL293=1,$U293&lt;&gt;"",$U293&lt;TODAY()),1,0)</f>
        <v/>
      </c>
      <c r="AV293" s="31">
        <f>IF(OR($A293="",$AJ293="",Portfolio!$B$10=""),0,IF($AJ293&lt;=Portfolio!$B$10,0,IF(AND($D293="Completed",$Z293=1),1,IF(AND($D293="Terminated",$Z293=1),2,IF(AND($Q293=1,$Z293=0),3,0)))))</f>
        <v/>
      </c>
      <c r="AW293" s="31">
        <f>IF($AV293&gt;0,COUNTIF($AV$6:$AV293,"&gt;0"),"")</f>
        <v/>
      </c>
      <c r="AX293" s="31">
        <f>IF($AL293=0,"",IF(AND($B293="Project",$H293&lt;&gt;"",$H293&lt;TODAY()),"Planned finish "&amp;TEXT($H293,"d mmm")&amp;" has passed",IF($X293&gt;=2,(NETWORKDAYS($H293,$U293)-1)&amp;" working days past plan","")))</f>
        <v/>
      </c>
      <c r="AY293" s="31">
        <f>IF($AL293=0,"",IF($Y293&gt;=2,"Over budget by "&amp;TEXT(IF($B293="Program",$V293,$J293)-$K293,"#,##0"),""))</f>
        <v/>
      </c>
      <c r="AZ293" s="31">
        <f>IF(AND($AL293=1,$U293&lt;&gt;""),IF(AND(N($U293)&gt;=TODAY(),N($U293)&lt;=TODAY()+Board!$B$41),1,0),0)</f>
        <v/>
      </c>
    </row>
    <row r="294">
      <c r="A294" s="29" t="n"/>
      <c r="B294" s="29" t="n"/>
      <c r="C294" s="29" t="n"/>
      <c r="D294" s="29" t="n"/>
      <c r="E294" s="29" t="n"/>
      <c r="F294" s="29" t="n"/>
      <c r="G294" s="29" t="n"/>
      <c r="H294" s="30" t="n"/>
      <c r="I294" s="30" t="n"/>
      <c r="J294" s="19" t="n"/>
      <c r="K294" s="19" t="n"/>
      <c r="L294" s="26" t="n"/>
      <c r="M294" s="31">
        <f>IF($A294="","",IF($D294="","Not read",IF($Q294=0,"Not counted",IF(MAX($X294,$Y294)=3,"■ Red",IF(MAX($X294,$Y294)=2,"◧ Amber",IF(MAX($X294,$Y294)=1,"□ On track","Not read"))))))</f>
        <v/>
      </c>
      <c r="N294" s="31">
        <f>IF(OR($A294="",$B294&lt;&gt;"Program"),"","■ "&amp;COUNTIFS($C$6:$C$305,$A294,$M$6:$M$305,"■ Red")&amp;" Red, ◧ "&amp;COUNTIFS($C$6:$C$305,$A294,$M$6:$M$305,"◧ Amber")&amp;" Amber")</f>
        <v/>
      </c>
      <c r="O294" s="32">
        <f>IF(OR($A294="",$E294=""),"",COUNTIFS($E$6:$E$305,$E294,$D$6:$D$305,"Active")+COUNTIFS($E$6:$E$305,$E294,$D$6:$D$305,"Paused"))</f>
        <v/>
      </c>
      <c r="P294" s="31">
        <f>IF($A294="","",IF($AE294=0,"○ Clear",IF($AA294=1,"△ No owner",IF($AC294=1,"△ Check Sits under",IF($AC294=2,"△ Outside the portfolio",IF($AB294=1,"△ No sponsor","△ No variance note"))))&amp;IF($AE294&gt;1," (+"&amp;($AE294-1)&amp;" more)","")))</f>
        <v/>
      </c>
      <c r="Q294" s="31">
        <f>IF(AND($A294&lt;&gt;"",OR($D294="Active",$D294="Paused")),1,0)</f>
        <v/>
      </c>
      <c r="R294" s="31">
        <f>IFERROR(INDEX($A$6:$A$305,MATCH(287,$S$6:$S$305,0)),"")</f>
        <v/>
      </c>
      <c r="S294" s="31">
        <f>IF(AND($A294&lt;&gt;"",$B294="Program"),COUNTIFS($B$6:$B294,"Program",$A$6:$A294,"&lt;&gt;"),"")</f>
        <v/>
      </c>
      <c r="T294" s="33">
        <f>IF(AND($A294&lt;&gt;"",$B294="Program"),SUMPRODUCT(MAX(($C$6:$C$305=$A294)*($B$6:$B$305="Project")*($D$6:$D$305&lt;&gt;"Proposed")*$I$6:$I$305)),0)</f>
        <v/>
      </c>
      <c r="U294" s="33">
        <f>IF($I294&lt;&gt;"",$I294,IF($T294&gt;0,$T294,""))</f>
        <v/>
      </c>
      <c r="V294" s="31">
        <f>IF(AND($A294&lt;&gt;"",$B294="Program"),SUMIFS($J$6:$J$305,$C$6:$C$305,$A294,$B$6:$B$305,"Project",$D$6:$D$305,"&lt;&gt;Proposed"),0)</f>
        <v/>
      </c>
      <c r="W294" s="31">
        <f>IF(AND($A294&lt;&gt;"",$B294="Program"),COUNTIFS($C$6:$C$305,$A294,$B$6:$B$305,"Project",$D$6:$D$305,"&lt;&gt;Proposed")-COUNTIFS($C$6:$C$305,$A294,$B$6:$B$305,"Project",$D$6:$D$305,"&lt;&gt;Proposed",$J$6:$J$305,"&gt;=0"),0)</f>
        <v/>
      </c>
      <c r="X294" s="31">
        <f>IF(OR($Q294=0,$H294=""),0,IF(AND($B294="Project",$H294&lt;TODAY()),3,IF($U294="",0,IF($U294&lt;=$H294,1,IF(NETWORKDAYS($H294,$U294)-1&gt;IF($B294="Program",Portfolio!$B$16,Portfolio!$B$15),3,2)))))</f>
        <v/>
      </c>
      <c r="Y294" s="31">
        <f>IF(OR($Q294=0,$K294="",$K294=0),0,IF(AND($B294="Project",$J294=""),0,IF(IF($B294="Program",$V294,$J294)&gt;$K294*(1+Portfolio!$B$17),3,IF(IF($B294="Program",$V294,$J294)&gt;$K294,2,IF(AND($B294="Program",OR($W294&gt;0,$V294=0)),0,1)))))</f>
        <v/>
      </c>
      <c r="Z294" s="31">
        <f>IF($A294="",0,IF($C294="Portfolio",1,IF(AND($B294="Project",$C294&lt;&gt;"",$C294&lt;&gt;"Outside the portfolio"),IFERROR(IF(AND(INDEX($B$6:$B$305,MATCH($C294,$A$6:$A$305,0))="Program",INDEX($C$6:$C$305,MATCH($C294,$A$6:$A$305,0))="Portfolio"),1,0),0),0)))</f>
        <v/>
      </c>
      <c r="AA294" s="31">
        <f>IF(AND($A294&lt;&gt;"",$E294="",OR($Q294=1,$D294="Proposed")),1,0)</f>
        <v/>
      </c>
      <c r="AB294" s="31">
        <f>IF(AND($A294&lt;&gt;"",$B294="Program",$F294="",$Q294=1),1,0)</f>
        <v/>
      </c>
      <c r="AC294" s="31">
        <f>IF(OR($A294="",$D294="Completed",$D294="Terminated"),0,IF($C294="",1,IF($C294="Portfolio",0,IF($C294="Outside the portfolio",IF($Q294=1,2,0),IF($B294="Project",IF(IFERROR(INDEX($B$6:$B$305,MATCH($C294,$A$6:$A$305,0)),"")="Program",0,1),1)))))</f>
        <v/>
      </c>
      <c r="AD294" s="31">
        <f>IF(AND($A294&lt;&gt;"",OR($M294="■ Red",$M294="◧ Amber"),$L294=""),1,0)</f>
        <v/>
      </c>
      <c r="AE294" s="31">
        <f>$AA294+$AB294+IF($AC294&gt;0,1,0)+$AD294</f>
        <v/>
      </c>
      <c r="AJ294" s="14" t="n"/>
      <c r="AK294" s="29" t="n"/>
      <c r="AL294" s="31">
        <f>IF(AND($Q294=1,$Z294=1),1,0)</f>
        <v/>
      </c>
      <c r="AM294" s="31">
        <f>IF(AND($AL294=1,$AJ294&lt;&gt;""),MAX(0,TODAY()-$AJ294),"")</f>
        <v/>
      </c>
      <c r="AN294" s="31">
        <f>IF(OR($AL294=0,COUNT($AJ$6:$AJ$305)=0),0,IF($AJ294="",1,IF(TODAY()-$AJ294&gt;Board!$B$40,1,0)))</f>
        <v/>
      </c>
      <c r="AO294" s="31">
        <f>IF($AL294=0,0,IF($M294="■ Red",3,IF($M294="◧ Amber",2,IF($M294="□ On track",1,0))))</f>
        <v/>
      </c>
      <c r="AP294" s="31">
        <f>IF($AL294=0,0,IF($AK294="Will not hold",3,IF($AK294="At risk",2,IF($AK294="Will hold",1,0))))</f>
        <v/>
      </c>
      <c r="AQ294" s="31">
        <f>IF($AL294=0,"",IF($AO294=3,0,IF($AO294=2,1,IF(AND($AP294&gt;=2,$AP294&gt;$AO294),2,""))))</f>
        <v/>
      </c>
      <c r="AR294" s="31">
        <f>IF($AQ294="","",$AQ294*1000+294)</f>
        <v/>
      </c>
      <c r="AS294" s="31">
        <f>IF(AND($AL294=1,$AO294&gt;=2,$AP294&gt;=1,$AP294&lt;$AO294),1,0)</f>
        <v/>
      </c>
      <c r="AT294" s="31">
        <f>IF(AND($AL294=1,$AO294&gt;=2,$AP294=0),1,0)</f>
        <v/>
      </c>
      <c r="AU294" s="31">
        <f>IF(AND($AL294=1,$U294&lt;&gt;"",$U294&lt;TODAY()),1,0)</f>
        <v/>
      </c>
      <c r="AV294" s="31">
        <f>IF(OR($A294="",$AJ294="",Portfolio!$B$10=""),0,IF($AJ294&lt;=Portfolio!$B$10,0,IF(AND($D294="Completed",$Z294=1),1,IF(AND($D294="Terminated",$Z294=1),2,IF(AND($Q294=1,$Z294=0),3,0)))))</f>
        <v/>
      </c>
      <c r="AW294" s="31">
        <f>IF($AV294&gt;0,COUNTIF($AV$6:$AV294,"&gt;0"),"")</f>
        <v/>
      </c>
      <c r="AX294" s="31">
        <f>IF($AL294=0,"",IF(AND($B294="Project",$H294&lt;&gt;"",$H294&lt;TODAY()),"Planned finish "&amp;TEXT($H294,"d mmm")&amp;" has passed",IF($X294&gt;=2,(NETWORKDAYS($H294,$U294)-1)&amp;" working days past plan","")))</f>
        <v/>
      </c>
      <c r="AY294" s="31">
        <f>IF($AL294=0,"",IF($Y294&gt;=2,"Over budget by "&amp;TEXT(IF($B294="Program",$V294,$J294)-$K294,"#,##0"),""))</f>
        <v/>
      </c>
      <c r="AZ294" s="31">
        <f>IF(AND($AL294=1,$U294&lt;&gt;""),IF(AND(N($U294)&gt;=TODAY(),N($U294)&lt;=TODAY()+Board!$B$41),1,0),0)</f>
        <v/>
      </c>
    </row>
    <row r="295">
      <c r="A295" s="29" t="n"/>
      <c r="B295" s="29" t="n"/>
      <c r="C295" s="29" t="n"/>
      <c r="D295" s="29" t="n"/>
      <c r="E295" s="29" t="n"/>
      <c r="F295" s="29" t="n"/>
      <c r="G295" s="29" t="n"/>
      <c r="H295" s="30" t="n"/>
      <c r="I295" s="30" t="n"/>
      <c r="J295" s="19" t="n"/>
      <c r="K295" s="19" t="n"/>
      <c r="L295" s="26" t="n"/>
      <c r="M295" s="31">
        <f>IF($A295="","",IF($D295="","Not read",IF($Q295=0,"Not counted",IF(MAX($X295,$Y295)=3,"■ Red",IF(MAX($X295,$Y295)=2,"◧ Amber",IF(MAX($X295,$Y295)=1,"□ On track","Not read"))))))</f>
        <v/>
      </c>
      <c r="N295" s="31">
        <f>IF(OR($A295="",$B295&lt;&gt;"Program"),"","■ "&amp;COUNTIFS($C$6:$C$305,$A295,$M$6:$M$305,"■ Red")&amp;" Red, ◧ "&amp;COUNTIFS($C$6:$C$305,$A295,$M$6:$M$305,"◧ Amber")&amp;" Amber")</f>
        <v/>
      </c>
      <c r="O295" s="32">
        <f>IF(OR($A295="",$E295=""),"",COUNTIFS($E$6:$E$305,$E295,$D$6:$D$305,"Active")+COUNTIFS($E$6:$E$305,$E295,$D$6:$D$305,"Paused"))</f>
        <v/>
      </c>
      <c r="P295" s="31">
        <f>IF($A295="","",IF($AE295=0,"○ Clear",IF($AA295=1,"△ No owner",IF($AC295=1,"△ Check Sits under",IF($AC295=2,"△ Outside the portfolio",IF($AB295=1,"△ No sponsor","△ No variance note"))))&amp;IF($AE295&gt;1," (+"&amp;($AE295-1)&amp;" more)","")))</f>
        <v/>
      </c>
      <c r="Q295" s="31">
        <f>IF(AND($A295&lt;&gt;"",OR($D295="Active",$D295="Paused")),1,0)</f>
        <v/>
      </c>
      <c r="R295" s="31">
        <f>IFERROR(INDEX($A$6:$A$305,MATCH(288,$S$6:$S$305,0)),"")</f>
        <v/>
      </c>
      <c r="S295" s="31">
        <f>IF(AND($A295&lt;&gt;"",$B295="Program"),COUNTIFS($B$6:$B295,"Program",$A$6:$A295,"&lt;&gt;"),"")</f>
        <v/>
      </c>
      <c r="T295" s="33">
        <f>IF(AND($A295&lt;&gt;"",$B295="Program"),SUMPRODUCT(MAX(($C$6:$C$305=$A295)*($B$6:$B$305="Project")*($D$6:$D$305&lt;&gt;"Proposed")*$I$6:$I$305)),0)</f>
        <v/>
      </c>
      <c r="U295" s="33">
        <f>IF($I295&lt;&gt;"",$I295,IF($T295&gt;0,$T295,""))</f>
        <v/>
      </c>
      <c r="V295" s="31">
        <f>IF(AND($A295&lt;&gt;"",$B295="Program"),SUMIFS($J$6:$J$305,$C$6:$C$305,$A295,$B$6:$B$305,"Project",$D$6:$D$305,"&lt;&gt;Proposed"),0)</f>
        <v/>
      </c>
      <c r="W295" s="31">
        <f>IF(AND($A295&lt;&gt;"",$B295="Program"),COUNTIFS($C$6:$C$305,$A295,$B$6:$B$305,"Project",$D$6:$D$305,"&lt;&gt;Proposed")-COUNTIFS($C$6:$C$305,$A295,$B$6:$B$305,"Project",$D$6:$D$305,"&lt;&gt;Proposed",$J$6:$J$305,"&gt;=0"),0)</f>
        <v/>
      </c>
      <c r="X295" s="31">
        <f>IF(OR($Q295=0,$H295=""),0,IF(AND($B295="Project",$H295&lt;TODAY()),3,IF($U295="",0,IF($U295&lt;=$H295,1,IF(NETWORKDAYS($H295,$U295)-1&gt;IF($B295="Program",Portfolio!$B$16,Portfolio!$B$15),3,2)))))</f>
        <v/>
      </c>
      <c r="Y295" s="31">
        <f>IF(OR($Q295=0,$K295="",$K295=0),0,IF(AND($B295="Project",$J295=""),0,IF(IF($B295="Program",$V295,$J295)&gt;$K295*(1+Portfolio!$B$17),3,IF(IF($B295="Program",$V295,$J295)&gt;$K295,2,IF(AND($B295="Program",OR($W295&gt;0,$V295=0)),0,1)))))</f>
        <v/>
      </c>
      <c r="Z295" s="31">
        <f>IF($A295="",0,IF($C295="Portfolio",1,IF(AND($B295="Project",$C295&lt;&gt;"",$C295&lt;&gt;"Outside the portfolio"),IFERROR(IF(AND(INDEX($B$6:$B$305,MATCH($C295,$A$6:$A$305,0))="Program",INDEX($C$6:$C$305,MATCH($C295,$A$6:$A$305,0))="Portfolio"),1,0),0),0)))</f>
        <v/>
      </c>
      <c r="AA295" s="31">
        <f>IF(AND($A295&lt;&gt;"",$E295="",OR($Q295=1,$D295="Proposed")),1,0)</f>
        <v/>
      </c>
      <c r="AB295" s="31">
        <f>IF(AND($A295&lt;&gt;"",$B295="Program",$F295="",$Q295=1),1,0)</f>
        <v/>
      </c>
      <c r="AC295" s="31">
        <f>IF(OR($A295="",$D295="Completed",$D295="Terminated"),0,IF($C295="",1,IF($C295="Portfolio",0,IF($C295="Outside the portfolio",IF($Q295=1,2,0),IF($B295="Project",IF(IFERROR(INDEX($B$6:$B$305,MATCH($C295,$A$6:$A$305,0)),"")="Program",0,1),1)))))</f>
        <v/>
      </c>
      <c r="AD295" s="31">
        <f>IF(AND($A295&lt;&gt;"",OR($M295="■ Red",$M295="◧ Amber"),$L295=""),1,0)</f>
        <v/>
      </c>
      <c r="AE295" s="31">
        <f>$AA295+$AB295+IF($AC295&gt;0,1,0)+$AD295</f>
        <v/>
      </c>
      <c r="AJ295" s="14" t="n"/>
      <c r="AK295" s="29" t="n"/>
      <c r="AL295" s="31">
        <f>IF(AND($Q295=1,$Z295=1),1,0)</f>
        <v/>
      </c>
      <c r="AM295" s="31">
        <f>IF(AND($AL295=1,$AJ295&lt;&gt;""),MAX(0,TODAY()-$AJ295),"")</f>
        <v/>
      </c>
      <c r="AN295" s="31">
        <f>IF(OR($AL295=0,COUNT($AJ$6:$AJ$305)=0),0,IF($AJ295="",1,IF(TODAY()-$AJ295&gt;Board!$B$40,1,0)))</f>
        <v/>
      </c>
      <c r="AO295" s="31">
        <f>IF($AL295=0,0,IF($M295="■ Red",3,IF($M295="◧ Amber",2,IF($M295="□ On track",1,0))))</f>
        <v/>
      </c>
      <c r="AP295" s="31">
        <f>IF($AL295=0,0,IF($AK295="Will not hold",3,IF($AK295="At risk",2,IF($AK295="Will hold",1,0))))</f>
        <v/>
      </c>
      <c r="AQ295" s="31">
        <f>IF($AL295=0,"",IF($AO295=3,0,IF($AO295=2,1,IF(AND($AP295&gt;=2,$AP295&gt;$AO295),2,""))))</f>
        <v/>
      </c>
      <c r="AR295" s="31">
        <f>IF($AQ295="","",$AQ295*1000+295)</f>
        <v/>
      </c>
      <c r="AS295" s="31">
        <f>IF(AND($AL295=1,$AO295&gt;=2,$AP295&gt;=1,$AP295&lt;$AO295),1,0)</f>
        <v/>
      </c>
      <c r="AT295" s="31">
        <f>IF(AND($AL295=1,$AO295&gt;=2,$AP295=0),1,0)</f>
        <v/>
      </c>
      <c r="AU295" s="31">
        <f>IF(AND($AL295=1,$U295&lt;&gt;"",$U295&lt;TODAY()),1,0)</f>
        <v/>
      </c>
      <c r="AV295" s="31">
        <f>IF(OR($A295="",$AJ295="",Portfolio!$B$10=""),0,IF($AJ295&lt;=Portfolio!$B$10,0,IF(AND($D295="Completed",$Z295=1),1,IF(AND($D295="Terminated",$Z295=1),2,IF(AND($Q295=1,$Z295=0),3,0)))))</f>
        <v/>
      </c>
      <c r="AW295" s="31">
        <f>IF($AV295&gt;0,COUNTIF($AV$6:$AV295,"&gt;0"),"")</f>
        <v/>
      </c>
      <c r="AX295" s="31">
        <f>IF($AL295=0,"",IF(AND($B295="Project",$H295&lt;&gt;"",$H295&lt;TODAY()),"Planned finish "&amp;TEXT($H295,"d mmm")&amp;" has passed",IF($X295&gt;=2,(NETWORKDAYS($H295,$U295)-1)&amp;" working days past plan","")))</f>
        <v/>
      </c>
      <c r="AY295" s="31">
        <f>IF($AL295=0,"",IF($Y295&gt;=2,"Over budget by "&amp;TEXT(IF($B295="Program",$V295,$J295)-$K295,"#,##0"),""))</f>
        <v/>
      </c>
      <c r="AZ295" s="31">
        <f>IF(AND($AL295=1,$U295&lt;&gt;""),IF(AND(N($U295)&gt;=TODAY(),N($U295)&lt;=TODAY()+Board!$B$41),1,0),0)</f>
        <v/>
      </c>
    </row>
    <row r="296">
      <c r="A296" s="29" t="n"/>
      <c r="B296" s="29" t="n"/>
      <c r="C296" s="29" t="n"/>
      <c r="D296" s="29" t="n"/>
      <c r="E296" s="29" t="n"/>
      <c r="F296" s="29" t="n"/>
      <c r="G296" s="29" t="n"/>
      <c r="H296" s="30" t="n"/>
      <c r="I296" s="30" t="n"/>
      <c r="J296" s="19" t="n"/>
      <c r="K296" s="19" t="n"/>
      <c r="L296" s="26" t="n"/>
      <c r="M296" s="31">
        <f>IF($A296="","",IF($D296="","Not read",IF($Q296=0,"Not counted",IF(MAX($X296,$Y296)=3,"■ Red",IF(MAX($X296,$Y296)=2,"◧ Amber",IF(MAX($X296,$Y296)=1,"□ On track","Not read"))))))</f>
        <v/>
      </c>
      <c r="N296" s="31">
        <f>IF(OR($A296="",$B296&lt;&gt;"Program"),"","■ "&amp;COUNTIFS($C$6:$C$305,$A296,$M$6:$M$305,"■ Red")&amp;" Red, ◧ "&amp;COUNTIFS($C$6:$C$305,$A296,$M$6:$M$305,"◧ Amber")&amp;" Amber")</f>
        <v/>
      </c>
      <c r="O296" s="32">
        <f>IF(OR($A296="",$E296=""),"",COUNTIFS($E$6:$E$305,$E296,$D$6:$D$305,"Active")+COUNTIFS($E$6:$E$305,$E296,$D$6:$D$305,"Paused"))</f>
        <v/>
      </c>
      <c r="P296" s="31">
        <f>IF($A296="","",IF($AE296=0,"○ Clear",IF($AA296=1,"△ No owner",IF($AC296=1,"△ Check Sits under",IF($AC296=2,"△ Outside the portfolio",IF($AB296=1,"△ No sponsor","△ No variance note"))))&amp;IF($AE296&gt;1," (+"&amp;($AE296-1)&amp;" more)","")))</f>
        <v/>
      </c>
      <c r="Q296" s="31">
        <f>IF(AND($A296&lt;&gt;"",OR($D296="Active",$D296="Paused")),1,0)</f>
        <v/>
      </c>
      <c r="R296" s="31">
        <f>IFERROR(INDEX($A$6:$A$305,MATCH(289,$S$6:$S$305,0)),"")</f>
        <v/>
      </c>
      <c r="S296" s="31">
        <f>IF(AND($A296&lt;&gt;"",$B296="Program"),COUNTIFS($B$6:$B296,"Program",$A$6:$A296,"&lt;&gt;"),"")</f>
        <v/>
      </c>
      <c r="T296" s="33">
        <f>IF(AND($A296&lt;&gt;"",$B296="Program"),SUMPRODUCT(MAX(($C$6:$C$305=$A296)*($B$6:$B$305="Project")*($D$6:$D$305&lt;&gt;"Proposed")*$I$6:$I$305)),0)</f>
        <v/>
      </c>
      <c r="U296" s="33">
        <f>IF($I296&lt;&gt;"",$I296,IF($T296&gt;0,$T296,""))</f>
        <v/>
      </c>
      <c r="V296" s="31">
        <f>IF(AND($A296&lt;&gt;"",$B296="Program"),SUMIFS($J$6:$J$305,$C$6:$C$305,$A296,$B$6:$B$305,"Project",$D$6:$D$305,"&lt;&gt;Proposed"),0)</f>
        <v/>
      </c>
      <c r="W296" s="31">
        <f>IF(AND($A296&lt;&gt;"",$B296="Program"),COUNTIFS($C$6:$C$305,$A296,$B$6:$B$305,"Project",$D$6:$D$305,"&lt;&gt;Proposed")-COUNTIFS($C$6:$C$305,$A296,$B$6:$B$305,"Project",$D$6:$D$305,"&lt;&gt;Proposed",$J$6:$J$305,"&gt;=0"),0)</f>
        <v/>
      </c>
      <c r="X296" s="31">
        <f>IF(OR($Q296=0,$H296=""),0,IF(AND($B296="Project",$H296&lt;TODAY()),3,IF($U296="",0,IF($U296&lt;=$H296,1,IF(NETWORKDAYS($H296,$U296)-1&gt;IF($B296="Program",Portfolio!$B$16,Portfolio!$B$15),3,2)))))</f>
        <v/>
      </c>
      <c r="Y296" s="31">
        <f>IF(OR($Q296=0,$K296="",$K296=0),0,IF(AND($B296="Project",$J296=""),0,IF(IF($B296="Program",$V296,$J296)&gt;$K296*(1+Portfolio!$B$17),3,IF(IF($B296="Program",$V296,$J296)&gt;$K296,2,IF(AND($B296="Program",OR($W296&gt;0,$V296=0)),0,1)))))</f>
        <v/>
      </c>
      <c r="Z296" s="31">
        <f>IF($A296="",0,IF($C296="Portfolio",1,IF(AND($B296="Project",$C296&lt;&gt;"",$C296&lt;&gt;"Outside the portfolio"),IFERROR(IF(AND(INDEX($B$6:$B$305,MATCH($C296,$A$6:$A$305,0))="Program",INDEX($C$6:$C$305,MATCH($C296,$A$6:$A$305,0))="Portfolio"),1,0),0),0)))</f>
        <v/>
      </c>
      <c r="AA296" s="31">
        <f>IF(AND($A296&lt;&gt;"",$E296="",OR($Q296=1,$D296="Proposed")),1,0)</f>
        <v/>
      </c>
      <c r="AB296" s="31">
        <f>IF(AND($A296&lt;&gt;"",$B296="Program",$F296="",$Q296=1),1,0)</f>
        <v/>
      </c>
      <c r="AC296" s="31">
        <f>IF(OR($A296="",$D296="Completed",$D296="Terminated"),0,IF($C296="",1,IF($C296="Portfolio",0,IF($C296="Outside the portfolio",IF($Q296=1,2,0),IF($B296="Project",IF(IFERROR(INDEX($B$6:$B$305,MATCH($C296,$A$6:$A$305,0)),"")="Program",0,1),1)))))</f>
        <v/>
      </c>
      <c r="AD296" s="31">
        <f>IF(AND($A296&lt;&gt;"",OR($M296="■ Red",$M296="◧ Amber"),$L296=""),1,0)</f>
        <v/>
      </c>
      <c r="AE296" s="31">
        <f>$AA296+$AB296+IF($AC296&gt;0,1,0)+$AD296</f>
        <v/>
      </c>
      <c r="AJ296" s="14" t="n"/>
      <c r="AK296" s="29" t="n"/>
      <c r="AL296" s="31">
        <f>IF(AND($Q296=1,$Z296=1),1,0)</f>
        <v/>
      </c>
      <c r="AM296" s="31">
        <f>IF(AND($AL296=1,$AJ296&lt;&gt;""),MAX(0,TODAY()-$AJ296),"")</f>
        <v/>
      </c>
      <c r="AN296" s="31">
        <f>IF(OR($AL296=0,COUNT($AJ$6:$AJ$305)=0),0,IF($AJ296="",1,IF(TODAY()-$AJ296&gt;Board!$B$40,1,0)))</f>
        <v/>
      </c>
      <c r="AO296" s="31">
        <f>IF($AL296=0,0,IF($M296="■ Red",3,IF($M296="◧ Amber",2,IF($M296="□ On track",1,0))))</f>
        <v/>
      </c>
      <c r="AP296" s="31">
        <f>IF($AL296=0,0,IF($AK296="Will not hold",3,IF($AK296="At risk",2,IF($AK296="Will hold",1,0))))</f>
        <v/>
      </c>
      <c r="AQ296" s="31">
        <f>IF($AL296=0,"",IF($AO296=3,0,IF($AO296=2,1,IF(AND($AP296&gt;=2,$AP296&gt;$AO296),2,""))))</f>
        <v/>
      </c>
      <c r="AR296" s="31">
        <f>IF($AQ296="","",$AQ296*1000+296)</f>
        <v/>
      </c>
      <c r="AS296" s="31">
        <f>IF(AND($AL296=1,$AO296&gt;=2,$AP296&gt;=1,$AP296&lt;$AO296),1,0)</f>
        <v/>
      </c>
      <c r="AT296" s="31">
        <f>IF(AND($AL296=1,$AO296&gt;=2,$AP296=0),1,0)</f>
        <v/>
      </c>
      <c r="AU296" s="31">
        <f>IF(AND($AL296=1,$U296&lt;&gt;"",$U296&lt;TODAY()),1,0)</f>
        <v/>
      </c>
      <c r="AV296" s="31">
        <f>IF(OR($A296="",$AJ296="",Portfolio!$B$10=""),0,IF($AJ296&lt;=Portfolio!$B$10,0,IF(AND($D296="Completed",$Z296=1),1,IF(AND($D296="Terminated",$Z296=1),2,IF(AND($Q296=1,$Z296=0),3,0)))))</f>
        <v/>
      </c>
      <c r="AW296" s="31">
        <f>IF($AV296&gt;0,COUNTIF($AV$6:$AV296,"&gt;0"),"")</f>
        <v/>
      </c>
      <c r="AX296" s="31">
        <f>IF($AL296=0,"",IF(AND($B296="Project",$H296&lt;&gt;"",$H296&lt;TODAY()),"Planned finish "&amp;TEXT($H296,"d mmm")&amp;" has passed",IF($X296&gt;=2,(NETWORKDAYS($H296,$U296)-1)&amp;" working days past plan","")))</f>
        <v/>
      </c>
      <c r="AY296" s="31">
        <f>IF($AL296=0,"",IF($Y296&gt;=2,"Over budget by "&amp;TEXT(IF($B296="Program",$V296,$J296)-$K296,"#,##0"),""))</f>
        <v/>
      </c>
      <c r="AZ296" s="31">
        <f>IF(AND($AL296=1,$U296&lt;&gt;""),IF(AND(N($U296)&gt;=TODAY(),N($U296)&lt;=TODAY()+Board!$B$41),1,0),0)</f>
        <v/>
      </c>
    </row>
    <row r="297">
      <c r="A297" s="29" t="n"/>
      <c r="B297" s="29" t="n"/>
      <c r="C297" s="29" t="n"/>
      <c r="D297" s="29" t="n"/>
      <c r="E297" s="29" t="n"/>
      <c r="F297" s="29" t="n"/>
      <c r="G297" s="29" t="n"/>
      <c r="H297" s="30" t="n"/>
      <c r="I297" s="30" t="n"/>
      <c r="J297" s="19" t="n"/>
      <c r="K297" s="19" t="n"/>
      <c r="L297" s="26" t="n"/>
      <c r="M297" s="31">
        <f>IF($A297="","",IF($D297="","Not read",IF($Q297=0,"Not counted",IF(MAX($X297,$Y297)=3,"■ Red",IF(MAX($X297,$Y297)=2,"◧ Amber",IF(MAX($X297,$Y297)=1,"□ On track","Not read"))))))</f>
        <v/>
      </c>
      <c r="N297" s="31">
        <f>IF(OR($A297="",$B297&lt;&gt;"Program"),"","■ "&amp;COUNTIFS($C$6:$C$305,$A297,$M$6:$M$305,"■ Red")&amp;" Red, ◧ "&amp;COUNTIFS($C$6:$C$305,$A297,$M$6:$M$305,"◧ Amber")&amp;" Amber")</f>
        <v/>
      </c>
      <c r="O297" s="32">
        <f>IF(OR($A297="",$E297=""),"",COUNTIFS($E$6:$E$305,$E297,$D$6:$D$305,"Active")+COUNTIFS($E$6:$E$305,$E297,$D$6:$D$305,"Paused"))</f>
        <v/>
      </c>
      <c r="P297" s="31">
        <f>IF($A297="","",IF($AE297=0,"○ Clear",IF($AA297=1,"△ No owner",IF($AC297=1,"△ Check Sits under",IF($AC297=2,"△ Outside the portfolio",IF($AB297=1,"△ No sponsor","△ No variance note"))))&amp;IF($AE297&gt;1," (+"&amp;($AE297-1)&amp;" more)","")))</f>
        <v/>
      </c>
      <c r="Q297" s="31">
        <f>IF(AND($A297&lt;&gt;"",OR($D297="Active",$D297="Paused")),1,0)</f>
        <v/>
      </c>
      <c r="R297" s="31">
        <f>IFERROR(INDEX($A$6:$A$305,MATCH(290,$S$6:$S$305,0)),"")</f>
        <v/>
      </c>
      <c r="S297" s="31">
        <f>IF(AND($A297&lt;&gt;"",$B297="Program"),COUNTIFS($B$6:$B297,"Program",$A$6:$A297,"&lt;&gt;"),"")</f>
        <v/>
      </c>
      <c r="T297" s="33">
        <f>IF(AND($A297&lt;&gt;"",$B297="Program"),SUMPRODUCT(MAX(($C$6:$C$305=$A297)*($B$6:$B$305="Project")*($D$6:$D$305&lt;&gt;"Proposed")*$I$6:$I$305)),0)</f>
        <v/>
      </c>
      <c r="U297" s="33">
        <f>IF($I297&lt;&gt;"",$I297,IF($T297&gt;0,$T297,""))</f>
        <v/>
      </c>
      <c r="V297" s="31">
        <f>IF(AND($A297&lt;&gt;"",$B297="Program"),SUMIFS($J$6:$J$305,$C$6:$C$305,$A297,$B$6:$B$305,"Project",$D$6:$D$305,"&lt;&gt;Proposed"),0)</f>
        <v/>
      </c>
      <c r="W297" s="31">
        <f>IF(AND($A297&lt;&gt;"",$B297="Program"),COUNTIFS($C$6:$C$305,$A297,$B$6:$B$305,"Project",$D$6:$D$305,"&lt;&gt;Proposed")-COUNTIFS($C$6:$C$305,$A297,$B$6:$B$305,"Project",$D$6:$D$305,"&lt;&gt;Proposed",$J$6:$J$305,"&gt;=0"),0)</f>
        <v/>
      </c>
      <c r="X297" s="31">
        <f>IF(OR($Q297=0,$H297=""),0,IF(AND($B297="Project",$H297&lt;TODAY()),3,IF($U297="",0,IF($U297&lt;=$H297,1,IF(NETWORKDAYS($H297,$U297)-1&gt;IF($B297="Program",Portfolio!$B$16,Portfolio!$B$15),3,2)))))</f>
        <v/>
      </c>
      <c r="Y297" s="31">
        <f>IF(OR($Q297=0,$K297="",$K297=0),0,IF(AND($B297="Project",$J297=""),0,IF(IF($B297="Program",$V297,$J297)&gt;$K297*(1+Portfolio!$B$17),3,IF(IF($B297="Program",$V297,$J297)&gt;$K297,2,IF(AND($B297="Program",OR($W297&gt;0,$V297=0)),0,1)))))</f>
        <v/>
      </c>
      <c r="Z297" s="31">
        <f>IF($A297="",0,IF($C297="Portfolio",1,IF(AND($B297="Project",$C297&lt;&gt;"",$C297&lt;&gt;"Outside the portfolio"),IFERROR(IF(AND(INDEX($B$6:$B$305,MATCH($C297,$A$6:$A$305,0))="Program",INDEX($C$6:$C$305,MATCH($C297,$A$6:$A$305,0))="Portfolio"),1,0),0),0)))</f>
        <v/>
      </c>
      <c r="AA297" s="31">
        <f>IF(AND($A297&lt;&gt;"",$E297="",OR($Q297=1,$D297="Proposed")),1,0)</f>
        <v/>
      </c>
      <c r="AB297" s="31">
        <f>IF(AND($A297&lt;&gt;"",$B297="Program",$F297="",$Q297=1),1,0)</f>
        <v/>
      </c>
      <c r="AC297" s="31">
        <f>IF(OR($A297="",$D297="Completed",$D297="Terminated"),0,IF($C297="",1,IF($C297="Portfolio",0,IF($C297="Outside the portfolio",IF($Q297=1,2,0),IF($B297="Project",IF(IFERROR(INDEX($B$6:$B$305,MATCH($C297,$A$6:$A$305,0)),"")="Program",0,1),1)))))</f>
        <v/>
      </c>
      <c r="AD297" s="31">
        <f>IF(AND($A297&lt;&gt;"",OR($M297="■ Red",$M297="◧ Amber"),$L297=""),1,0)</f>
        <v/>
      </c>
      <c r="AE297" s="31">
        <f>$AA297+$AB297+IF($AC297&gt;0,1,0)+$AD297</f>
        <v/>
      </c>
      <c r="AJ297" s="14" t="n"/>
      <c r="AK297" s="29" t="n"/>
      <c r="AL297" s="31">
        <f>IF(AND($Q297=1,$Z297=1),1,0)</f>
        <v/>
      </c>
      <c r="AM297" s="31">
        <f>IF(AND($AL297=1,$AJ297&lt;&gt;""),MAX(0,TODAY()-$AJ297),"")</f>
        <v/>
      </c>
      <c r="AN297" s="31">
        <f>IF(OR($AL297=0,COUNT($AJ$6:$AJ$305)=0),0,IF($AJ297="",1,IF(TODAY()-$AJ297&gt;Board!$B$40,1,0)))</f>
        <v/>
      </c>
      <c r="AO297" s="31">
        <f>IF($AL297=0,0,IF($M297="■ Red",3,IF($M297="◧ Amber",2,IF($M297="□ On track",1,0))))</f>
        <v/>
      </c>
      <c r="AP297" s="31">
        <f>IF($AL297=0,0,IF($AK297="Will not hold",3,IF($AK297="At risk",2,IF($AK297="Will hold",1,0))))</f>
        <v/>
      </c>
      <c r="AQ297" s="31">
        <f>IF($AL297=0,"",IF($AO297=3,0,IF($AO297=2,1,IF(AND($AP297&gt;=2,$AP297&gt;$AO297),2,""))))</f>
        <v/>
      </c>
      <c r="AR297" s="31">
        <f>IF($AQ297="","",$AQ297*1000+297)</f>
        <v/>
      </c>
      <c r="AS297" s="31">
        <f>IF(AND($AL297=1,$AO297&gt;=2,$AP297&gt;=1,$AP297&lt;$AO297),1,0)</f>
        <v/>
      </c>
      <c r="AT297" s="31">
        <f>IF(AND($AL297=1,$AO297&gt;=2,$AP297=0),1,0)</f>
        <v/>
      </c>
      <c r="AU297" s="31">
        <f>IF(AND($AL297=1,$U297&lt;&gt;"",$U297&lt;TODAY()),1,0)</f>
        <v/>
      </c>
      <c r="AV297" s="31">
        <f>IF(OR($A297="",$AJ297="",Portfolio!$B$10=""),0,IF($AJ297&lt;=Portfolio!$B$10,0,IF(AND($D297="Completed",$Z297=1),1,IF(AND($D297="Terminated",$Z297=1),2,IF(AND($Q297=1,$Z297=0),3,0)))))</f>
        <v/>
      </c>
      <c r="AW297" s="31">
        <f>IF($AV297&gt;0,COUNTIF($AV$6:$AV297,"&gt;0"),"")</f>
        <v/>
      </c>
      <c r="AX297" s="31">
        <f>IF($AL297=0,"",IF(AND($B297="Project",$H297&lt;&gt;"",$H297&lt;TODAY()),"Planned finish "&amp;TEXT($H297,"d mmm")&amp;" has passed",IF($X297&gt;=2,(NETWORKDAYS($H297,$U297)-1)&amp;" working days past plan","")))</f>
        <v/>
      </c>
      <c r="AY297" s="31">
        <f>IF($AL297=0,"",IF($Y297&gt;=2,"Over budget by "&amp;TEXT(IF($B297="Program",$V297,$J297)-$K297,"#,##0"),""))</f>
        <v/>
      </c>
      <c r="AZ297" s="31">
        <f>IF(AND($AL297=1,$U297&lt;&gt;""),IF(AND(N($U297)&gt;=TODAY(),N($U297)&lt;=TODAY()+Board!$B$41),1,0),0)</f>
        <v/>
      </c>
    </row>
    <row r="298">
      <c r="A298" s="29" t="n"/>
      <c r="B298" s="29" t="n"/>
      <c r="C298" s="29" t="n"/>
      <c r="D298" s="29" t="n"/>
      <c r="E298" s="29" t="n"/>
      <c r="F298" s="29" t="n"/>
      <c r="G298" s="29" t="n"/>
      <c r="H298" s="30" t="n"/>
      <c r="I298" s="30" t="n"/>
      <c r="J298" s="19" t="n"/>
      <c r="K298" s="19" t="n"/>
      <c r="L298" s="26" t="n"/>
      <c r="M298" s="31">
        <f>IF($A298="","",IF($D298="","Not read",IF($Q298=0,"Not counted",IF(MAX($X298,$Y298)=3,"■ Red",IF(MAX($X298,$Y298)=2,"◧ Amber",IF(MAX($X298,$Y298)=1,"□ On track","Not read"))))))</f>
        <v/>
      </c>
      <c r="N298" s="31">
        <f>IF(OR($A298="",$B298&lt;&gt;"Program"),"","■ "&amp;COUNTIFS($C$6:$C$305,$A298,$M$6:$M$305,"■ Red")&amp;" Red, ◧ "&amp;COUNTIFS($C$6:$C$305,$A298,$M$6:$M$305,"◧ Amber")&amp;" Amber")</f>
        <v/>
      </c>
      <c r="O298" s="32">
        <f>IF(OR($A298="",$E298=""),"",COUNTIFS($E$6:$E$305,$E298,$D$6:$D$305,"Active")+COUNTIFS($E$6:$E$305,$E298,$D$6:$D$305,"Paused"))</f>
        <v/>
      </c>
      <c r="P298" s="31">
        <f>IF($A298="","",IF($AE298=0,"○ Clear",IF($AA298=1,"△ No owner",IF($AC298=1,"△ Check Sits under",IF($AC298=2,"△ Outside the portfolio",IF($AB298=1,"△ No sponsor","△ No variance note"))))&amp;IF($AE298&gt;1," (+"&amp;($AE298-1)&amp;" more)","")))</f>
        <v/>
      </c>
      <c r="Q298" s="31">
        <f>IF(AND($A298&lt;&gt;"",OR($D298="Active",$D298="Paused")),1,0)</f>
        <v/>
      </c>
      <c r="R298" s="31">
        <f>IFERROR(INDEX($A$6:$A$305,MATCH(291,$S$6:$S$305,0)),"")</f>
        <v/>
      </c>
      <c r="S298" s="31">
        <f>IF(AND($A298&lt;&gt;"",$B298="Program"),COUNTIFS($B$6:$B298,"Program",$A$6:$A298,"&lt;&gt;"),"")</f>
        <v/>
      </c>
      <c r="T298" s="33">
        <f>IF(AND($A298&lt;&gt;"",$B298="Program"),SUMPRODUCT(MAX(($C$6:$C$305=$A298)*($B$6:$B$305="Project")*($D$6:$D$305&lt;&gt;"Proposed")*$I$6:$I$305)),0)</f>
        <v/>
      </c>
      <c r="U298" s="33">
        <f>IF($I298&lt;&gt;"",$I298,IF($T298&gt;0,$T298,""))</f>
        <v/>
      </c>
      <c r="V298" s="31">
        <f>IF(AND($A298&lt;&gt;"",$B298="Program"),SUMIFS($J$6:$J$305,$C$6:$C$305,$A298,$B$6:$B$305,"Project",$D$6:$D$305,"&lt;&gt;Proposed"),0)</f>
        <v/>
      </c>
      <c r="W298" s="31">
        <f>IF(AND($A298&lt;&gt;"",$B298="Program"),COUNTIFS($C$6:$C$305,$A298,$B$6:$B$305,"Project",$D$6:$D$305,"&lt;&gt;Proposed")-COUNTIFS($C$6:$C$305,$A298,$B$6:$B$305,"Project",$D$6:$D$305,"&lt;&gt;Proposed",$J$6:$J$305,"&gt;=0"),0)</f>
        <v/>
      </c>
      <c r="X298" s="31">
        <f>IF(OR($Q298=0,$H298=""),0,IF(AND($B298="Project",$H298&lt;TODAY()),3,IF($U298="",0,IF($U298&lt;=$H298,1,IF(NETWORKDAYS($H298,$U298)-1&gt;IF($B298="Program",Portfolio!$B$16,Portfolio!$B$15),3,2)))))</f>
        <v/>
      </c>
      <c r="Y298" s="31">
        <f>IF(OR($Q298=0,$K298="",$K298=0),0,IF(AND($B298="Project",$J298=""),0,IF(IF($B298="Program",$V298,$J298)&gt;$K298*(1+Portfolio!$B$17),3,IF(IF($B298="Program",$V298,$J298)&gt;$K298,2,IF(AND($B298="Program",OR($W298&gt;0,$V298=0)),0,1)))))</f>
        <v/>
      </c>
      <c r="Z298" s="31">
        <f>IF($A298="",0,IF($C298="Portfolio",1,IF(AND($B298="Project",$C298&lt;&gt;"",$C298&lt;&gt;"Outside the portfolio"),IFERROR(IF(AND(INDEX($B$6:$B$305,MATCH($C298,$A$6:$A$305,0))="Program",INDEX($C$6:$C$305,MATCH($C298,$A$6:$A$305,0))="Portfolio"),1,0),0),0)))</f>
        <v/>
      </c>
      <c r="AA298" s="31">
        <f>IF(AND($A298&lt;&gt;"",$E298="",OR($Q298=1,$D298="Proposed")),1,0)</f>
        <v/>
      </c>
      <c r="AB298" s="31">
        <f>IF(AND($A298&lt;&gt;"",$B298="Program",$F298="",$Q298=1),1,0)</f>
        <v/>
      </c>
      <c r="AC298" s="31">
        <f>IF(OR($A298="",$D298="Completed",$D298="Terminated"),0,IF($C298="",1,IF($C298="Portfolio",0,IF($C298="Outside the portfolio",IF($Q298=1,2,0),IF($B298="Project",IF(IFERROR(INDEX($B$6:$B$305,MATCH($C298,$A$6:$A$305,0)),"")="Program",0,1),1)))))</f>
        <v/>
      </c>
      <c r="AD298" s="31">
        <f>IF(AND($A298&lt;&gt;"",OR($M298="■ Red",$M298="◧ Amber"),$L298=""),1,0)</f>
        <v/>
      </c>
      <c r="AE298" s="31">
        <f>$AA298+$AB298+IF($AC298&gt;0,1,0)+$AD298</f>
        <v/>
      </c>
      <c r="AJ298" s="14" t="n"/>
      <c r="AK298" s="29" t="n"/>
      <c r="AL298" s="31">
        <f>IF(AND($Q298=1,$Z298=1),1,0)</f>
        <v/>
      </c>
      <c r="AM298" s="31">
        <f>IF(AND($AL298=1,$AJ298&lt;&gt;""),MAX(0,TODAY()-$AJ298),"")</f>
        <v/>
      </c>
      <c r="AN298" s="31">
        <f>IF(OR($AL298=0,COUNT($AJ$6:$AJ$305)=0),0,IF($AJ298="",1,IF(TODAY()-$AJ298&gt;Board!$B$40,1,0)))</f>
        <v/>
      </c>
      <c r="AO298" s="31">
        <f>IF($AL298=0,0,IF($M298="■ Red",3,IF($M298="◧ Amber",2,IF($M298="□ On track",1,0))))</f>
        <v/>
      </c>
      <c r="AP298" s="31">
        <f>IF($AL298=0,0,IF($AK298="Will not hold",3,IF($AK298="At risk",2,IF($AK298="Will hold",1,0))))</f>
        <v/>
      </c>
      <c r="AQ298" s="31">
        <f>IF($AL298=0,"",IF($AO298=3,0,IF($AO298=2,1,IF(AND($AP298&gt;=2,$AP298&gt;$AO298),2,""))))</f>
        <v/>
      </c>
      <c r="AR298" s="31">
        <f>IF($AQ298="","",$AQ298*1000+298)</f>
        <v/>
      </c>
      <c r="AS298" s="31">
        <f>IF(AND($AL298=1,$AO298&gt;=2,$AP298&gt;=1,$AP298&lt;$AO298),1,0)</f>
        <v/>
      </c>
      <c r="AT298" s="31">
        <f>IF(AND($AL298=1,$AO298&gt;=2,$AP298=0),1,0)</f>
        <v/>
      </c>
      <c r="AU298" s="31">
        <f>IF(AND($AL298=1,$U298&lt;&gt;"",$U298&lt;TODAY()),1,0)</f>
        <v/>
      </c>
      <c r="AV298" s="31">
        <f>IF(OR($A298="",$AJ298="",Portfolio!$B$10=""),0,IF($AJ298&lt;=Portfolio!$B$10,0,IF(AND($D298="Completed",$Z298=1),1,IF(AND($D298="Terminated",$Z298=1),2,IF(AND($Q298=1,$Z298=0),3,0)))))</f>
        <v/>
      </c>
      <c r="AW298" s="31">
        <f>IF($AV298&gt;0,COUNTIF($AV$6:$AV298,"&gt;0"),"")</f>
        <v/>
      </c>
      <c r="AX298" s="31">
        <f>IF($AL298=0,"",IF(AND($B298="Project",$H298&lt;&gt;"",$H298&lt;TODAY()),"Planned finish "&amp;TEXT($H298,"d mmm")&amp;" has passed",IF($X298&gt;=2,(NETWORKDAYS($H298,$U298)-1)&amp;" working days past plan","")))</f>
        <v/>
      </c>
      <c r="AY298" s="31">
        <f>IF($AL298=0,"",IF($Y298&gt;=2,"Over budget by "&amp;TEXT(IF($B298="Program",$V298,$J298)-$K298,"#,##0"),""))</f>
        <v/>
      </c>
      <c r="AZ298" s="31">
        <f>IF(AND($AL298=1,$U298&lt;&gt;""),IF(AND(N($U298)&gt;=TODAY(),N($U298)&lt;=TODAY()+Board!$B$41),1,0),0)</f>
        <v/>
      </c>
    </row>
    <row r="299">
      <c r="A299" s="29" t="n"/>
      <c r="B299" s="29" t="n"/>
      <c r="C299" s="29" t="n"/>
      <c r="D299" s="29" t="n"/>
      <c r="E299" s="29" t="n"/>
      <c r="F299" s="29" t="n"/>
      <c r="G299" s="29" t="n"/>
      <c r="H299" s="30" t="n"/>
      <c r="I299" s="30" t="n"/>
      <c r="J299" s="19" t="n"/>
      <c r="K299" s="19" t="n"/>
      <c r="L299" s="26" t="n"/>
      <c r="M299" s="31">
        <f>IF($A299="","",IF($D299="","Not read",IF($Q299=0,"Not counted",IF(MAX($X299,$Y299)=3,"■ Red",IF(MAX($X299,$Y299)=2,"◧ Amber",IF(MAX($X299,$Y299)=1,"□ On track","Not read"))))))</f>
        <v/>
      </c>
      <c r="N299" s="31">
        <f>IF(OR($A299="",$B299&lt;&gt;"Program"),"","■ "&amp;COUNTIFS($C$6:$C$305,$A299,$M$6:$M$305,"■ Red")&amp;" Red, ◧ "&amp;COUNTIFS($C$6:$C$305,$A299,$M$6:$M$305,"◧ Amber")&amp;" Amber")</f>
        <v/>
      </c>
      <c r="O299" s="32">
        <f>IF(OR($A299="",$E299=""),"",COUNTIFS($E$6:$E$305,$E299,$D$6:$D$305,"Active")+COUNTIFS($E$6:$E$305,$E299,$D$6:$D$305,"Paused"))</f>
        <v/>
      </c>
      <c r="P299" s="31">
        <f>IF($A299="","",IF($AE299=0,"○ Clear",IF($AA299=1,"△ No owner",IF($AC299=1,"△ Check Sits under",IF($AC299=2,"△ Outside the portfolio",IF($AB299=1,"△ No sponsor","△ No variance note"))))&amp;IF($AE299&gt;1," (+"&amp;($AE299-1)&amp;" more)","")))</f>
        <v/>
      </c>
      <c r="Q299" s="31">
        <f>IF(AND($A299&lt;&gt;"",OR($D299="Active",$D299="Paused")),1,0)</f>
        <v/>
      </c>
      <c r="R299" s="31">
        <f>IFERROR(INDEX($A$6:$A$305,MATCH(292,$S$6:$S$305,0)),"")</f>
        <v/>
      </c>
      <c r="S299" s="31">
        <f>IF(AND($A299&lt;&gt;"",$B299="Program"),COUNTIFS($B$6:$B299,"Program",$A$6:$A299,"&lt;&gt;"),"")</f>
        <v/>
      </c>
      <c r="T299" s="33">
        <f>IF(AND($A299&lt;&gt;"",$B299="Program"),SUMPRODUCT(MAX(($C$6:$C$305=$A299)*($B$6:$B$305="Project")*($D$6:$D$305&lt;&gt;"Proposed")*$I$6:$I$305)),0)</f>
        <v/>
      </c>
      <c r="U299" s="33">
        <f>IF($I299&lt;&gt;"",$I299,IF($T299&gt;0,$T299,""))</f>
        <v/>
      </c>
      <c r="V299" s="31">
        <f>IF(AND($A299&lt;&gt;"",$B299="Program"),SUMIFS($J$6:$J$305,$C$6:$C$305,$A299,$B$6:$B$305,"Project",$D$6:$D$305,"&lt;&gt;Proposed"),0)</f>
        <v/>
      </c>
      <c r="W299" s="31">
        <f>IF(AND($A299&lt;&gt;"",$B299="Program"),COUNTIFS($C$6:$C$305,$A299,$B$6:$B$305,"Project",$D$6:$D$305,"&lt;&gt;Proposed")-COUNTIFS($C$6:$C$305,$A299,$B$6:$B$305,"Project",$D$6:$D$305,"&lt;&gt;Proposed",$J$6:$J$305,"&gt;=0"),0)</f>
        <v/>
      </c>
      <c r="X299" s="31">
        <f>IF(OR($Q299=0,$H299=""),0,IF(AND($B299="Project",$H299&lt;TODAY()),3,IF($U299="",0,IF($U299&lt;=$H299,1,IF(NETWORKDAYS($H299,$U299)-1&gt;IF($B299="Program",Portfolio!$B$16,Portfolio!$B$15),3,2)))))</f>
        <v/>
      </c>
      <c r="Y299" s="31">
        <f>IF(OR($Q299=0,$K299="",$K299=0),0,IF(AND($B299="Project",$J299=""),0,IF(IF($B299="Program",$V299,$J299)&gt;$K299*(1+Portfolio!$B$17),3,IF(IF($B299="Program",$V299,$J299)&gt;$K299,2,IF(AND($B299="Program",OR($W299&gt;0,$V299=0)),0,1)))))</f>
        <v/>
      </c>
      <c r="Z299" s="31">
        <f>IF($A299="",0,IF($C299="Portfolio",1,IF(AND($B299="Project",$C299&lt;&gt;"",$C299&lt;&gt;"Outside the portfolio"),IFERROR(IF(AND(INDEX($B$6:$B$305,MATCH($C299,$A$6:$A$305,0))="Program",INDEX($C$6:$C$305,MATCH($C299,$A$6:$A$305,0))="Portfolio"),1,0),0),0)))</f>
        <v/>
      </c>
      <c r="AA299" s="31">
        <f>IF(AND($A299&lt;&gt;"",$E299="",OR($Q299=1,$D299="Proposed")),1,0)</f>
        <v/>
      </c>
      <c r="AB299" s="31">
        <f>IF(AND($A299&lt;&gt;"",$B299="Program",$F299="",$Q299=1),1,0)</f>
        <v/>
      </c>
      <c r="AC299" s="31">
        <f>IF(OR($A299="",$D299="Completed",$D299="Terminated"),0,IF($C299="",1,IF($C299="Portfolio",0,IF($C299="Outside the portfolio",IF($Q299=1,2,0),IF($B299="Project",IF(IFERROR(INDEX($B$6:$B$305,MATCH($C299,$A$6:$A$305,0)),"")="Program",0,1),1)))))</f>
        <v/>
      </c>
      <c r="AD299" s="31">
        <f>IF(AND($A299&lt;&gt;"",OR($M299="■ Red",$M299="◧ Amber"),$L299=""),1,0)</f>
        <v/>
      </c>
      <c r="AE299" s="31">
        <f>$AA299+$AB299+IF($AC299&gt;0,1,0)+$AD299</f>
        <v/>
      </c>
      <c r="AJ299" s="14" t="n"/>
      <c r="AK299" s="29" t="n"/>
      <c r="AL299" s="31">
        <f>IF(AND($Q299=1,$Z299=1),1,0)</f>
        <v/>
      </c>
      <c r="AM299" s="31">
        <f>IF(AND($AL299=1,$AJ299&lt;&gt;""),MAX(0,TODAY()-$AJ299),"")</f>
        <v/>
      </c>
      <c r="AN299" s="31">
        <f>IF(OR($AL299=0,COUNT($AJ$6:$AJ$305)=0),0,IF($AJ299="",1,IF(TODAY()-$AJ299&gt;Board!$B$40,1,0)))</f>
        <v/>
      </c>
      <c r="AO299" s="31">
        <f>IF($AL299=0,0,IF($M299="■ Red",3,IF($M299="◧ Amber",2,IF($M299="□ On track",1,0))))</f>
        <v/>
      </c>
      <c r="AP299" s="31">
        <f>IF($AL299=0,0,IF($AK299="Will not hold",3,IF($AK299="At risk",2,IF($AK299="Will hold",1,0))))</f>
        <v/>
      </c>
      <c r="AQ299" s="31">
        <f>IF($AL299=0,"",IF($AO299=3,0,IF($AO299=2,1,IF(AND($AP299&gt;=2,$AP299&gt;$AO299),2,""))))</f>
        <v/>
      </c>
      <c r="AR299" s="31">
        <f>IF($AQ299="","",$AQ299*1000+299)</f>
        <v/>
      </c>
      <c r="AS299" s="31">
        <f>IF(AND($AL299=1,$AO299&gt;=2,$AP299&gt;=1,$AP299&lt;$AO299),1,0)</f>
        <v/>
      </c>
      <c r="AT299" s="31">
        <f>IF(AND($AL299=1,$AO299&gt;=2,$AP299=0),1,0)</f>
        <v/>
      </c>
      <c r="AU299" s="31">
        <f>IF(AND($AL299=1,$U299&lt;&gt;"",$U299&lt;TODAY()),1,0)</f>
        <v/>
      </c>
      <c r="AV299" s="31">
        <f>IF(OR($A299="",$AJ299="",Portfolio!$B$10=""),0,IF($AJ299&lt;=Portfolio!$B$10,0,IF(AND($D299="Completed",$Z299=1),1,IF(AND($D299="Terminated",$Z299=1),2,IF(AND($Q299=1,$Z299=0),3,0)))))</f>
        <v/>
      </c>
      <c r="AW299" s="31">
        <f>IF($AV299&gt;0,COUNTIF($AV$6:$AV299,"&gt;0"),"")</f>
        <v/>
      </c>
      <c r="AX299" s="31">
        <f>IF($AL299=0,"",IF(AND($B299="Project",$H299&lt;&gt;"",$H299&lt;TODAY()),"Planned finish "&amp;TEXT($H299,"d mmm")&amp;" has passed",IF($X299&gt;=2,(NETWORKDAYS($H299,$U299)-1)&amp;" working days past plan","")))</f>
        <v/>
      </c>
      <c r="AY299" s="31">
        <f>IF($AL299=0,"",IF($Y299&gt;=2,"Over budget by "&amp;TEXT(IF($B299="Program",$V299,$J299)-$K299,"#,##0"),""))</f>
        <v/>
      </c>
      <c r="AZ299" s="31">
        <f>IF(AND($AL299=1,$U299&lt;&gt;""),IF(AND(N($U299)&gt;=TODAY(),N($U299)&lt;=TODAY()+Board!$B$41),1,0),0)</f>
        <v/>
      </c>
    </row>
    <row r="300">
      <c r="A300" s="29" t="n"/>
      <c r="B300" s="29" t="n"/>
      <c r="C300" s="29" t="n"/>
      <c r="D300" s="29" t="n"/>
      <c r="E300" s="29" t="n"/>
      <c r="F300" s="29" t="n"/>
      <c r="G300" s="29" t="n"/>
      <c r="H300" s="30" t="n"/>
      <c r="I300" s="30" t="n"/>
      <c r="J300" s="19" t="n"/>
      <c r="K300" s="19" t="n"/>
      <c r="L300" s="26" t="n"/>
      <c r="M300" s="31">
        <f>IF($A300="","",IF($D300="","Not read",IF($Q300=0,"Not counted",IF(MAX($X300,$Y300)=3,"■ Red",IF(MAX($X300,$Y300)=2,"◧ Amber",IF(MAX($X300,$Y300)=1,"□ On track","Not read"))))))</f>
        <v/>
      </c>
      <c r="N300" s="31">
        <f>IF(OR($A300="",$B300&lt;&gt;"Program"),"","■ "&amp;COUNTIFS($C$6:$C$305,$A300,$M$6:$M$305,"■ Red")&amp;" Red, ◧ "&amp;COUNTIFS($C$6:$C$305,$A300,$M$6:$M$305,"◧ Amber")&amp;" Amber")</f>
        <v/>
      </c>
      <c r="O300" s="32">
        <f>IF(OR($A300="",$E300=""),"",COUNTIFS($E$6:$E$305,$E300,$D$6:$D$305,"Active")+COUNTIFS($E$6:$E$305,$E300,$D$6:$D$305,"Paused"))</f>
        <v/>
      </c>
      <c r="P300" s="31">
        <f>IF($A300="","",IF($AE300=0,"○ Clear",IF($AA300=1,"△ No owner",IF($AC300=1,"△ Check Sits under",IF($AC300=2,"△ Outside the portfolio",IF($AB300=1,"△ No sponsor","△ No variance note"))))&amp;IF($AE300&gt;1," (+"&amp;($AE300-1)&amp;" more)","")))</f>
        <v/>
      </c>
      <c r="Q300" s="31">
        <f>IF(AND($A300&lt;&gt;"",OR($D300="Active",$D300="Paused")),1,0)</f>
        <v/>
      </c>
      <c r="R300" s="31">
        <f>IFERROR(INDEX($A$6:$A$305,MATCH(293,$S$6:$S$305,0)),"")</f>
        <v/>
      </c>
      <c r="S300" s="31">
        <f>IF(AND($A300&lt;&gt;"",$B300="Program"),COUNTIFS($B$6:$B300,"Program",$A$6:$A300,"&lt;&gt;"),"")</f>
        <v/>
      </c>
      <c r="T300" s="33">
        <f>IF(AND($A300&lt;&gt;"",$B300="Program"),SUMPRODUCT(MAX(($C$6:$C$305=$A300)*($B$6:$B$305="Project")*($D$6:$D$305&lt;&gt;"Proposed")*$I$6:$I$305)),0)</f>
        <v/>
      </c>
      <c r="U300" s="33">
        <f>IF($I300&lt;&gt;"",$I300,IF($T300&gt;0,$T300,""))</f>
        <v/>
      </c>
      <c r="V300" s="31">
        <f>IF(AND($A300&lt;&gt;"",$B300="Program"),SUMIFS($J$6:$J$305,$C$6:$C$305,$A300,$B$6:$B$305,"Project",$D$6:$D$305,"&lt;&gt;Proposed"),0)</f>
        <v/>
      </c>
      <c r="W300" s="31">
        <f>IF(AND($A300&lt;&gt;"",$B300="Program"),COUNTIFS($C$6:$C$305,$A300,$B$6:$B$305,"Project",$D$6:$D$305,"&lt;&gt;Proposed")-COUNTIFS($C$6:$C$305,$A300,$B$6:$B$305,"Project",$D$6:$D$305,"&lt;&gt;Proposed",$J$6:$J$305,"&gt;=0"),0)</f>
        <v/>
      </c>
      <c r="X300" s="31">
        <f>IF(OR($Q300=0,$H300=""),0,IF(AND($B300="Project",$H300&lt;TODAY()),3,IF($U300="",0,IF($U300&lt;=$H300,1,IF(NETWORKDAYS($H300,$U300)-1&gt;IF($B300="Program",Portfolio!$B$16,Portfolio!$B$15),3,2)))))</f>
        <v/>
      </c>
      <c r="Y300" s="31">
        <f>IF(OR($Q300=0,$K300="",$K300=0),0,IF(AND($B300="Project",$J300=""),0,IF(IF($B300="Program",$V300,$J300)&gt;$K300*(1+Portfolio!$B$17),3,IF(IF($B300="Program",$V300,$J300)&gt;$K300,2,IF(AND($B300="Program",OR($W300&gt;0,$V300=0)),0,1)))))</f>
        <v/>
      </c>
      <c r="Z300" s="31">
        <f>IF($A300="",0,IF($C300="Portfolio",1,IF(AND($B300="Project",$C300&lt;&gt;"",$C300&lt;&gt;"Outside the portfolio"),IFERROR(IF(AND(INDEX($B$6:$B$305,MATCH($C300,$A$6:$A$305,0))="Program",INDEX($C$6:$C$305,MATCH($C300,$A$6:$A$305,0))="Portfolio"),1,0),0),0)))</f>
        <v/>
      </c>
      <c r="AA300" s="31">
        <f>IF(AND($A300&lt;&gt;"",$E300="",OR($Q300=1,$D300="Proposed")),1,0)</f>
        <v/>
      </c>
      <c r="AB300" s="31">
        <f>IF(AND($A300&lt;&gt;"",$B300="Program",$F300="",$Q300=1),1,0)</f>
        <v/>
      </c>
      <c r="AC300" s="31">
        <f>IF(OR($A300="",$D300="Completed",$D300="Terminated"),0,IF($C300="",1,IF($C300="Portfolio",0,IF($C300="Outside the portfolio",IF($Q300=1,2,0),IF($B300="Project",IF(IFERROR(INDEX($B$6:$B$305,MATCH($C300,$A$6:$A$305,0)),"")="Program",0,1),1)))))</f>
        <v/>
      </c>
      <c r="AD300" s="31">
        <f>IF(AND($A300&lt;&gt;"",OR($M300="■ Red",$M300="◧ Amber"),$L300=""),1,0)</f>
        <v/>
      </c>
      <c r="AE300" s="31">
        <f>$AA300+$AB300+IF($AC300&gt;0,1,0)+$AD300</f>
        <v/>
      </c>
      <c r="AJ300" s="14" t="n"/>
      <c r="AK300" s="29" t="n"/>
      <c r="AL300" s="31">
        <f>IF(AND($Q300=1,$Z300=1),1,0)</f>
        <v/>
      </c>
      <c r="AM300" s="31">
        <f>IF(AND($AL300=1,$AJ300&lt;&gt;""),MAX(0,TODAY()-$AJ300),"")</f>
        <v/>
      </c>
      <c r="AN300" s="31">
        <f>IF(OR($AL300=0,COUNT($AJ$6:$AJ$305)=0),0,IF($AJ300="",1,IF(TODAY()-$AJ300&gt;Board!$B$40,1,0)))</f>
        <v/>
      </c>
      <c r="AO300" s="31">
        <f>IF($AL300=0,0,IF($M300="■ Red",3,IF($M300="◧ Amber",2,IF($M300="□ On track",1,0))))</f>
        <v/>
      </c>
      <c r="AP300" s="31">
        <f>IF($AL300=0,0,IF($AK300="Will not hold",3,IF($AK300="At risk",2,IF($AK300="Will hold",1,0))))</f>
        <v/>
      </c>
      <c r="AQ300" s="31">
        <f>IF($AL300=0,"",IF($AO300=3,0,IF($AO300=2,1,IF(AND($AP300&gt;=2,$AP300&gt;$AO300),2,""))))</f>
        <v/>
      </c>
      <c r="AR300" s="31">
        <f>IF($AQ300="","",$AQ300*1000+300)</f>
        <v/>
      </c>
      <c r="AS300" s="31">
        <f>IF(AND($AL300=1,$AO300&gt;=2,$AP300&gt;=1,$AP300&lt;$AO300),1,0)</f>
        <v/>
      </c>
      <c r="AT300" s="31">
        <f>IF(AND($AL300=1,$AO300&gt;=2,$AP300=0),1,0)</f>
        <v/>
      </c>
      <c r="AU300" s="31">
        <f>IF(AND($AL300=1,$U300&lt;&gt;"",$U300&lt;TODAY()),1,0)</f>
        <v/>
      </c>
      <c r="AV300" s="31">
        <f>IF(OR($A300="",$AJ300="",Portfolio!$B$10=""),0,IF($AJ300&lt;=Portfolio!$B$10,0,IF(AND($D300="Completed",$Z300=1),1,IF(AND($D300="Terminated",$Z300=1),2,IF(AND($Q300=1,$Z300=0),3,0)))))</f>
        <v/>
      </c>
      <c r="AW300" s="31">
        <f>IF($AV300&gt;0,COUNTIF($AV$6:$AV300,"&gt;0"),"")</f>
        <v/>
      </c>
      <c r="AX300" s="31">
        <f>IF($AL300=0,"",IF(AND($B300="Project",$H300&lt;&gt;"",$H300&lt;TODAY()),"Planned finish "&amp;TEXT($H300,"d mmm")&amp;" has passed",IF($X300&gt;=2,(NETWORKDAYS($H300,$U300)-1)&amp;" working days past plan","")))</f>
        <v/>
      </c>
      <c r="AY300" s="31">
        <f>IF($AL300=0,"",IF($Y300&gt;=2,"Over budget by "&amp;TEXT(IF($B300="Program",$V300,$J300)-$K300,"#,##0"),""))</f>
        <v/>
      </c>
      <c r="AZ300" s="31">
        <f>IF(AND($AL300=1,$U300&lt;&gt;""),IF(AND(N($U300)&gt;=TODAY(),N($U300)&lt;=TODAY()+Board!$B$41),1,0),0)</f>
        <v/>
      </c>
    </row>
    <row r="301">
      <c r="A301" s="29" t="n"/>
      <c r="B301" s="29" t="n"/>
      <c r="C301" s="29" t="n"/>
      <c r="D301" s="29" t="n"/>
      <c r="E301" s="29" t="n"/>
      <c r="F301" s="29" t="n"/>
      <c r="G301" s="29" t="n"/>
      <c r="H301" s="30" t="n"/>
      <c r="I301" s="30" t="n"/>
      <c r="J301" s="19" t="n"/>
      <c r="K301" s="19" t="n"/>
      <c r="L301" s="26" t="n"/>
      <c r="M301" s="31">
        <f>IF($A301="","",IF($D301="","Not read",IF($Q301=0,"Not counted",IF(MAX($X301,$Y301)=3,"■ Red",IF(MAX($X301,$Y301)=2,"◧ Amber",IF(MAX($X301,$Y301)=1,"□ On track","Not read"))))))</f>
        <v/>
      </c>
      <c r="N301" s="31">
        <f>IF(OR($A301="",$B301&lt;&gt;"Program"),"","■ "&amp;COUNTIFS($C$6:$C$305,$A301,$M$6:$M$305,"■ Red")&amp;" Red, ◧ "&amp;COUNTIFS($C$6:$C$305,$A301,$M$6:$M$305,"◧ Amber")&amp;" Amber")</f>
        <v/>
      </c>
      <c r="O301" s="32">
        <f>IF(OR($A301="",$E301=""),"",COUNTIFS($E$6:$E$305,$E301,$D$6:$D$305,"Active")+COUNTIFS($E$6:$E$305,$E301,$D$6:$D$305,"Paused"))</f>
        <v/>
      </c>
      <c r="P301" s="31">
        <f>IF($A301="","",IF($AE301=0,"○ Clear",IF($AA301=1,"△ No owner",IF($AC301=1,"△ Check Sits under",IF($AC301=2,"△ Outside the portfolio",IF($AB301=1,"△ No sponsor","△ No variance note"))))&amp;IF($AE301&gt;1," (+"&amp;($AE301-1)&amp;" more)","")))</f>
        <v/>
      </c>
      <c r="Q301" s="31">
        <f>IF(AND($A301&lt;&gt;"",OR($D301="Active",$D301="Paused")),1,0)</f>
        <v/>
      </c>
      <c r="R301" s="31">
        <f>IFERROR(INDEX($A$6:$A$305,MATCH(294,$S$6:$S$305,0)),"")</f>
        <v/>
      </c>
      <c r="S301" s="31">
        <f>IF(AND($A301&lt;&gt;"",$B301="Program"),COUNTIFS($B$6:$B301,"Program",$A$6:$A301,"&lt;&gt;"),"")</f>
        <v/>
      </c>
      <c r="T301" s="33">
        <f>IF(AND($A301&lt;&gt;"",$B301="Program"),SUMPRODUCT(MAX(($C$6:$C$305=$A301)*($B$6:$B$305="Project")*($D$6:$D$305&lt;&gt;"Proposed")*$I$6:$I$305)),0)</f>
        <v/>
      </c>
      <c r="U301" s="33">
        <f>IF($I301&lt;&gt;"",$I301,IF($T301&gt;0,$T301,""))</f>
        <v/>
      </c>
      <c r="V301" s="31">
        <f>IF(AND($A301&lt;&gt;"",$B301="Program"),SUMIFS($J$6:$J$305,$C$6:$C$305,$A301,$B$6:$B$305,"Project",$D$6:$D$305,"&lt;&gt;Proposed"),0)</f>
        <v/>
      </c>
      <c r="W301" s="31">
        <f>IF(AND($A301&lt;&gt;"",$B301="Program"),COUNTIFS($C$6:$C$305,$A301,$B$6:$B$305,"Project",$D$6:$D$305,"&lt;&gt;Proposed")-COUNTIFS($C$6:$C$305,$A301,$B$6:$B$305,"Project",$D$6:$D$305,"&lt;&gt;Proposed",$J$6:$J$305,"&gt;=0"),0)</f>
        <v/>
      </c>
      <c r="X301" s="31">
        <f>IF(OR($Q301=0,$H301=""),0,IF(AND($B301="Project",$H301&lt;TODAY()),3,IF($U301="",0,IF($U301&lt;=$H301,1,IF(NETWORKDAYS($H301,$U301)-1&gt;IF($B301="Program",Portfolio!$B$16,Portfolio!$B$15),3,2)))))</f>
        <v/>
      </c>
      <c r="Y301" s="31">
        <f>IF(OR($Q301=0,$K301="",$K301=0),0,IF(AND($B301="Project",$J301=""),0,IF(IF($B301="Program",$V301,$J301)&gt;$K301*(1+Portfolio!$B$17),3,IF(IF($B301="Program",$V301,$J301)&gt;$K301,2,IF(AND($B301="Program",OR($W301&gt;0,$V301=0)),0,1)))))</f>
        <v/>
      </c>
      <c r="Z301" s="31">
        <f>IF($A301="",0,IF($C301="Portfolio",1,IF(AND($B301="Project",$C301&lt;&gt;"",$C301&lt;&gt;"Outside the portfolio"),IFERROR(IF(AND(INDEX($B$6:$B$305,MATCH($C301,$A$6:$A$305,0))="Program",INDEX($C$6:$C$305,MATCH($C301,$A$6:$A$305,0))="Portfolio"),1,0),0),0)))</f>
        <v/>
      </c>
      <c r="AA301" s="31">
        <f>IF(AND($A301&lt;&gt;"",$E301="",OR($Q301=1,$D301="Proposed")),1,0)</f>
        <v/>
      </c>
      <c r="AB301" s="31">
        <f>IF(AND($A301&lt;&gt;"",$B301="Program",$F301="",$Q301=1),1,0)</f>
        <v/>
      </c>
      <c r="AC301" s="31">
        <f>IF(OR($A301="",$D301="Completed",$D301="Terminated"),0,IF($C301="",1,IF($C301="Portfolio",0,IF($C301="Outside the portfolio",IF($Q301=1,2,0),IF($B301="Project",IF(IFERROR(INDEX($B$6:$B$305,MATCH($C301,$A$6:$A$305,0)),"")="Program",0,1),1)))))</f>
        <v/>
      </c>
      <c r="AD301" s="31">
        <f>IF(AND($A301&lt;&gt;"",OR($M301="■ Red",$M301="◧ Amber"),$L301=""),1,0)</f>
        <v/>
      </c>
      <c r="AE301" s="31">
        <f>$AA301+$AB301+IF($AC301&gt;0,1,0)+$AD301</f>
        <v/>
      </c>
      <c r="AJ301" s="14" t="n"/>
      <c r="AK301" s="29" t="n"/>
      <c r="AL301" s="31">
        <f>IF(AND($Q301=1,$Z301=1),1,0)</f>
        <v/>
      </c>
      <c r="AM301" s="31">
        <f>IF(AND($AL301=1,$AJ301&lt;&gt;""),MAX(0,TODAY()-$AJ301),"")</f>
        <v/>
      </c>
      <c r="AN301" s="31">
        <f>IF(OR($AL301=0,COUNT($AJ$6:$AJ$305)=0),0,IF($AJ301="",1,IF(TODAY()-$AJ301&gt;Board!$B$40,1,0)))</f>
        <v/>
      </c>
      <c r="AO301" s="31">
        <f>IF($AL301=0,0,IF($M301="■ Red",3,IF($M301="◧ Amber",2,IF($M301="□ On track",1,0))))</f>
        <v/>
      </c>
      <c r="AP301" s="31">
        <f>IF($AL301=0,0,IF($AK301="Will not hold",3,IF($AK301="At risk",2,IF($AK301="Will hold",1,0))))</f>
        <v/>
      </c>
      <c r="AQ301" s="31">
        <f>IF($AL301=0,"",IF($AO301=3,0,IF($AO301=2,1,IF(AND($AP301&gt;=2,$AP301&gt;$AO301),2,""))))</f>
        <v/>
      </c>
      <c r="AR301" s="31">
        <f>IF($AQ301="","",$AQ301*1000+301)</f>
        <v/>
      </c>
      <c r="AS301" s="31">
        <f>IF(AND($AL301=1,$AO301&gt;=2,$AP301&gt;=1,$AP301&lt;$AO301),1,0)</f>
        <v/>
      </c>
      <c r="AT301" s="31">
        <f>IF(AND($AL301=1,$AO301&gt;=2,$AP301=0),1,0)</f>
        <v/>
      </c>
      <c r="AU301" s="31">
        <f>IF(AND($AL301=1,$U301&lt;&gt;"",$U301&lt;TODAY()),1,0)</f>
        <v/>
      </c>
      <c r="AV301" s="31">
        <f>IF(OR($A301="",$AJ301="",Portfolio!$B$10=""),0,IF($AJ301&lt;=Portfolio!$B$10,0,IF(AND($D301="Completed",$Z301=1),1,IF(AND($D301="Terminated",$Z301=1),2,IF(AND($Q301=1,$Z301=0),3,0)))))</f>
        <v/>
      </c>
      <c r="AW301" s="31">
        <f>IF($AV301&gt;0,COUNTIF($AV$6:$AV301,"&gt;0"),"")</f>
        <v/>
      </c>
      <c r="AX301" s="31">
        <f>IF($AL301=0,"",IF(AND($B301="Project",$H301&lt;&gt;"",$H301&lt;TODAY()),"Planned finish "&amp;TEXT($H301,"d mmm")&amp;" has passed",IF($X301&gt;=2,(NETWORKDAYS($H301,$U301)-1)&amp;" working days past plan","")))</f>
        <v/>
      </c>
      <c r="AY301" s="31">
        <f>IF($AL301=0,"",IF($Y301&gt;=2,"Over budget by "&amp;TEXT(IF($B301="Program",$V301,$J301)-$K301,"#,##0"),""))</f>
        <v/>
      </c>
      <c r="AZ301" s="31">
        <f>IF(AND($AL301=1,$U301&lt;&gt;""),IF(AND(N($U301)&gt;=TODAY(),N($U301)&lt;=TODAY()+Board!$B$41),1,0),0)</f>
        <v/>
      </c>
    </row>
    <row r="302">
      <c r="A302" s="29" t="n"/>
      <c r="B302" s="29" t="n"/>
      <c r="C302" s="29" t="n"/>
      <c r="D302" s="29" t="n"/>
      <c r="E302" s="29" t="n"/>
      <c r="F302" s="29" t="n"/>
      <c r="G302" s="29" t="n"/>
      <c r="H302" s="30" t="n"/>
      <c r="I302" s="30" t="n"/>
      <c r="J302" s="19" t="n"/>
      <c r="K302" s="19" t="n"/>
      <c r="L302" s="26" t="n"/>
      <c r="M302" s="31">
        <f>IF($A302="","",IF($D302="","Not read",IF($Q302=0,"Not counted",IF(MAX($X302,$Y302)=3,"■ Red",IF(MAX($X302,$Y302)=2,"◧ Amber",IF(MAX($X302,$Y302)=1,"□ On track","Not read"))))))</f>
        <v/>
      </c>
      <c r="N302" s="31">
        <f>IF(OR($A302="",$B302&lt;&gt;"Program"),"","■ "&amp;COUNTIFS($C$6:$C$305,$A302,$M$6:$M$305,"■ Red")&amp;" Red, ◧ "&amp;COUNTIFS($C$6:$C$305,$A302,$M$6:$M$305,"◧ Amber")&amp;" Amber")</f>
        <v/>
      </c>
      <c r="O302" s="32">
        <f>IF(OR($A302="",$E302=""),"",COUNTIFS($E$6:$E$305,$E302,$D$6:$D$305,"Active")+COUNTIFS($E$6:$E$305,$E302,$D$6:$D$305,"Paused"))</f>
        <v/>
      </c>
      <c r="P302" s="31">
        <f>IF($A302="","",IF($AE302=0,"○ Clear",IF($AA302=1,"△ No owner",IF($AC302=1,"△ Check Sits under",IF($AC302=2,"△ Outside the portfolio",IF($AB302=1,"△ No sponsor","△ No variance note"))))&amp;IF($AE302&gt;1," (+"&amp;($AE302-1)&amp;" more)","")))</f>
        <v/>
      </c>
      <c r="Q302" s="31">
        <f>IF(AND($A302&lt;&gt;"",OR($D302="Active",$D302="Paused")),1,0)</f>
        <v/>
      </c>
      <c r="R302" s="31">
        <f>IFERROR(INDEX($A$6:$A$305,MATCH(295,$S$6:$S$305,0)),"")</f>
        <v/>
      </c>
      <c r="S302" s="31">
        <f>IF(AND($A302&lt;&gt;"",$B302="Program"),COUNTIFS($B$6:$B302,"Program",$A$6:$A302,"&lt;&gt;"),"")</f>
        <v/>
      </c>
      <c r="T302" s="33">
        <f>IF(AND($A302&lt;&gt;"",$B302="Program"),SUMPRODUCT(MAX(($C$6:$C$305=$A302)*($B$6:$B$305="Project")*($D$6:$D$305&lt;&gt;"Proposed")*$I$6:$I$305)),0)</f>
        <v/>
      </c>
      <c r="U302" s="33">
        <f>IF($I302&lt;&gt;"",$I302,IF($T302&gt;0,$T302,""))</f>
        <v/>
      </c>
      <c r="V302" s="31">
        <f>IF(AND($A302&lt;&gt;"",$B302="Program"),SUMIFS($J$6:$J$305,$C$6:$C$305,$A302,$B$6:$B$305,"Project",$D$6:$D$305,"&lt;&gt;Proposed"),0)</f>
        <v/>
      </c>
      <c r="W302" s="31">
        <f>IF(AND($A302&lt;&gt;"",$B302="Program"),COUNTIFS($C$6:$C$305,$A302,$B$6:$B$305,"Project",$D$6:$D$305,"&lt;&gt;Proposed")-COUNTIFS($C$6:$C$305,$A302,$B$6:$B$305,"Project",$D$6:$D$305,"&lt;&gt;Proposed",$J$6:$J$305,"&gt;=0"),0)</f>
        <v/>
      </c>
      <c r="X302" s="31">
        <f>IF(OR($Q302=0,$H302=""),0,IF(AND($B302="Project",$H302&lt;TODAY()),3,IF($U302="",0,IF($U302&lt;=$H302,1,IF(NETWORKDAYS($H302,$U302)-1&gt;IF($B302="Program",Portfolio!$B$16,Portfolio!$B$15),3,2)))))</f>
        <v/>
      </c>
      <c r="Y302" s="31">
        <f>IF(OR($Q302=0,$K302="",$K302=0),0,IF(AND($B302="Project",$J302=""),0,IF(IF($B302="Program",$V302,$J302)&gt;$K302*(1+Portfolio!$B$17),3,IF(IF($B302="Program",$V302,$J302)&gt;$K302,2,IF(AND($B302="Program",OR($W302&gt;0,$V302=0)),0,1)))))</f>
        <v/>
      </c>
      <c r="Z302" s="31">
        <f>IF($A302="",0,IF($C302="Portfolio",1,IF(AND($B302="Project",$C302&lt;&gt;"",$C302&lt;&gt;"Outside the portfolio"),IFERROR(IF(AND(INDEX($B$6:$B$305,MATCH($C302,$A$6:$A$305,0))="Program",INDEX($C$6:$C$305,MATCH($C302,$A$6:$A$305,0))="Portfolio"),1,0),0),0)))</f>
        <v/>
      </c>
      <c r="AA302" s="31">
        <f>IF(AND($A302&lt;&gt;"",$E302="",OR($Q302=1,$D302="Proposed")),1,0)</f>
        <v/>
      </c>
      <c r="AB302" s="31">
        <f>IF(AND($A302&lt;&gt;"",$B302="Program",$F302="",$Q302=1),1,0)</f>
        <v/>
      </c>
      <c r="AC302" s="31">
        <f>IF(OR($A302="",$D302="Completed",$D302="Terminated"),0,IF($C302="",1,IF($C302="Portfolio",0,IF($C302="Outside the portfolio",IF($Q302=1,2,0),IF($B302="Project",IF(IFERROR(INDEX($B$6:$B$305,MATCH($C302,$A$6:$A$305,0)),"")="Program",0,1),1)))))</f>
        <v/>
      </c>
      <c r="AD302" s="31">
        <f>IF(AND($A302&lt;&gt;"",OR($M302="■ Red",$M302="◧ Amber"),$L302=""),1,0)</f>
        <v/>
      </c>
      <c r="AE302" s="31">
        <f>$AA302+$AB302+IF($AC302&gt;0,1,0)+$AD302</f>
        <v/>
      </c>
      <c r="AJ302" s="14" t="n"/>
      <c r="AK302" s="29" t="n"/>
      <c r="AL302" s="31">
        <f>IF(AND($Q302=1,$Z302=1),1,0)</f>
        <v/>
      </c>
      <c r="AM302" s="31">
        <f>IF(AND($AL302=1,$AJ302&lt;&gt;""),MAX(0,TODAY()-$AJ302),"")</f>
        <v/>
      </c>
      <c r="AN302" s="31">
        <f>IF(OR($AL302=0,COUNT($AJ$6:$AJ$305)=0),0,IF($AJ302="",1,IF(TODAY()-$AJ302&gt;Board!$B$40,1,0)))</f>
        <v/>
      </c>
      <c r="AO302" s="31">
        <f>IF($AL302=0,0,IF($M302="■ Red",3,IF($M302="◧ Amber",2,IF($M302="□ On track",1,0))))</f>
        <v/>
      </c>
      <c r="AP302" s="31">
        <f>IF($AL302=0,0,IF($AK302="Will not hold",3,IF($AK302="At risk",2,IF($AK302="Will hold",1,0))))</f>
        <v/>
      </c>
      <c r="AQ302" s="31">
        <f>IF($AL302=0,"",IF($AO302=3,0,IF($AO302=2,1,IF(AND($AP302&gt;=2,$AP302&gt;$AO302),2,""))))</f>
        <v/>
      </c>
      <c r="AR302" s="31">
        <f>IF($AQ302="","",$AQ302*1000+302)</f>
        <v/>
      </c>
      <c r="AS302" s="31">
        <f>IF(AND($AL302=1,$AO302&gt;=2,$AP302&gt;=1,$AP302&lt;$AO302),1,0)</f>
        <v/>
      </c>
      <c r="AT302" s="31">
        <f>IF(AND($AL302=1,$AO302&gt;=2,$AP302=0),1,0)</f>
        <v/>
      </c>
      <c r="AU302" s="31">
        <f>IF(AND($AL302=1,$U302&lt;&gt;"",$U302&lt;TODAY()),1,0)</f>
        <v/>
      </c>
      <c r="AV302" s="31">
        <f>IF(OR($A302="",$AJ302="",Portfolio!$B$10=""),0,IF($AJ302&lt;=Portfolio!$B$10,0,IF(AND($D302="Completed",$Z302=1),1,IF(AND($D302="Terminated",$Z302=1),2,IF(AND($Q302=1,$Z302=0),3,0)))))</f>
        <v/>
      </c>
      <c r="AW302" s="31">
        <f>IF($AV302&gt;0,COUNTIF($AV$6:$AV302,"&gt;0"),"")</f>
        <v/>
      </c>
      <c r="AX302" s="31">
        <f>IF($AL302=0,"",IF(AND($B302="Project",$H302&lt;&gt;"",$H302&lt;TODAY()),"Planned finish "&amp;TEXT($H302,"d mmm")&amp;" has passed",IF($X302&gt;=2,(NETWORKDAYS($H302,$U302)-1)&amp;" working days past plan","")))</f>
        <v/>
      </c>
      <c r="AY302" s="31">
        <f>IF($AL302=0,"",IF($Y302&gt;=2,"Over budget by "&amp;TEXT(IF($B302="Program",$V302,$J302)-$K302,"#,##0"),""))</f>
        <v/>
      </c>
      <c r="AZ302" s="31">
        <f>IF(AND($AL302=1,$U302&lt;&gt;""),IF(AND(N($U302)&gt;=TODAY(),N($U302)&lt;=TODAY()+Board!$B$41),1,0),0)</f>
        <v/>
      </c>
    </row>
    <row r="303">
      <c r="A303" s="29" t="n"/>
      <c r="B303" s="29" t="n"/>
      <c r="C303" s="29" t="n"/>
      <c r="D303" s="29" t="n"/>
      <c r="E303" s="29" t="n"/>
      <c r="F303" s="29" t="n"/>
      <c r="G303" s="29" t="n"/>
      <c r="H303" s="30" t="n"/>
      <c r="I303" s="30" t="n"/>
      <c r="J303" s="19" t="n"/>
      <c r="K303" s="19" t="n"/>
      <c r="L303" s="26" t="n"/>
      <c r="M303" s="31">
        <f>IF($A303="","",IF($D303="","Not read",IF($Q303=0,"Not counted",IF(MAX($X303,$Y303)=3,"■ Red",IF(MAX($X303,$Y303)=2,"◧ Amber",IF(MAX($X303,$Y303)=1,"□ On track","Not read"))))))</f>
        <v/>
      </c>
      <c r="N303" s="31">
        <f>IF(OR($A303="",$B303&lt;&gt;"Program"),"","■ "&amp;COUNTIFS($C$6:$C$305,$A303,$M$6:$M$305,"■ Red")&amp;" Red, ◧ "&amp;COUNTIFS($C$6:$C$305,$A303,$M$6:$M$305,"◧ Amber")&amp;" Amber")</f>
        <v/>
      </c>
      <c r="O303" s="32">
        <f>IF(OR($A303="",$E303=""),"",COUNTIFS($E$6:$E$305,$E303,$D$6:$D$305,"Active")+COUNTIFS($E$6:$E$305,$E303,$D$6:$D$305,"Paused"))</f>
        <v/>
      </c>
      <c r="P303" s="31">
        <f>IF($A303="","",IF($AE303=0,"○ Clear",IF($AA303=1,"△ No owner",IF($AC303=1,"△ Check Sits under",IF($AC303=2,"△ Outside the portfolio",IF($AB303=1,"△ No sponsor","△ No variance note"))))&amp;IF($AE303&gt;1," (+"&amp;($AE303-1)&amp;" more)","")))</f>
        <v/>
      </c>
      <c r="Q303" s="31">
        <f>IF(AND($A303&lt;&gt;"",OR($D303="Active",$D303="Paused")),1,0)</f>
        <v/>
      </c>
      <c r="R303" s="31">
        <f>IFERROR(INDEX($A$6:$A$305,MATCH(296,$S$6:$S$305,0)),"")</f>
        <v/>
      </c>
      <c r="S303" s="31">
        <f>IF(AND($A303&lt;&gt;"",$B303="Program"),COUNTIFS($B$6:$B303,"Program",$A$6:$A303,"&lt;&gt;"),"")</f>
        <v/>
      </c>
      <c r="T303" s="33">
        <f>IF(AND($A303&lt;&gt;"",$B303="Program"),SUMPRODUCT(MAX(($C$6:$C$305=$A303)*($B$6:$B$305="Project")*($D$6:$D$305&lt;&gt;"Proposed")*$I$6:$I$305)),0)</f>
        <v/>
      </c>
      <c r="U303" s="33">
        <f>IF($I303&lt;&gt;"",$I303,IF($T303&gt;0,$T303,""))</f>
        <v/>
      </c>
      <c r="V303" s="31">
        <f>IF(AND($A303&lt;&gt;"",$B303="Program"),SUMIFS($J$6:$J$305,$C$6:$C$305,$A303,$B$6:$B$305,"Project",$D$6:$D$305,"&lt;&gt;Proposed"),0)</f>
        <v/>
      </c>
      <c r="W303" s="31">
        <f>IF(AND($A303&lt;&gt;"",$B303="Program"),COUNTIFS($C$6:$C$305,$A303,$B$6:$B$305,"Project",$D$6:$D$305,"&lt;&gt;Proposed")-COUNTIFS($C$6:$C$305,$A303,$B$6:$B$305,"Project",$D$6:$D$305,"&lt;&gt;Proposed",$J$6:$J$305,"&gt;=0"),0)</f>
        <v/>
      </c>
      <c r="X303" s="31">
        <f>IF(OR($Q303=0,$H303=""),0,IF(AND($B303="Project",$H303&lt;TODAY()),3,IF($U303="",0,IF($U303&lt;=$H303,1,IF(NETWORKDAYS($H303,$U303)-1&gt;IF($B303="Program",Portfolio!$B$16,Portfolio!$B$15),3,2)))))</f>
        <v/>
      </c>
      <c r="Y303" s="31">
        <f>IF(OR($Q303=0,$K303="",$K303=0),0,IF(AND($B303="Project",$J303=""),0,IF(IF($B303="Program",$V303,$J303)&gt;$K303*(1+Portfolio!$B$17),3,IF(IF($B303="Program",$V303,$J303)&gt;$K303,2,IF(AND($B303="Program",OR($W303&gt;0,$V303=0)),0,1)))))</f>
        <v/>
      </c>
      <c r="Z303" s="31">
        <f>IF($A303="",0,IF($C303="Portfolio",1,IF(AND($B303="Project",$C303&lt;&gt;"",$C303&lt;&gt;"Outside the portfolio"),IFERROR(IF(AND(INDEX($B$6:$B$305,MATCH($C303,$A$6:$A$305,0))="Program",INDEX($C$6:$C$305,MATCH($C303,$A$6:$A$305,0))="Portfolio"),1,0),0),0)))</f>
        <v/>
      </c>
      <c r="AA303" s="31">
        <f>IF(AND($A303&lt;&gt;"",$E303="",OR($Q303=1,$D303="Proposed")),1,0)</f>
        <v/>
      </c>
      <c r="AB303" s="31">
        <f>IF(AND($A303&lt;&gt;"",$B303="Program",$F303="",$Q303=1),1,0)</f>
        <v/>
      </c>
      <c r="AC303" s="31">
        <f>IF(OR($A303="",$D303="Completed",$D303="Terminated"),0,IF($C303="",1,IF($C303="Portfolio",0,IF($C303="Outside the portfolio",IF($Q303=1,2,0),IF($B303="Project",IF(IFERROR(INDEX($B$6:$B$305,MATCH($C303,$A$6:$A$305,0)),"")="Program",0,1),1)))))</f>
        <v/>
      </c>
      <c r="AD303" s="31">
        <f>IF(AND($A303&lt;&gt;"",OR($M303="■ Red",$M303="◧ Amber"),$L303=""),1,0)</f>
        <v/>
      </c>
      <c r="AE303" s="31">
        <f>$AA303+$AB303+IF($AC303&gt;0,1,0)+$AD303</f>
        <v/>
      </c>
      <c r="AJ303" s="14" t="n"/>
      <c r="AK303" s="29" t="n"/>
      <c r="AL303" s="31">
        <f>IF(AND($Q303=1,$Z303=1),1,0)</f>
        <v/>
      </c>
      <c r="AM303" s="31">
        <f>IF(AND($AL303=1,$AJ303&lt;&gt;""),MAX(0,TODAY()-$AJ303),"")</f>
        <v/>
      </c>
      <c r="AN303" s="31">
        <f>IF(OR($AL303=0,COUNT($AJ$6:$AJ$305)=0),0,IF($AJ303="",1,IF(TODAY()-$AJ303&gt;Board!$B$40,1,0)))</f>
        <v/>
      </c>
      <c r="AO303" s="31">
        <f>IF($AL303=0,0,IF($M303="■ Red",3,IF($M303="◧ Amber",2,IF($M303="□ On track",1,0))))</f>
        <v/>
      </c>
      <c r="AP303" s="31">
        <f>IF($AL303=0,0,IF($AK303="Will not hold",3,IF($AK303="At risk",2,IF($AK303="Will hold",1,0))))</f>
        <v/>
      </c>
      <c r="AQ303" s="31">
        <f>IF($AL303=0,"",IF($AO303=3,0,IF($AO303=2,1,IF(AND($AP303&gt;=2,$AP303&gt;$AO303),2,""))))</f>
        <v/>
      </c>
      <c r="AR303" s="31">
        <f>IF($AQ303="","",$AQ303*1000+303)</f>
        <v/>
      </c>
      <c r="AS303" s="31">
        <f>IF(AND($AL303=1,$AO303&gt;=2,$AP303&gt;=1,$AP303&lt;$AO303),1,0)</f>
        <v/>
      </c>
      <c r="AT303" s="31">
        <f>IF(AND($AL303=1,$AO303&gt;=2,$AP303=0),1,0)</f>
        <v/>
      </c>
      <c r="AU303" s="31">
        <f>IF(AND($AL303=1,$U303&lt;&gt;"",$U303&lt;TODAY()),1,0)</f>
        <v/>
      </c>
      <c r="AV303" s="31">
        <f>IF(OR($A303="",$AJ303="",Portfolio!$B$10=""),0,IF($AJ303&lt;=Portfolio!$B$10,0,IF(AND($D303="Completed",$Z303=1),1,IF(AND($D303="Terminated",$Z303=1),2,IF(AND($Q303=1,$Z303=0),3,0)))))</f>
        <v/>
      </c>
      <c r="AW303" s="31">
        <f>IF($AV303&gt;0,COUNTIF($AV$6:$AV303,"&gt;0"),"")</f>
        <v/>
      </c>
      <c r="AX303" s="31">
        <f>IF($AL303=0,"",IF(AND($B303="Project",$H303&lt;&gt;"",$H303&lt;TODAY()),"Planned finish "&amp;TEXT($H303,"d mmm")&amp;" has passed",IF($X303&gt;=2,(NETWORKDAYS($H303,$U303)-1)&amp;" working days past plan","")))</f>
        <v/>
      </c>
      <c r="AY303" s="31">
        <f>IF($AL303=0,"",IF($Y303&gt;=2,"Over budget by "&amp;TEXT(IF($B303="Program",$V303,$J303)-$K303,"#,##0"),""))</f>
        <v/>
      </c>
      <c r="AZ303" s="31">
        <f>IF(AND($AL303=1,$U303&lt;&gt;""),IF(AND(N($U303)&gt;=TODAY(),N($U303)&lt;=TODAY()+Board!$B$41),1,0),0)</f>
        <v/>
      </c>
    </row>
    <row r="304">
      <c r="A304" s="29" t="n"/>
      <c r="B304" s="29" t="n"/>
      <c r="C304" s="29" t="n"/>
      <c r="D304" s="29" t="n"/>
      <c r="E304" s="29" t="n"/>
      <c r="F304" s="29" t="n"/>
      <c r="G304" s="29" t="n"/>
      <c r="H304" s="30" t="n"/>
      <c r="I304" s="30" t="n"/>
      <c r="J304" s="19" t="n"/>
      <c r="K304" s="19" t="n"/>
      <c r="L304" s="26" t="n"/>
      <c r="M304" s="31">
        <f>IF($A304="","",IF($D304="","Not read",IF($Q304=0,"Not counted",IF(MAX($X304,$Y304)=3,"■ Red",IF(MAX($X304,$Y304)=2,"◧ Amber",IF(MAX($X304,$Y304)=1,"□ On track","Not read"))))))</f>
        <v/>
      </c>
      <c r="N304" s="31">
        <f>IF(OR($A304="",$B304&lt;&gt;"Program"),"","■ "&amp;COUNTIFS($C$6:$C$305,$A304,$M$6:$M$305,"■ Red")&amp;" Red, ◧ "&amp;COUNTIFS($C$6:$C$305,$A304,$M$6:$M$305,"◧ Amber")&amp;" Amber")</f>
        <v/>
      </c>
      <c r="O304" s="32">
        <f>IF(OR($A304="",$E304=""),"",COUNTIFS($E$6:$E$305,$E304,$D$6:$D$305,"Active")+COUNTIFS($E$6:$E$305,$E304,$D$6:$D$305,"Paused"))</f>
        <v/>
      </c>
      <c r="P304" s="31">
        <f>IF($A304="","",IF($AE304=0,"○ Clear",IF($AA304=1,"△ No owner",IF($AC304=1,"△ Check Sits under",IF($AC304=2,"△ Outside the portfolio",IF($AB304=1,"△ No sponsor","△ No variance note"))))&amp;IF($AE304&gt;1," (+"&amp;($AE304-1)&amp;" more)","")))</f>
        <v/>
      </c>
      <c r="Q304" s="31">
        <f>IF(AND($A304&lt;&gt;"",OR($D304="Active",$D304="Paused")),1,0)</f>
        <v/>
      </c>
      <c r="R304" s="31">
        <f>IFERROR(INDEX($A$6:$A$305,MATCH(297,$S$6:$S$305,0)),"")</f>
        <v/>
      </c>
      <c r="S304" s="31">
        <f>IF(AND($A304&lt;&gt;"",$B304="Program"),COUNTIFS($B$6:$B304,"Program",$A$6:$A304,"&lt;&gt;"),"")</f>
        <v/>
      </c>
      <c r="T304" s="33">
        <f>IF(AND($A304&lt;&gt;"",$B304="Program"),SUMPRODUCT(MAX(($C$6:$C$305=$A304)*($B$6:$B$305="Project")*($D$6:$D$305&lt;&gt;"Proposed")*$I$6:$I$305)),0)</f>
        <v/>
      </c>
      <c r="U304" s="33">
        <f>IF($I304&lt;&gt;"",$I304,IF($T304&gt;0,$T304,""))</f>
        <v/>
      </c>
      <c r="V304" s="31">
        <f>IF(AND($A304&lt;&gt;"",$B304="Program"),SUMIFS($J$6:$J$305,$C$6:$C$305,$A304,$B$6:$B$305,"Project",$D$6:$D$305,"&lt;&gt;Proposed"),0)</f>
        <v/>
      </c>
      <c r="W304" s="31">
        <f>IF(AND($A304&lt;&gt;"",$B304="Program"),COUNTIFS($C$6:$C$305,$A304,$B$6:$B$305,"Project",$D$6:$D$305,"&lt;&gt;Proposed")-COUNTIFS($C$6:$C$305,$A304,$B$6:$B$305,"Project",$D$6:$D$305,"&lt;&gt;Proposed",$J$6:$J$305,"&gt;=0"),0)</f>
        <v/>
      </c>
      <c r="X304" s="31">
        <f>IF(OR($Q304=0,$H304=""),0,IF(AND($B304="Project",$H304&lt;TODAY()),3,IF($U304="",0,IF($U304&lt;=$H304,1,IF(NETWORKDAYS($H304,$U304)-1&gt;IF($B304="Program",Portfolio!$B$16,Portfolio!$B$15),3,2)))))</f>
        <v/>
      </c>
      <c r="Y304" s="31">
        <f>IF(OR($Q304=0,$K304="",$K304=0),0,IF(AND($B304="Project",$J304=""),0,IF(IF($B304="Program",$V304,$J304)&gt;$K304*(1+Portfolio!$B$17),3,IF(IF($B304="Program",$V304,$J304)&gt;$K304,2,IF(AND($B304="Program",OR($W304&gt;0,$V304=0)),0,1)))))</f>
        <v/>
      </c>
      <c r="Z304" s="31">
        <f>IF($A304="",0,IF($C304="Portfolio",1,IF(AND($B304="Project",$C304&lt;&gt;"",$C304&lt;&gt;"Outside the portfolio"),IFERROR(IF(AND(INDEX($B$6:$B$305,MATCH($C304,$A$6:$A$305,0))="Program",INDEX($C$6:$C$305,MATCH($C304,$A$6:$A$305,0))="Portfolio"),1,0),0),0)))</f>
        <v/>
      </c>
      <c r="AA304" s="31">
        <f>IF(AND($A304&lt;&gt;"",$E304="",OR($Q304=1,$D304="Proposed")),1,0)</f>
        <v/>
      </c>
      <c r="AB304" s="31">
        <f>IF(AND($A304&lt;&gt;"",$B304="Program",$F304="",$Q304=1),1,0)</f>
        <v/>
      </c>
      <c r="AC304" s="31">
        <f>IF(OR($A304="",$D304="Completed",$D304="Terminated"),0,IF($C304="",1,IF($C304="Portfolio",0,IF($C304="Outside the portfolio",IF($Q304=1,2,0),IF($B304="Project",IF(IFERROR(INDEX($B$6:$B$305,MATCH($C304,$A$6:$A$305,0)),"")="Program",0,1),1)))))</f>
        <v/>
      </c>
      <c r="AD304" s="31">
        <f>IF(AND($A304&lt;&gt;"",OR($M304="■ Red",$M304="◧ Amber"),$L304=""),1,0)</f>
        <v/>
      </c>
      <c r="AE304" s="31">
        <f>$AA304+$AB304+IF($AC304&gt;0,1,0)+$AD304</f>
        <v/>
      </c>
      <c r="AJ304" s="14" t="n"/>
      <c r="AK304" s="29" t="n"/>
      <c r="AL304" s="31">
        <f>IF(AND($Q304=1,$Z304=1),1,0)</f>
        <v/>
      </c>
      <c r="AM304" s="31">
        <f>IF(AND($AL304=1,$AJ304&lt;&gt;""),MAX(0,TODAY()-$AJ304),"")</f>
        <v/>
      </c>
      <c r="AN304" s="31">
        <f>IF(OR($AL304=0,COUNT($AJ$6:$AJ$305)=0),0,IF($AJ304="",1,IF(TODAY()-$AJ304&gt;Board!$B$40,1,0)))</f>
        <v/>
      </c>
      <c r="AO304" s="31">
        <f>IF($AL304=0,0,IF($M304="■ Red",3,IF($M304="◧ Amber",2,IF($M304="□ On track",1,0))))</f>
        <v/>
      </c>
      <c r="AP304" s="31">
        <f>IF($AL304=0,0,IF($AK304="Will not hold",3,IF($AK304="At risk",2,IF($AK304="Will hold",1,0))))</f>
        <v/>
      </c>
      <c r="AQ304" s="31">
        <f>IF($AL304=0,"",IF($AO304=3,0,IF($AO304=2,1,IF(AND($AP304&gt;=2,$AP304&gt;$AO304),2,""))))</f>
        <v/>
      </c>
      <c r="AR304" s="31">
        <f>IF($AQ304="","",$AQ304*1000+304)</f>
        <v/>
      </c>
      <c r="AS304" s="31">
        <f>IF(AND($AL304=1,$AO304&gt;=2,$AP304&gt;=1,$AP304&lt;$AO304),1,0)</f>
        <v/>
      </c>
      <c r="AT304" s="31">
        <f>IF(AND($AL304=1,$AO304&gt;=2,$AP304=0),1,0)</f>
        <v/>
      </c>
      <c r="AU304" s="31">
        <f>IF(AND($AL304=1,$U304&lt;&gt;"",$U304&lt;TODAY()),1,0)</f>
        <v/>
      </c>
      <c r="AV304" s="31">
        <f>IF(OR($A304="",$AJ304="",Portfolio!$B$10=""),0,IF($AJ304&lt;=Portfolio!$B$10,0,IF(AND($D304="Completed",$Z304=1),1,IF(AND($D304="Terminated",$Z304=1),2,IF(AND($Q304=1,$Z304=0),3,0)))))</f>
        <v/>
      </c>
      <c r="AW304" s="31">
        <f>IF($AV304&gt;0,COUNTIF($AV$6:$AV304,"&gt;0"),"")</f>
        <v/>
      </c>
      <c r="AX304" s="31">
        <f>IF($AL304=0,"",IF(AND($B304="Project",$H304&lt;&gt;"",$H304&lt;TODAY()),"Planned finish "&amp;TEXT($H304,"d mmm")&amp;" has passed",IF($X304&gt;=2,(NETWORKDAYS($H304,$U304)-1)&amp;" working days past plan","")))</f>
        <v/>
      </c>
      <c r="AY304" s="31">
        <f>IF($AL304=0,"",IF($Y304&gt;=2,"Over budget by "&amp;TEXT(IF($B304="Program",$V304,$J304)-$K304,"#,##0"),""))</f>
        <v/>
      </c>
      <c r="AZ304" s="31">
        <f>IF(AND($AL304=1,$U304&lt;&gt;""),IF(AND(N($U304)&gt;=TODAY(),N($U304)&lt;=TODAY()+Board!$B$41),1,0),0)</f>
        <v/>
      </c>
    </row>
    <row r="305">
      <c r="A305" s="29" t="n"/>
      <c r="B305" s="29" t="n"/>
      <c r="C305" s="29" t="n"/>
      <c r="D305" s="29" t="n"/>
      <c r="E305" s="29" t="n"/>
      <c r="F305" s="29" t="n"/>
      <c r="G305" s="29" t="n"/>
      <c r="H305" s="30" t="n"/>
      <c r="I305" s="30" t="n"/>
      <c r="J305" s="19" t="n"/>
      <c r="K305" s="19" t="n"/>
      <c r="L305" s="26" t="n"/>
      <c r="M305" s="31">
        <f>IF($A305="","",IF($D305="","Not read",IF($Q305=0,"Not counted",IF(MAX($X305,$Y305)=3,"■ Red",IF(MAX($X305,$Y305)=2,"◧ Amber",IF(MAX($X305,$Y305)=1,"□ On track","Not read"))))))</f>
        <v/>
      </c>
      <c r="N305" s="31">
        <f>IF(OR($A305="",$B305&lt;&gt;"Program"),"","■ "&amp;COUNTIFS($C$6:$C$305,$A305,$M$6:$M$305,"■ Red")&amp;" Red, ◧ "&amp;COUNTIFS($C$6:$C$305,$A305,$M$6:$M$305,"◧ Amber")&amp;" Amber")</f>
        <v/>
      </c>
      <c r="O305" s="32">
        <f>IF(OR($A305="",$E305=""),"",COUNTIFS($E$6:$E$305,$E305,$D$6:$D$305,"Active")+COUNTIFS($E$6:$E$305,$E305,$D$6:$D$305,"Paused"))</f>
        <v/>
      </c>
      <c r="P305" s="31">
        <f>IF($A305="","",IF($AE305=0,"○ Clear",IF($AA305=1,"△ No owner",IF($AC305=1,"△ Check Sits under",IF($AC305=2,"△ Outside the portfolio",IF($AB305=1,"△ No sponsor","△ No variance note"))))&amp;IF($AE305&gt;1," (+"&amp;($AE305-1)&amp;" more)","")))</f>
        <v/>
      </c>
      <c r="Q305" s="31">
        <f>IF(AND($A305&lt;&gt;"",OR($D305="Active",$D305="Paused")),1,0)</f>
        <v/>
      </c>
      <c r="R305" s="31">
        <f>IFERROR(INDEX($A$6:$A$305,MATCH(298,$S$6:$S$305,0)),"")</f>
        <v/>
      </c>
      <c r="S305" s="31">
        <f>IF(AND($A305&lt;&gt;"",$B305="Program"),COUNTIFS($B$6:$B305,"Program",$A$6:$A305,"&lt;&gt;"),"")</f>
        <v/>
      </c>
      <c r="T305" s="33">
        <f>IF(AND($A305&lt;&gt;"",$B305="Program"),SUMPRODUCT(MAX(($C$6:$C$305=$A305)*($B$6:$B$305="Project")*($D$6:$D$305&lt;&gt;"Proposed")*$I$6:$I$305)),0)</f>
        <v/>
      </c>
      <c r="U305" s="33">
        <f>IF($I305&lt;&gt;"",$I305,IF($T305&gt;0,$T305,""))</f>
        <v/>
      </c>
      <c r="V305" s="31">
        <f>IF(AND($A305&lt;&gt;"",$B305="Program"),SUMIFS($J$6:$J$305,$C$6:$C$305,$A305,$B$6:$B$305,"Project",$D$6:$D$305,"&lt;&gt;Proposed"),0)</f>
        <v/>
      </c>
      <c r="W305" s="31">
        <f>IF(AND($A305&lt;&gt;"",$B305="Program"),COUNTIFS($C$6:$C$305,$A305,$B$6:$B$305,"Project",$D$6:$D$305,"&lt;&gt;Proposed")-COUNTIFS($C$6:$C$305,$A305,$B$6:$B$305,"Project",$D$6:$D$305,"&lt;&gt;Proposed",$J$6:$J$305,"&gt;=0"),0)</f>
        <v/>
      </c>
      <c r="X305" s="31">
        <f>IF(OR($Q305=0,$H305=""),0,IF(AND($B305="Project",$H305&lt;TODAY()),3,IF($U305="",0,IF($U305&lt;=$H305,1,IF(NETWORKDAYS($H305,$U305)-1&gt;IF($B305="Program",Portfolio!$B$16,Portfolio!$B$15),3,2)))))</f>
        <v/>
      </c>
      <c r="Y305" s="31">
        <f>IF(OR($Q305=0,$K305="",$K305=0),0,IF(AND($B305="Project",$J305=""),0,IF(IF($B305="Program",$V305,$J305)&gt;$K305*(1+Portfolio!$B$17),3,IF(IF($B305="Program",$V305,$J305)&gt;$K305,2,IF(AND($B305="Program",OR($W305&gt;0,$V305=0)),0,1)))))</f>
        <v/>
      </c>
      <c r="Z305" s="31">
        <f>IF($A305="",0,IF($C305="Portfolio",1,IF(AND($B305="Project",$C305&lt;&gt;"",$C305&lt;&gt;"Outside the portfolio"),IFERROR(IF(AND(INDEX($B$6:$B$305,MATCH($C305,$A$6:$A$305,0))="Program",INDEX($C$6:$C$305,MATCH($C305,$A$6:$A$305,0))="Portfolio"),1,0),0),0)))</f>
        <v/>
      </c>
      <c r="AA305" s="31">
        <f>IF(AND($A305&lt;&gt;"",$E305="",OR($Q305=1,$D305="Proposed")),1,0)</f>
        <v/>
      </c>
      <c r="AB305" s="31">
        <f>IF(AND($A305&lt;&gt;"",$B305="Program",$F305="",$Q305=1),1,0)</f>
        <v/>
      </c>
      <c r="AC305" s="31">
        <f>IF(OR($A305="",$D305="Completed",$D305="Terminated"),0,IF($C305="",1,IF($C305="Portfolio",0,IF($C305="Outside the portfolio",IF($Q305=1,2,0),IF($B305="Project",IF(IFERROR(INDEX($B$6:$B$305,MATCH($C305,$A$6:$A$305,0)),"")="Program",0,1),1)))))</f>
        <v/>
      </c>
      <c r="AD305" s="31">
        <f>IF(AND($A305&lt;&gt;"",OR($M305="■ Red",$M305="◧ Amber"),$L305=""),1,0)</f>
        <v/>
      </c>
      <c r="AE305" s="31">
        <f>$AA305+$AB305+IF($AC305&gt;0,1,0)+$AD305</f>
        <v/>
      </c>
      <c r="AJ305" s="14" t="n"/>
      <c r="AK305" s="29" t="n"/>
      <c r="AL305" s="31">
        <f>IF(AND($Q305=1,$Z305=1),1,0)</f>
        <v/>
      </c>
      <c r="AM305" s="31">
        <f>IF(AND($AL305=1,$AJ305&lt;&gt;""),MAX(0,TODAY()-$AJ305),"")</f>
        <v/>
      </c>
      <c r="AN305" s="31">
        <f>IF(OR($AL305=0,COUNT($AJ$6:$AJ$305)=0),0,IF($AJ305="",1,IF(TODAY()-$AJ305&gt;Board!$B$40,1,0)))</f>
        <v/>
      </c>
      <c r="AO305" s="31">
        <f>IF($AL305=0,0,IF($M305="■ Red",3,IF($M305="◧ Amber",2,IF($M305="□ On track",1,0))))</f>
        <v/>
      </c>
      <c r="AP305" s="31">
        <f>IF($AL305=0,0,IF($AK305="Will not hold",3,IF($AK305="At risk",2,IF($AK305="Will hold",1,0))))</f>
        <v/>
      </c>
      <c r="AQ305" s="31">
        <f>IF($AL305=0,"",IF($AO305=3,0,IF($AO305=2,1,IF(AND($AP305&gt;=2,$AP305&gt;$AO305),2,""))))</f>
        <v/>
      </c>
      <c r="AR305" s="31">
        <f>IF($AQ305="","",$AQ305*1000+305)</f>
        <v/>
      </c>
      <c r="AS305" s="31">
        <f>IF(AND($AL305=1,$AO305&gt;=2,$AP305&gt;=1,$AP305&lt;$AO305),1,0)</f>
        <v/>
      </c>
      <c r="AT305" s="31">
        <f>IF(AND($AL305=1,$AO305&gt;=2,$AP305=0),1,0)</f>
        <v/>
      </c>
      <c r="AU305" s="31">
        <f>IF(AND($AL305=1,$U305&lt;&gt;"",$U305&lt;TODAY()),1,0)</f>
        <v/>
      </c>
      <c r="AV305" s="31">
        <f>IF(OR($A305="",$AJ305="",Portfolio!$B$10=""),0,IF($AJ305&lt;=Portfolio!$B$10,0,IF(AND($D305="Completed",$Z305=1),1,IF(AND($D305="Terminated",$Z305=1),2,IF(AND($Q305=1,$Z305=0),3,0)))))</f>
        <v/>
      </c>
      <c r="AW305" s="31">
        <f>IF($AV305&gt;0,COUNTIF($AV$6:$AV305,"&gt;0"),"")</f>
        <v/>
      </c>
      <c r="AX305" s="31">
        <f>IF($AL305=0,"",IF(AND($B305="Project",$H305&lt;&gt;"",$H305&lt;TODAY()),"Planned finish "&amp;TEXT($H305,"d mmm")&amp;" has passed",IF($X305&gt;=2,(NETWORKDAYS($H305,$U305)-1)&amp;" working days past plan","")))</f>
        <v/>
      </c>
      <c r="AY305" s="31">
        <f>IF($AL305=0,"",IF($Y305&gt;=2,"Over budget by "&amp;TEXT(IF($B305="Program",$V305,$J305)-$K305,"#,##0"),""))</f>
        <v/>
      </c>
      <c r="AZ305" s="31">
        <f>IF(AND($AL305=1,$U305&lt;&gt;""),IF(AND(N($U305)&gt;=TODAY(),N($U305)&lt;=TODAY()+Board!$B$41),1,0),0)</f>
        <v/>
      </c>
    </row>
    <row r="306">
      <c r="R306" s="31">
        <f>IFERROR(INDEX($A$6:$A$305,MATCH(299,$S$6:$S$305,0)),"")</f>
        <v/>
      </c>
    </row>
    <row r="307">
      <c r="R307" s="31">
        <f>IFERROR(INDEX($A$6:$A$305,MATCH(300,$S$6:$S$305,0)),"")</f>
        <v/>
      </c>
    </row>
  </sheetData>
  <autoFilter ref="A5:AK305"/>
  <conditionalFormatting sqref="AK6:AK305">
    <cfRule type="expression" priority="1" dxfId="2" stopIfTrue="0">
      <formula>AND($AO6&gt;=2,$AK6="")</formula>
    </cfRule>
  </conditionalFormatting>
  <conditionalFormatting sqref="AJ6:AJ305">
    <cfRule type="expression" priority="2" dxfId="2" stopIfTrue="0">
      <formula>$AN6=1</formula>
    </cfRule>
  </conditionalFormatting>
  <conditionalFormatting sqref="M6:M305">
    <cfRule type="expression" priority="3" dxfId="3" stopIfTrue="0">
      <formula>LEFT($M6,1)="■"</formula>
    </cfRule>
  </conditionalFormatting>
  <conditionalFormatting sqref="P6:P305">
    <cfRule type="expression" priority="4" dxfId="1" stopIfTrue="0">
      <formula>LEFT($P6,1)="△"</formula>
    </cfRule>
  </conditionalFormatting>
  <conditionalFormatting sqref="A6:A305">
    <cfRule type="expression" priority="5" dxfId="0" stopIfTrue="0">
      <formula>AND($A6="",COUNTA($B6:$L6)&gt;0)</formula>
    </cfRule>
  </conditionalFormatting>
  <conditionalFormatting sqref="E6:E305">
    <cfRule type="expression" priority="6" dxfId="0" stopIfTrue="0">
      <formula>AND($A6&lt;&gt;"",$E6="",OR($D6="Active",$D6="Paused",$D6="Proposed"))</formula>
    </cfRule>
  </conditionalFormatting>
  <conditionalFormatting sqref="F6:F305">
    <cfRule type="expression" priority="7" dxfId="4" stopIfTrue="0">
      <formula>$B6="Project"</formula>
    </cfRule>
    <cfRule type="expression" priority="8" dxfId="0" stopIfTrue="0">
      <formula>AND($B6="Program",$F6="",$D6&lt;&gt;"Completed",$D6&lt;&gt;"Terminated")</formula>
    </cfRule>
  </conditionalFormatting>
  <conditionalFormatting sqref="K6:K305">
    <cfRule type="expression" priority="9" dxfId="4" stopIfTrue="0">
      <formula>AND($B6="Project",$C6&lt;&gt;"",$C6&lt;&gt;"Portfolio",$C6&lt;&gt;"Outside the portfolio")</formula>
    </cfRule>
  </conditionalFormatting>
  <conditionalFormatting sqref="J6:J305">
    <cfRule type="expression" priority="10" dxfId="4" stopIfTrue="0">
      <formula>$B6="Program"</formula>
    </cfRule>
  </conditionalFormatting>
  <dataValidations count="14">
    <dataValidation sqref="A6:A305" showDropDown="0" showInputMessage="1" showErrorMessage="1" allowBlank="1" errorTitle="Check this entry" error="Another row already has this name. Use a different one: other rows find a row by its name." promptTitle="Name" prompt="The program's or project's name. Other rows find it by this name, so keep it unique. If you rename a program, change its projects' Sits under too." type="custom" errorStyle="warning">
      <formula1>COUNTIF($A$6:$A$305,A6)=1</formula1>
    </dataValidation>
    <dataValidation sqref="B6:B305" showDropDown="0" showInputMessage="1" showErrorMessage="1" allowBlank="1" errorTitle="Check this entry" error="Pick Program or Project." promptTitle="Level" prompt="Program or Project." type="list" errorStyle="stop">
      <formula1>"Program,Project"</formula1>
    </dataValidation>
    <dataValidation sqref="C6:C305" showDropDown="0" showInputMessage="1" showErrorMessage="1" allowBlank="1" errorTitle="Check this entry" error="That isn't Portfolio, Outside the portfolio or a program on this sheet. You can keep it, and the Check column will flag it." promptTitle="Sits under" prompt="Pick Portfolio, Outside the portfolio or, for a project, the program it belongs to. One only." type="list" errorStyle="warning">
      <formula1>$R$6:$R$307</formula1>
    </dataValidation>
    <dataValidation sqref="D6:D305" showDropDown="0" showInputMessage="1" showErrorMessage="1" allowBlank="1" errorTitle="Check this entry" error="Pick a status from the list." promptTitle="Status" prompt="Where the row is in its life. Proposed rows aren't counted. When a row is Completed or Terminated, change its Forecast spend and Budget to what was spent." type="list" errorStyle="stop">
      <formula1>"Proposed,Active,Paused,Completed,Terminated"</formula1>
    </dataValidation>
    <dataValidation sqref="E6:E305" showDropDown="0" showInputMessage="1" showErrorMessage="0" allowBlank="1" promptTitle="Owner" prompt="The one person accountable for this row; on a program, its manager. Type each name the same way on every row, so the counts match." errorStyle="stop"/>
    <dataValidation sqref="F6:F305" showDropDown="0" showInputMessage="1" showErrorMessage="0" allowBlank="1" promptTitle="Sponsor" prompt="Required on a program: the person who decides its future. Optional on a project, which has its program's sponsor." errorStyle="stop"/>
    <dataValidation sqref="G6:G305" showDropDown="0" showInputMessage="1" showErrorMessage="1" allowBlank="1" errorTitle="Check this entry" error="That isn't one of the objectives on Portfolio. Add it there first, or pick one from the list." promptTitle="Objective" prompt="The portfolio objective this row serves, from the list on Portfolio. One only." type="list" errorStyle="warning">
      <formula1>Portfolio!$A$47:$A$56</formula1>
    </dataValidation>
    <dataValidation sqref="H6:H305" showDropDown="0" showInputMessage="1" showErrorMessage="1" allowBlank="1" errorTitle="Check this entry" error="Type a date, such as 30 Jun 2027." promptTitle="Planned finish" prompt="The date first agreed: a program's outcome date, or a project's close." type="date" errorStyle="stop" operator="greaterThan">
      <formula1>36526</formula1>
    </dataValidation>
    <dataValidation sqref="I6:I305" showDropDown="0" showInputMessage="1" showErrorMessage="1" allowBlank="1" errorTitle="Check this entry" error="Type a date, such as 30 Jun 2027." promptTitle="Latest forecast" prompt="Where the date stands now. If it hasn't moved, type the Planned finish again. On a program, leave it blank to use the latest forecast among its projects." type="date" errorStyle="stop" operator="greaterThan">
      <formula1>36526</formula1>
    </dataValidation>
    <dataValidation sqref="J6:J305" showDropDown="0" showInputMessage="1" showErrorMessage="1" allowBlank="1" errorTitle="Check this entry" error="Type an amount of 0 or more, with no currency sign." promptTitle="Forecast spend" prompt="What the project is now expected to cost. Leave it blank on a program; its projects' figures are added up for it." type="decimal" errorStyle="stop" operator="greaterThanOrEqual">
      <formula1>0</formula1>
    </dataValidation>
    <dataValidation sqref="K6:K305" showDropDown="0" showInputMessage="1" showErrorMessage="1" allowBlank="1" errorTitle="Check this entry" error="Type an amount of 0 or more, with no currency sign." promptTitle="Budget" prompt="The share of the portfolio's envelope this row may spend. Leave it blank on a project inside a program; the program holds the budget." type="decimal" errorStyle="stop" operator="greaterThanOrEqual">
      <formula1>0</formula1>
    </dataValidation>
    <dataValidation sqref="L6:L305" showDropDown="0" showInputMessage="1" showErrorMessage="0" allowBlank="1" promptTitle="Variance note" prompt="One line on why an Amber or Red row is off. End it with your name." errorStyle="stop"/>
    <dataValidation sqref="AJ6:AJ305" showDropDown="0" showInputMessage="1" showErrorMessage="1" allowBlank="1" errorTitle="Check this entry" error="Type a date, today or earlier." promptTitle="Last checked" prompt="The day the owner last read this row's dates, forecast spend and note and said they still stand. A typo fix doesn't count. Type it again at each check, and when Status or Sits under changes." type="custom" errorStyle="stop">
      <formula1>OR(AJ6="",AND(ISNUMBER(AJ6),AJ6&lt;=TODAY()))</formula1>
    </dataValidation>
    <dataValidation sqref="AK6:AK305" showDropDown="0" showInputMessage="1" showErrorMessage="1" allowBlank="1" errorTitle="Check this entry" error="Pick Will hold, At risk or Will not hold." promptTitle="Owner's view" prompt="The owner's answer to one question: will the date and the cost hold? It shows beside Health and never changes it." type="list" errorStyle="stop">
      <formula1>"Will hold,At risk,Will not hold"</formula1>
    </dataValidation>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D105"/>
  <sheetViews>
    <sheetView showGridLines="0" workbookViewId="0">
      <pane ySplit="5" topLeftCell="A6" activePane="bottomLeft" state="frozen"/>
      <selection pane="bottomLeft" activeCell="A1" sqref="A1"/>
    </sheetView>
  </sheetViews>
  <sheetFormatPr baseColWidth="8" defaultRowHeight="15"/>
  <cols>
    <col width="22" customWidth="1" min="1" max="1"/>
    <col width="70" customWidth="1" min="2" max="2"/>
    <col width="30" customWidth="1" min="3" max="3"/>
    <col width="34" customWidth="1" min="4" max="4"/>
  </cols>
  <sheetData>
    <row r="1" ht="36" customHeight="1">
      <c r="B1" s="1" t="inlineStr">
        <is>
          <t>Steering log</t>
        </is>
      </c>
    </row>
    <row r="2" ht="16" customHeight="1">
      <c r="A2" s="2">
        <f>IF(Portfolio!$B$6="","","Portfolio: "&amp;Portfolio!$B$6)</f>
        <v/>
      </c>
    </row>
    <row r="3" ht="18" customHeight="1">
      <c r="A3" s="4" t="n"/>
    </row>
    <row r="4" ht="6" customHeight="1"/>
    <row r="5" ht="24" customHeight="1">
      <c r="A5" s="25" t="inlineStr">
        <is>
          <t>Date</t>
        </is>
      </c>
      <c r="B5" s="25" t="inlineStr">
        <is>
          <t>Decision</t>
        </is>
      </c>
      <c r="C5" s="25" t="inlineStr">
        <is>
          <t>Accountable</t>
        </is>
      </c>
      <c r="D5" s="28" t="inlineStr">
        <is>
          <t>Check</t>
        </is>
      </c>
    </row>
    <row r="6">
      <c r="A6" s="14" t="n"/>
      <c r="B6" s="26" t="n"/>
      <c r="C6" s="29" t="n"/>
      <c r="D6" s="31">
        <f>IF(AND($A6="",$B6="",$C6=""),"",IF(OR($C6="",ISNUMBER(SEARCH(",",$C6)),ISNUMBER(SEARCH(" and ",$C6)),ISNUMBER(SEARCH("&amp;",$C6)),ISNUMBER(SEARCH("/",$C6)),ISNUMBER(SEARCH(";",$C6))),"△ Needs one accountable person","○ Clear"))</f>
        <v/>
      </c>
    </row>
    <row r="7">
      <c r="A7" s="14" t="n"/>
      <c r="B7" s="26" t="n"/>
      <c r="C7" s="29" t="n"/>
      <c r="D7" s="31">
        <f>IF(AND($A7="",$B7="",$C7=""),"",IF(OR($C7="",ISNUMBER(SEARCH(",",$C7)),ISNUMBER(SEARCH(" and ",$C7)),ISNUMBER(SEARCH("&amp;",$C7)),ISNUMBER(SEARCH("/",$C7)),ISNUMBER(SEARCH(";",$C7))),"△ Needs one accountable person","○ Clear"))</f>
        <v/>
      </c>
    </row>
    <row r="8">
      <c r="A8" s="14" t="n"/>
      <c r="B8" s="26" t="n"/>
      <c r="C8" s="29" t="n"/>
      <c r="D8" s="31">
        <f>IF(AND($A8="",$B8="",$C8=""),"",IF(OR($C8="",ISNUMBER(SEARCH(",",$C8)),ISNUMBER(SEARCH(" and ",$C8)),ISNUMBER(SEARCH("&amp;",$C8)),ISNUMBER(SEARCH("/",$C8)),ISNUMBER(SEARCH(";",$C8))),"△ Needs one accountable person","○ Clear"))</f>
        <v/>
      </c>
    </row>
    <row r="9">
      <c r="A9" s="14" t="n"/>
      <c r="B9" s="26" t="n"/>
      <c r="C9" s="29" t="n"/>
      <c r="D9" s="31">
        <f>IF(AND($A9="",$B9="",$C9=""),"",IF(OR($C9="",ISNUMBER(SEARCH(",",$C9)),ISNUMBER(SEARCH(" and ",$C9)),ISNUMBER(SEARCH("&amp;",$C9)),ISNUMBER(SEARCH("/",$C9)),ISNUMBER(SEARCH(";",$C9))),"△ Needs one accountable person","○ Clear"))</f>
        <v/>
      </c>
    </row>
    <row r="10">
      <c r="A10" s="14" t="n"/>
      <c r="B10" s="26" t="n"/>
      <c r="C10" s="29" t="n"/>
      <c r="D10" s="31">
        <f>IF(AND($A10="",$B10="",$C10=""),"",IF(OR($C10="",ISNUMBER(SEARCH(",",$C10)),ISNUMBER(SEARCH(" and ",$C10)),ISNUMBER(SEARCH("&amp;",$C10)),ISNUMBER(SEARCH("/",$C10)),ISNUMBER(SEARCH(";",$C10))),"△ Needs one accountable person","○ Clear"))</f>
        <v/>
      </c>
    </row>
    <row r="11">
      <c r="A11" s="14" t="n"/>
      <c r="B11" s="26" t="n"/>
      <c r="C11" s="29" t="n"/>
      <c r="D11" s="31">
        <f>IF(AND($A11="",$B11="",$C11=""),"",IF(OR($C11="",ISNUMBER(SEARCH(",",$C11)),ISNUMBER(SEARCH(" and ",$C11)),ISNUMBER(SEARCH("&amp;",$C11)),ISNUMBER(SEARCH("/",$C11)),ISNUMBER(SEARCH(";",$C11))),"△ Needs one accountable person","○ Clear"))</f>
        <v/>
      </c>
    </row>
    <row r="12">
      <c r="A12" s="14" t="n"/>
      <c r="B12" s="26" t="n"/>
      <c r="C12" s="29" t="n"/>
      <c r="D12" s="31">
        <f>IF(AND($A12="",$B12="",$C12=""),"",IF(OR($C12="",ISNUMBER(SEARCH(",",$C12)),ISNUMBER(SEARCH(" and ",$C12)),ISNUMBER(SEARCH("&amp;",$C12)),ISNUMBER(SEARCH("/",$C12)),ISNUMBER(SEARCH(";",$C12))),"△ Needs one accountable person","○ Clear"))</f>
        <v/>
      </c>
    </row>
    <row r="13">
      <c r="A13" s="14" t="n"/>
      <c r="B13" s="26" t="n"/>
      <c r="C13" s="29" t="n"/>
      <c r="D13" s="31">
        <f>IF(AND($A13="",$B13="",$C13=""),"",IF(OR($C13="",ISNUMBER(SEARCH(",",$C13)),ISNUMBER(SEARCH(" and ",$C13)),ISNUMBER(SEARCH("&amp;",$C13)),ISNUMBER(SEARCH("/",$C13)),ISNUMBER(SEARCH(";",$C13))),"△ Needs one accountable person","○ Clear"))</f>
        <v/>
      </c>
    </row>
    <row r="14">
      <c r="A14" s="14" t="n"/>
      <c r="B14" s="26" t="n"/>
      <c r="C14" s="29" t="n"/>
      <c r="D14" s="31">
        <f>IF(AND($A14="",$B14="",$C14=""),"",IF(OR($C14="",ISNUMBER(SEARCH(",",$C14)),ISNUMBER(SEARCH(" and ",$C14)),ISNUMBER(SEARCH("&amp;",$C14)),ISNUMBER(SEARCH("/",$C14)),ISNUMBER(SEARCH(";",$C14))),"△ Needs one accountable person","○ Clear"))</f>
        <v/>
      </c>
    </row>
    <row r="15">
      <c r="A15" s="14" t="n"/>
      <c r="B15" s="26" t="n"/>
      <c r="C15" s="29" t="n"/>
      <c r="D15" s="31">
        <f>IF(AND($A15="",$B15="",$C15=""),"",IF(OR($C15="",ISNUMBER(SEARCH(",",$C15)),ISNUMBER(SEARCH(" and ",$C15)),ISNUMBER(SEARCH("&amp;",$C15)),ISNUMBER(SEARCH("/",$C15)),ISNUMBER(SEARCH(";",$C15))),"△ Needs one accountable person","○ Clear"))</f>
        <v/>
      </c>
    </row>
    <row r="16">
      <c r="A16" s="14" t="n"/>
      <c r="B16" s="26" t="n"/>
      <c r="C16" s="29" t="n"/>
      <c r="D16" s="31">
        <f>IF(AND($A16="",$B16="",$C16=""),"",IF(OR($C16="",ISNUMBER(SEARCH(",",$C16)),ISNUMBER(SEARCH(" and ",$C16)),ISNUMBER(SEARCH("&amp;",$C16)),ISNUMBER(SEARCH("/",$C16)),ISNUMBER(SEARCH(";",$C16))),"△ Needs one accountable person","○ Clear"))</f>
        <v/>
      </c>
    </row>
    <row r="17">
      <c r="A17" s="14" t="n"/>
      <c r="B17" s="26" t="n"/>
      <c r="C17" s="29" t="n"/>
      <c r="D17" s="31">
        <f>IF(AND($A17="",$B17="",$C17=""),"",IF(OR($C17="",ISNUMBER(SEARCH(",",$C17)),ISNUMBER(SEARCH(" and ",$C17)),ISNUMBER(SEARCH("&amp;",$C17)),ISNUMBER(SEARCH("/",$C17)),ISNUMBER(SEARCH(";",$C17))),"△ Needs one accountable person","○ Clear"))</f>
        <v/>
      </c>
    </row>
    <row r="18">
      <c r="A18" s="14" t="n"/>
      <c r="B18" s="26" t="n"/>
      <c r="C18" s="29" t="n"/>
      <c r="D18" s="31">
        <f>IF(AND($A18="",$B18="",$C18=""),"",IF(OR($C18="",ISNUMBER(SEARCH(",",$C18)),ISNUMBER(SEARCH(" and ",$C18)),ISNUMBER(SEARCH("&amp;",$C18)),ISNUMBER(SEARCH("/",$C18)),ISNUMBER(SEARCH(";",$C18))),"△ Needs one accountable person","○ Clear"))</f>
        <v/>
      </c>
    </row>
    <row r="19">
      <c r="A19" s="14" t="n"/>
      <c r="B19" s="26" t="n"/>
      <c r="C19" s="29" t="n"/>
      <c r="D19" s="31">
        <f>IF(AND($A19="",$B19="",$C19=""),"",IF(OR($C19="",ISNUMBER(SEARCH(",",$C19)),ISNUMBER(SEARCH(" and ",$C19)),ISNUMBER(SEARCH("&amp;",$C19)),ISNUMBER(SEARCH("/",$C19)),ISNUMBER(SEARCH(";",$C19))),"△ Needs one accountable person","○ Clear"))</f>
        <v/>
      </c>
    </row>
    <row r="20">
      <c r="A20" s="14" t="n"/>
      <c r="B20" s="26" t="n"/>
      <c r="C20" s="29" t="n"/>
      <c r="D20" s="31">
        <f>IF(AND($A20="",$B20="",$C20=""),"",IF(OR($C20="",ISNUMBER(SEARCH(",",$C20)),ISNUMBER(SEARCH(" and ",$C20)),ISNUMBER(SEARCH("&amp;",$C20)),ISNUMBER(SEARCH("/",$C20)),ISNUMBER(SEARCH(";",$C20))),"△ Needs one accountable person","○ Clear"))</f>
        <v/>
      </c>
    </row>
    <row r="21">
      <c r="A21" s="14" t="n"/>
      <c r="B21" s="26" t="n"/>
      <c r="C21" s="29" t="n"/>
      <c r="D21" s="31">
        <f>IF(AND($A21="",$B21="",$C21=""),"",IF(OR($C21="",ISNUMBER(SEARCH(",",$C21)),ISNUMBER(SEARCH(" and ",$C21)),ISNUMBER(SEARCH("&amp;",$C21)),ISNUMBER(SEARCH("/",$C21)),ISNUMBER(SEARCH(";",$C21))),"△ Needs one accountable person","○ Clear"))</f>
        <v/>
      </c>
    </row>
    <row r="22">
      <c r="A22" s="14" t="n"/>
      <c r="B22" s="26" t="n"/>
      <c r="C22" s="29" t="n"/>
      <c r="D22" s="31">
        <f>IF(AND($A22="",$B22="",$C22=""),"",IF(OR($C22="",ISNUMBER(SEARCH(",",$C22)),ISNUMBER(SEARCH(" and ",$C22)),ISNUMBER(SEARCH("&amp;",$C22)),ISNUMBER(SEARCH("/",$C22)),ISNUMBER(SEARCH(";",$C22))),"△ Needs one accountable person","○ Clear"))</f>
        <v/>
      </c>
    </row>
    <row r="23">
      <c r="A23" s="14" t="n"/>
      <c r="B23" s="26" t="n"/>
      <c r="C23" s="29" t="n"/>
      <c r="D23" s="31">
        <f>IF(AND($A23="",$B23="",$C23=""),"",IF(OR($C23="",ISNUMBER(SEARCH(",",$C23)),ISNUMBER(SEARCH(" and ",$C23)),ISNUMBER(SEARCH("&amp;",$C23)),ISNUMBER(SEARCH("/",$C23)),ISNUMBER(SEARCH(";",$C23))),"△ Needs one accountable person","○ Clear"))</f>
        <v/>
      </c>
    </row>
    <row r="24">
      <c r="A24" s="14" t="n"/>
      <c r="B24" s="26" t="n"/>
      <c r="C24" s="29" t="n"/>
      <c r="D24" s="31">
        <f>IF(AND($A24="",$B24="",$C24=""),"",IF(OR($C24="",ISNUMBER(SEARCH(",",$C24)),ISNUMBER(SEARCH(" and ",$C24)),ISNUMBER(SEARCH("&amp;",$C24)),ISNUMBER(SEARCH("/",$C24)),ISNUMBER(SEARCH(";",$C24))),"△ Needs one accountable person","○ Clear"))</f>
        <v/>
      </c>
    </row>
    <row r="25">
      <c r="A25" s="14" t="n"/>
      <c r="B25" s="26" t="n"/>
      <c r="C25" s="29" t="n"/>
      <c r="D25" s="31">
        <f>IF(AND($A25="",$B25="",$C25=""),"",IF(OR($C25="",ISNUMBER(SEARCH(",",$C25)),ISNUMBER(SEARCH(" and ",$C25)),ISNUMBER(SEARCH("&amp;",$C25)),ISNUMBER(SEARCH("/",$C25)),ISNUMBER(SEARCH(";",$C25))),"△ Needs one accountable person","○ Clear"))</f>
        <v/>
      </c>
    </row>
    <row r="26">
      <c r="A26" s="14" t="n"/>
      <c r="B26" s="26" t="n"/>
      <c r="C26" s="29" t="n"/>
      <c r="D26" s="31">
        <f>IF(AND($A26="",$B26="",$C26=""),"",IF(OR($C26="",ISNUMBER(SEARCH(",",$C26)),ISNUMBER(SEARCH(" and ",$C26)),ISNUMBER(SEARCH("&amp;",$C26)),ISNUMBER(SEARCH("/",$C26)),ISNUMBER(SEARCH(";",$C26))),"△ Needs one accountable person","○ Clear"))</f>
        <v/>
      </c>
    </row>
    <row r="27">
      <c r="A27" s="14" t="n"/>
      <c r="B27" s="26" t="n"/>
      <c r="C27" s="29" t="n"/>
      <c r="D27" s="31">
        <f>IF(AND($A27="",$B27="",$C27=""),"",IF(OR($C27="",ISNUMBER(SEARCH(",",$C27)),ISNUMBER(SEARCH(" and ",$C27)),ISNUMBER(SEARCH("&amp;",$C27)),ISNUMBER(SEARCH("/",$C27)),ISNUMBER(SEARCH(";",$C27))),"△ Needs one accountable person","○ Clear"))</f>
        <v/>
      </c>
    </row>
    <row r="28">
      <c r="A28" s="14" t="n"/>
      <c r="B28" s="26" t="n"/>
      <c r="C28" s="29" t="n"/>
      <c r="D28" s="31">
        <f>IF(AND($A28="",$B28="",$C28=""),"",IF(OR($C28="",ISNUMBER(SEARCH(",",$C28)),ISNUMBER(SEARCH(" and ",$C28)),ISNUMBER(SEARCH("&amp;",$C28)),ISNUMBER(SEARCH("/",$C28)),ISNUMBER(SEARCH(";",$C28))),"△ Needs one accountable person","○ Clear"))</f>
        <v/>
      </c>
    </row>
    <row r="29">
      <c r="A29" s="14" t="n"/>
      <c r="B29" s="26" t="n"/>
      <c r="C29" s="29" t="n"/>
      <c r="D29" s="31">
        <f>IF(AND($A29="",$B29="",$C29=""),"",IF(OR($C29="",ISNUMBER(SEARCH(",",$C29)),ISNUMBER(SEARCH(" and ",$C29)),ISNUMBER(SEARCH("&amp;",$C29)),ISNUMBER(SEARCH("/",$C29)),ISNUMBER(SEARCH(";",$C29))),"△ Needs one accountable person","○ Clear"))</f>
        <v/>
      </c>
    </row>
    <row r="30">
      <c r="A30" s="14" t="n"/>
      <c r="B30" s="26" t="n"/>
      <c r="C30" s="29" t="n"/>
      <c r="D30" s="31">
        <f>IF(AND($A30="",$B30="",$C30=""),"",IF(OR($C30="",ISNUMBER(SEARCH(",",$C30)),ISNUMBER(SEARCH(" and ",$C30)),ISNUMBER(SEARCH("&amp;",$C30)),ISNUMBER(SEARCH("/",$C30)),ISNUMBER(SEARCH(";",$C30))),"△ Needs one accountable person","○ Clear"))</f>
        <v/>
      </c>
    </row>
    <row r="31">
      <c r="A31" s="14" t="n"/>
      <c r="B31" s="26" t="n"/>
      <c r="C31" s="29" t="n"/>
      <c r="D31" s="31">
        <f>IF(AND($A31="",$B31="",$C31=""),"",IF(OR($C31="",ISNUMBER(SEARCH(",",$C31)),ISNUMBER(SEARCH(" and ",$C31)),ISNUMBER(SEARCH("&amp;",$C31)),ISNUMBER(SEARCH("/",$C31)),ISNUMBER(SEARCH(";",$C31))),"△ Needs one accountable person","○ Clear"))</f>
        <v/>
      </c>
    </row>
    <row r="32">
      <c r="A32" s="14" t="n"/>
      <c r="B32" s="26" t="n"/>
      <c r="C32" s="29" t="n"/>
      <c r="D32" s="31">
        <f>IF(AND($A32="",$B32="",$C32=""),"",IF(OR($C32="",ISNUMBER(SEARCH(",",$C32)),ISNUMBER(SEARCH(" and ",$C32)),ISNUMBER(SEARCH("&amp;",$C32)),ISNUMBER(SEARCH("/",$C32)),ISNUMBER(SEARCH(";",$C32))),"△ Needs one accountable person","○ Clear"))</f>
        <v/>
      </c>
    </row>
    <row r="33">
      <c r="A33" s="14" t="n"/>
      <c r="B33" s="26" t="n"/>
      <c r="C33" s="29" t="n"/>
      <c r="D33" s="31">
        <f>IF(AND($A33="",$B33="",$C33=""),"",IF(OR($C33="",ISNUMBER(SEARCH(",",$C33)),ISNUMBER(SEARCH(" and ",$C33)),ISNUMBER(SEARCH("&amp;",$C33)),ISNUMBER(SEARCH("/",$C33)),ISNUMBER(SEARCH(";",$C33))),"△ Needs one accountable person","○ Clear"))</f>
        <v/>
      </c>
    </row>
    <row r="34">
      <c r="A34" s="14" t="n"/>
      <c r="B34" s="26" t="n"/>
      <c r="C34" s="29" t="n"/>
      <c r="D34" s="31">
        <f>IF(AND($A34="",$B34="",$C34=""),"",IF(OR($C34="",ISNUMBER(SEARCH(",",$C34)),ISNUMBER(SEARCH(" and ",$C34)),ISNUMBER(SEARCH("&amp;",$C34)),ISNUMBER(SEARCH("/",$C34)),ISNUMBER(SEARCH(";",$C34))),"△ Needs one accountable person","○ Clear"))</f>
        <v/>
      </c>
    </row>
    <row r="35">
      <c r="A35" s="14" t="n"/>
      <c r="B35" s="26" t="n"/>
      <c r="C35" s="29" t="n"/>
      <c r="D35" s="31">
        <f>IF(AND($A35="",$B35="",$C35=""),"",IF(OR($C35="",ISNUMBER(SEARCH(",",$C35)),ISNUMBER(SEARCH(" and ",$C35)),ISNUMBER(SEARCH("&amp;",$C35)),ISNUMBER(SEARCH("/",$C35)),ISNUMBER(SEARCH(";",$C35))),"△ Needs one accountable person","○ Clear"))</f>
        <v/>
      </c>
    </row>
    <row r="36">
      <c r="A36" s="14" t="n"/>
      <c r="B36" s="26" t="n"/>
      <c r="C36" s="29" t="n"/>
      <c r="D36" s="31">
        <f>IF(AND($A36="",$B36="",$C36=""),"",IF(OR($C36="",ISNUMBER(SEARCH(",",$C36)),ISNUMBER(SEARCH(" and ",$C36)),ISNUMBER(SEARCH("&amp;",$C36)),ISNUMBER(SEARCH("/",$C36)),ISNUMBER(SEARCH(";",$C36))),"△ Needs one accountable person","○ Clear"))</f>
        <v/>
      </c>
    </row>
    <row r="37">
      <c r="A37" s="14" t="n"/>
      <c r="B37" s="26" t="n"/>
      <c r="C37" s="29" t="n"/>
      <c r="D37" s="31">
        <f>IF(AND($A37="",$B37="",$C37=""),"",IF(OR($C37="",ISNUMBER(SEARCH(",",$C37)),ISNUMBER(SEARCH(" and ",$C37)),ISNUMBER(SEARCH("&amp;",$C37)),ISNUMBER(SEARCH("/",$C37)),ISNUMBER(SEARCH(";",$C37))),"△ Needs one accountable person","○ Clear"))</f>
        <v/>
      </c>
    </row>
    <row r="38">
      <c r="A38" s="14" t="n"/>
      <c r="B38" s="26" t="n"/>
      <c r="C38" s="29" t="n"/>
      <c r="D38" s="31">
        <f>IF(AND($A38="",$B38="",$C38=""),"",IF(OR($C38="",ISNUMBER(SEARCH(",",$C38)),ISNUMBER(SEARCH(" and ",$C38)),ISNUMBER(SEARCH("&amp;",$C38)),ISNUMBER(SEARCH("/",$C38)),ISNUMBER(SEARCH(";",$C38))),"△ Needs one accountable person","○ Clear"))</f>
        <v/>
      </c>
    </row>
    <row r="39">
      <c r="A39" s="14" t="n"/>
      <c r="B39" s="26" t="n"/>
      <c r="C39" s="29" t="n"/>
      <c r="D39" s="31">
        <f>IF(AND($A39="",$B39="",$C39=""),"",IF(OR($C39="",ISNUMBER(SEARCH(",",$C39)),ISNUMBER(SEARCH(" and ",$C39)),ISNUMBER(SEARCH("&amp;",$C39)),ISNUMBER(SEARCH("/",$C39)),ISNUMBER(SEARCH(";",$C39))),"△ Needs one accountable person","○ Clear"))</f>
        <v/>
      </c>
    </row>
    <row r="40">
      <c r="A40" s="14" t="n"/>
      <c r="B40" s="26" t="n"/>
      <c r="C40" s="29" t="n"/>
      <c r="D40" s="31">
        <f>IF(AND($A40="",$B40="",$C40=""),"",IF(OR($C40="",ISNUMBER(SEARCH(",",$C40)),ISNUMBER(SEARCH(" and ",$C40)),ISNUMBER(SEARCH("&amp;",$C40)),ISNUMBER(SEARCH("/",$C40)),ISNUMBER(SEARCH(";",$C40))),"△ Needs one accountable person","○ Clear"))</f>
        <v/>
      </c>
    </row>
    <row r="41">
      <c r="A41" s="14" t="n"/>
      <c r="B41" s="26" t="n"/>
      <c r="C41" s="29" t="n"/>
      <c r="D41" s="31">
        <f>IF(AND($A41="",$B41="",$C41=""),"",IF(OR($C41="",ISNUMBER(SEARCH(",",$C41)),ISNUMBER(SEARCH(" and ",$C41)),ISNUMBER(SEARCH("&amp;",$C41)),ISNUMBER(SEARCH("/",$C41)),ISNUMBER(SEARCH(";",$C41))),"△ Needs one accountable person","○ Clear"))</f>
        <v/>
      </c>
    </row>
    <row r="42">
      <c r="A42" s="14" t="n"/>
      <c r="B42" s="26" t="n"/>
      <c r="C42" s="29" t="n"/>
      <c r="D42" s="31">
        <f>IF(AND($A42="",$B42="",$C42=""),"",IF(OR($C42="",ISNUMBER(SEARCH(",",$C42)),ISNUMBER(SEARCH(" and ",$C42)),ISNUMBER(SEARCH("&amp;",$C42)),ISNUMBER(SEARCH("/",$C42)),ISNUMBER(SEARCH(";",$C42))),"△ Needs one accountable person","○ Clear"))</f>
        <v/>
      </c>
    </row>
    <row r="43">
      <c r="A43" s="14" t="n"/>
      <c r="B43" s="26" t="n"/>
      <c r="C43" s="29" t="n"/>
      <c r="D43" s="31">
        <f>IF(AND($A43="",$B43="",$C43=""),"",IF(OR($C43="",ISNUMBER(SEARCH(",",$C43)),ISNUMBER(SEARCH(" and ",$C43)),ISNUMBER(SEARCH("&amp;",$C43)),ISNUMBER(SEARCH("/",$C43)),ISNUMBER(SEARCH(";",$C43))),"△ Needs one accountable person","○ Clear"))</f>
        <v/>
      </c>
    </row>
    <row r="44">
      <c r="A44" s="14" t="n"/>
      <c r="B44" s="26" t="n"/>
      <c r="C44" s="29" t="n"/>
      <c r="D44" s="31">
        <f>IF(AND($A44="",$B44="",$C44=""),"",IF(OR($C44="",ISNUMBER(SEARCH(",",$C44)),ISNUMBER(SEARCH(" and ",$C44)),ISNUMBER(SEARCH("&amp;",$C44)),ISNUMBER(SEARCH("/",$C44)),ISNUMBER(SEARCH(";",$C44))),"△ Needs one accountable person","○ Clear"))</f>
        <v/>
      </c>
    </row>
    <row r="45">
      <c r="A45" s="14" t="n"/>
      <c r="B45" s="26" t="n"/>
      <c r="C45" s="29" t="n"/>
      <c r="D45" s="31">
        <f>IF(AND($A45="",$B45="",$C45=""),"",IF(OR($C45="",ISNUMBER(SEARCH(",",$C45)),ISNUMBER(SEARCH(" and ",$C45)),ISNUMBER(SEARCH("&amp;",$C45)),ISNUMBER(SEARCH("/",$C45)),ISNUMBER(SEARCH(";",$C45))),"△ Needs one accountable person","○ Clear"))</f>
        <v/>
      </c>
    </row>
    <row r="46">
      <c r="A46" s="14" t="n"/>
      <c r="B46" s="26" t="n"/>
      <c r="C46" s="29" t="n"/>
      <c r="D46" s="31">
        <f>IF(AND($A46="",$B46="",$C46=""),"",IF(OR($C46="",ISNUMBER(SEARCH(",",$C46)),ISNUMBER(SEARCH(" and ",$C46)),ISNUMBER(SEARCH("&amp;",$C46)),ISNUMBER(SEARCH("/",$C46)),ISNUMBER(SEARCH(";",$C46))),"△ Needs one accountable person","○ Clear"))</f>
        <v/>
      </c>
    </row>
    <row r="47">
      <c r="A47" s="14" t="n"/>
      <c r="B47" s="26" t="n"/>
      <c r="C47" s="29" t="n"/>
      <c r="D47" s="31">
        <f>IF(AND($A47="",$B47="",$C47=""),"",IF(OR($C47="",ISNUMBER(SEARCH(",",$C47)),ISNUMBER(SEARCH(" and ",$C47)),ISNUMBER(SEARCH("&amp;",$C47)),ISNUMBER(SEARCH("/",$C47)),ISNUMBER(SEARCH(";",$C47))),"△ Needs one accountable person","○ Clear"))</f>
        <v/>
      </c>
    </row>
    <row r="48">
      <c r="A48" s="14" t="n"/>
      <c r="B48" s="26" t="n"/>
      <c r="C48" s="29" t="n"/>
      <c r="D48" s="31">
        <f>IF(AND($A48="",$B48="",$C48=""),"",IF(OR($C48="",ISNUMBER(SEARCH(",",$C48)),ISNUMBER(SEARCH(" and ",$C48)),ISNUMBER(SEARCH("&amp;",$C48)),ISNUMBER(SEARCH("/",$C48)),ISNUMBER(SEARCH(";",$C48))),"△ Needs one accountable person","○ Clear"))</f>
        <v/>
      </c>
    </row>
    <row r="49">
      <c r="A49" s="14" t="n"/>
      <c r="B49" s="26" t="n"/>
      <c r="C49" s="29" t="n"/>
      <c r="D49" s="31">
        <f>IF(AND($A49="",$B49="",$C49=""),"",IF(OR($C49="",ISNUMBER(SEARCH(",",$C49)),ISNUMBER(SEARCH(" and ",$C49)),ISNUMBER(SEARCH("&amp;",$C49)),ISNUMBER(SEARCH("/",$C49)),ISNUMBER(SEARCH(";",$C49))),"△ Needs one accountable person","○ Clear"))</f>
        <v/>
      </c>
    </row>
    <row r="50">
      <c r="A50" s="14" t="n"/>
      <c r="B50" s="26" t="n"/>
      <c r="C50" s="29" t="n"/>
      <c r="D50" s="31">
        <f>IF(AND($A50="",$B50="",$C50=""),"",IF(OR($C50="",ISNUMBER(SEARCH(",",$C50)),ISNUMBER(SEARCH(" and ",$C50)),ISNUMBER(SEARCH("&amp;",$C50)),ISNUMBER(SEARCH("/",$C50)),ISNUMBER(SEARCH(";",$C50))),"△ Needs one accountable person","○ Clear"))</f>
        <v/>
      </c>
    </row>
    <row r="51">
      <c r="A51" s="14" t="n"/>
      <c r="B51" s="26" t="n"/>
      <c r="C51" s="29" t="n"/>
      <c r="D51" s="31">
        <f>IF(AND($A51="",$B51="",$C51=""),"",IF(OR($C51="",ISNUMBER(SEARCH(",",$C51)),ISNUMBER(SEARCH(" and ",$C51)),ISNUMBER(SEARCH("&amp;",$C51)),ISNUMBER(SEARCH("/",$C51)),ISNUMBER(SEARCH(";",$C51))),"△ Needs one accountable person","○ Clear"))</f>
        <v/>
      </c>
    </row>
    <row r="52">
      <c r="A52" s="14" t="n"/>
      <c r="B52" s="26" t="n"/>
      <c r="C52" s="29" t="n"/>
      <c r="D52" s="31">
        <f>IF(AND($A52="",$B52="",$C52=""),"",IF(OR($C52="",ISNUMBER(SEARCH(",",$C52)),ISNUMBER(SEARCH(" and ",$C52)),ISNUMBER(SEARCH("&amp;",$C52)),ISNUMBER(SEARCH("/",$C52)),ISNUMBER(SEARCH(";",$C52))),"△ Needs one accountable person","○ Clear"))</f>
        <v/>
      </c>
    </row>
    <row r="53">
      <c r="A53" s="14" t="n"/>
      <c r="B53" s="26" t="n"/>
      <c r="C53" s="29" t="n"/>
      <c r="D53" s="31">
        <f>IF(AND($A53="",$B53="",$C53=""),"",IF(OR($C53="",ISNUMBER(SEARCH(",",$C53)),ISNUMBER(SEARCH(" and ",$C53)),ISNUMBER(SEARCH("&amp;",$C53)),ISNUMBER(SEARCH("/",$C53)),ISNUMBER(SEARCH(";",$C53))),"△ Needs one accountable person","○ Clear"))</f>
        <v/>
      </c>
    </row>
    <row r="54">
      <c r="A54" s="14" t="n"/>
      <c r="B54" s="26" t="n"/>
      <c r="C54" s="29" t="n"/>
      <c r="D54" s="31">
        <f>IF(AND($A54="",$B54="",$C54=""),"",IF(OR($C54="",ISNUMBER(SEARCH(",",$C54)),ISNUMBER(SEARCH(" and ",$C54)),ISNUMBER(SEARCH("&amp;",$C54)),ISNUMBER(SEARCH("/",$C54)),ISNUMBER(SEARCH(";",$C54))),"△ Needs one accountable person","○ Clear"))</f>
        <v/>
      </c>
    </row>
    <row r="55">
      <c r="A55" s="14" t="n"/>
      <c r="B55" s="26" t="n"/>
      <c r="C55" s="29" t="n"/>
      <c r="D55" s="31">
        <f>IF(AND($A55="",$B55="",$C55=""),"",IF(OR($C55="",ISNUMBER(SEARCH(",",$C55)),ISNUMBER(SEARCH(" and ",$C55)),ISNUMBER(SEARCH("&amp;",$C55)),ISNUMBER(SEARCH("/",$C55)),ISNUMBER(SEARCH(";",$C55))),"△ Needs one accountable person","○ Clear"))</f>
        <v/>
      </c>
    </row>
    <row r="56">
      <c r="A56" s="14" t="n"/>
      <c r="B56" s="26" t="n"/>
      <c r="C56" s="29" t="n"/>
      <c r="D56" s="31">
        <f>IF(AND($A56="",$B56="",$C56=""),"",IF(OR($C56="",ISNUMBER(SEARCH(",",$C56)),ISNUMBER(SEARCH(" and ",$C56)),ISNUMBER(SEARCH("&amp;",$C56)),ISNUMBER(SEARCH("/",$C56)),ISNUMBER(SEARCH(";",$C56))),"△ Needs one accountable person","○ Clear"))</f>
        <v/>
      </c>
    </row>
    <row r="57">
      <c r="A57" s="14" t="n"/>
      <c r="B57" s="26" t="n"/>
      <c r="C57" s="29" t="n"/>
      <c r="D57" s="31">
        <f>IF(AND($A57="",$B57="",$C57=""),"",IF(OR($C57="",ISNUMBER(SEARCH(",",$C57)),ISNUMBER(SEARCH(" and ",$C57)),ISNUMBER(SEARCH("&amp;",$C57)),ISNUMBER(SEARCH("/",$C57)),ISNUMBER(SEARCH(";",$C57))),"△ Needs one accountable person","○ Clear"))</f>
        <v/>
      </c>
    </row>
    <row r="58">
      <c r="A58" s="14" t="n"/>
      <c r="B58" s="26" t="n"/>
      <c r="C58" s="29" t="n"/>
      <c r="D58" s="31">
        <f>IF(AND($A58="",$B58="",$C58=""),"",IF(OR($C58="",ISNUMBER(SEARCH(",",$C58)),ISNUMBER(SEARCH(" and ",$C58)),ISNUMBER(SEARCH("&amp;",$C58)),ISNUMBER(SEARCH("/",$C58)),ISNUMBER(SEARCH(";",$C58))),"△ Needs one accountable person","○ Clear"))</f>
        <v/>
      </c>
    </row>
    <row r="59">
      <c r="A59" s="14" t="n"/>
      <c r="B59" s="26" t="n"/>
      <c r="C59" s="29" t="n"/>
      <c r="D59" s="31">
        <f>IF(AND($A59="",$B59="",$C59=""),"",IF(OR($C59="",ISNUMBER(SEARCH(",",$C59)),ISNUMBER(SEARCH(" and ",$C59)),ISNUMBER(SEARCH("&amp;",$C59)),ISNUMBER(SEARCH("/",$C59)),ISNUMBER(SEARCH(";",$C59))),"△ Needs one accountable person","○ Clear"))</f>
        <v/>
      </c>
    </row>
    <row r="60">
      <c r="A60" s="14" t="n"/>
      <c r="B60" s="26" t="n"/>
      <c r="C60" s="29" t="n"/>
      <c r="D60" s="31">
        <f>IF(AND($A60="",$B60="",$C60=""),"",IF(OR($C60="",ISNUMBER(SEARCH(",",$C60)),ISNUMBER(SEARCH(" and ",$C60)),ISNUMBER(SEARCH("&amp;",$C60)),ISNUMBER(SEARCH("/",$C60)),ISNUMBER(SEARCH(";",$C60))),"△ Needs one accountable person","○ Clear"))</f>
        <v/>
      </c>
    </row>
    <row r="61">
      <c r="A61" s="14" t="n"/>
      <c r="B61" s="26" t="n"/>
      <c r="C61" s="29" t="n"/>
      <c r="D61" s="31">
        <f>IF(AND($A61="",$B61="",$C61=""),"",IF(OR($C61="",ISNUMBER(SEARCH(",",$C61)),ISNUMBER(SEARCH(" and ",$C61)),ISNUMBER(SEARCH("&amp;",$C61)),ISNUMBER(SEARCH("/",$C61)),ISNUMBER(SEARCH(";",$C61))),"△ Needs one accountable person","○ Clear"))</f>
        <v/>
      </c>
    </row>
    <row r="62">
      <c r="A62" s="14" t="n"/>
      <c r="B62" s="26" t="n"/>
      <c r="C62" s="29" t="n"/>
      <c r="D62" s="31">
        <f>IF(AND($A62="",$B62="",$C62=""),"",IF(OR($C62="",ISNUMBER(SEARCH(",",$C62)),ISNUMBER(SEARCH(" and ",$C62)),ISNUMBER(SEARCH("&amp;",$C62)),ISNUMBER(SEARCH("/",$C62)),ISNUMBER(SEARCH(";",$C62))),"△ Needs one accountable person","○ Clear"))</f>
        <v/>
      </c>
    </row>
    <row r="63">
      <c r="A63" s="14" t="n"/>
      <c r="B63" s="26" t="n"/>
      <c r="C63" s="29" t="n"/>
      <c r="D63" s="31">
        <f>IF(AND($A63="",$B63="",$C63=""),"",IF(OR($C63="",ISNUMBER(SEARCH(",",$C63)),ISNUMBER(SEARCH(" and ",$C63)),ISNUMBER(SEARCH("&amp;",$C63)),ISNUMBER(SEARCH("/",$C63)),ISNUMBER(SEARCH(";",$C63))),"△ Needs one accountable person","○ Clear"))</f>
        <v/>
      </c>
    </row>
    <row r="64">
      <c r="A64" s="14" t="n"/>
      <c r="B64" s="26" t="n"/>
      <c r="C64" s="29" t="n"/>
      <c r="D64" s="31">
        <f>IF(AND($A64="",$B64="",$C64=""),"",IF(OR($C64="",ISNUMBER(SEARCH(",",$C64)),ISNUMBER(SEARCH(" and ",$C64)),ISNUMBER(SEARCH("&amp;",$C64)),ISNUMBER(SEARCH("/",$C64)),ISNUMBER(SEARCH(";",$C64))),"△ Needs one accountable person","○ Clear"))</f>
        <v/>
      </c>
    </row>
    <row r="65">
      <c r="A65" s="14" t="n"/>
      <c r="B65" s="26" t="n"/>
      <c r="C65" s="29" t="n"/>
      <c r="D65" s="31">
        <f>IF(AND($A65="",$B65="",$C65=""),"",IF(OR($C65="",ISNUMBER(SEARCH(",",$C65)),ISNUMBER(SEARCH(" and ",$C65)),ISNUMBER(SEARCH("&amp;",$C65)),ISNUMBER(SEARCH("/",$C65)),ISNUMBER(SEARCH(";",$C65))),"△ Needs one accountable person","○ Clear"))</f>
        <v/>
      </c>
    </row>
    <row r="66">
      <c r="A66" s="14" t="n"/>
      <c r="B66" s="26" t="n"/>
      <c r="C66" s="29" t="n"/>
      <c r="D66" s="31">
        <f>IF(AND($A66="",$B66="",$C66=""),"",IF(OR($C66="",ISNUMBER(SEARCH(",",$C66)),ISNUMBER(SEARCH(" and ",$C66)),ISNUMBER(SEARCH("&amp;",$C66)),ISNUMBER(SEARCH("/",$C66)),ISNUMBER(SEARCH(";",$C66))),"△ Needs one accountable person","○ Clear"))</f>
        <v/>
      </c>
    </row>
    <row r="67">
      <c r="A67" s="14" t="n"/>
      <c r="B67" s="26" t="n"/>
      <c r="C67" s="29" t="n"/>
      <c r="D67" s="31">
        <f>IF(AND($A67="",$B67="",$C67=""),"",IF(OR($C67="",ISNUMBER(SEARCH(",",$C67)),ISNUMBER(SEARCH(" and ",$C67)),ISNUMBER(SEARCH("&amp;",$C67)),ISNUMBER(SEARCH("/",$C67)),ISNUMBER(SEARCH(";",$C67))),"△ Needs one accountable person","○ Clear"))</f>
        <v/>
      </c>
    </row>
    <row r="68">
      <c r="A68" s="14" t="n"/>
      <c r="B68" s="26" t="n"/>
      <c r="C68" s="29" t="n"/>
      <c r="D68" s="31">
        <f>IF(AND($A68="",$B68="",$C68=""),"",IF(OR($C68="",ISNUMBER(SEARCH(",",$C68)),ISNUMBER(SEARCH(" and ",$C68)),ISNUMBER(SEARCH("&amp;",$C68)),ISNUMBER(SEARCH("/",$C68)),ISNUMBER(SEARCH(";",$C68))),"△ Needs one accountable person","○ Clear"))</f>
        <v/>
      </c>
    </row>
    <row r="69">
      <c r="A69" s="14" t="n"/>
      <c r="B69" s="26" t="n"/>
      <c r="C69" s="29" t="n"/>
      <c r="D69" s="31">
        <f>IF(AND($A69="",$B69="",$C69=""),"",IF(OR($C69="",ISNUMBER(SEARCH(",",$C69)),ISNUMBER(SEARCH(" and ",$C69)),ISNUMBER(SEARCH("&amp;",$C69)),ISNUMBER(SEARCH("/",$C69)),ISNUMBER(SEARCH(";",$C69))),"△ Needs one accountable person","○ Clear"))</f>
        <v/>
      </c>
    </row>
    <row r="70">
      <c r="A70" s="14" t="n"/>
      <c r="B70" s="26" t="n"/>
      <c r="C70" s="29" t="n"/>
      <c r="D70" s="31">
        <f>IF(AND($A70="",$B70="",$C70=""),"",IF(OR($C70="",ISNUMBER(SEARCH(",",$C70)),ISNUMBER(SEARCH(" and ",$C70)),ISNUMBER(SEARCH("&amp;",$C70)),ISNUMBER(SEARCH("/",$C70)),ISNUMBER(SEARCH(";",$C70))),"△ Needs one accountable person","○ Clear"))</f>
        <v/>
      </c>
    </row>
    <row r="71">
      <c r="A71" s="14" t="n"/>
      <c r="B71" s="26" t="n"/>
      <c r="C71" s="29" t="n"/>
      <c r="D71" s="31">
        <f>IF(AND($A71="",$B71="",$C71=""),"",IF(OR($C71="",ISNUMBER(SEARCH(",",$C71)),ISNUMBER(SEARCH(" and ",$C71)),ISNUMBER(SEARCH("&amp;",$C71)),ISNUMBER(SEARCH("/",$C71)),ISNUMBER(SEARCH(";",$C71))),"△ Needs one accountable person","○ Clear"))</f>
        <v/>
      </c>
    </row>
    <row r="72">
      <c r="A72" s="14" t="n"/>
      <c r="B72" s="26" t="n"/>
      <c r="C72" s="29" t="n"/>
      <c r="D72" s="31">
        <f>IF(AND($A72="",$B72="",$C72=""),"",IF(OR($C72="",ISNUMBER(SEARCH(",",$C72)),ISNUMBER(SEARCH(" and ",$C72)),ISNUMBER(SEARCH("&amp;",$C72)),ISNUMBER(SEARCH("/",$C72)),ISNUMBER(SEARCH(";",$C72))),"△ Needs one accountable person","○ Clear"))</f>
        <v/>
      </c>
    </row>
    <row r="73">
      <c r="A73" s="14" t="n"/>
      <c r="B73" s="26" t="n"/>
      <c r="C73" s="29" t="n"/>
      <c r="D73" s="31">
        <f>IF(AND($A73="",$B73="",$C73=""),"",IF(OR($C73="",ISNUMBER(SEARCH(",",$C73)),ISNUMBER(SEARCH(" and ",$C73)),ISNUMBER(SEARCH("&amp;",$C73)),ISNUMBER(SEARCH("/",$C73)),ISNUMBER(SEARCH(";",$C73))),"△ Needs one accountable person","○ Clear"))</f>
        <v/>
      </c>
    </row>
    <row r="74">
      <c r="A74" s="14" t="n"/>
      <c r="B74" s="26" t="n"/>
      <c r="C74" s="29" t="n"/>
      <c r="D74" s="31">
        <f>IF(AND($A74="",$B74="",$C74=""),"",IF(OR($C74="",ISNUMBER(SEARCH(",",$C74)),ISNUMBER(SEARCH(" and ",$C74)),ISNUMBER(SEARCH("&amp;",$C74)),ISNUMBER(SEARCH("/",$C74)),ISNUMBER(SEARCH(";",$C74))),"△ Needs one accountable person","○ Clear"))</f>
        <v/>
      </c>
    </row>
    <row r="75">
      <c r="A75" s="14" t="n"/>
      <c r="B75" s="26" t="n"/>
      <c r="C75" s="29" t="n"/>
      <c r="D75" s="31">
        <f>IF(AND($A75="",$B75="",$C75=""),"",IF(OR($C75="",ISNUMBER(SEARCH(",",$C75)),ISNUMBER(SEARCH(" and ",$C75)),ISNUMBER(SEARCH("&amp;",$C75)),ISNUMBER(SEARCH("/",$C75)),ISNUMBER(SEARCH(";",$C75))),"△ Needs one accountable person","○ Clear"))</f>
        <v/>
      </c>
    </row>
    <row r="76">
      <c r="A76" s="14" t="n"/>
      <c r="B76" s="26" t="n"/>
      <c r="C76" s="29" t="n"/>
      <c r="D76" s="31">
        <f>IF(AND($A76="",$B76="",$C76=""),"",IF(OR($C76="",ISNUMBER(SEARCH(",",$C76)),ISNUMBER(SEARCH(" and ",$C76)),ISNUMBER(SEARCH("&amp;",$C76)),ISNUMBER(SEARCH("/",$C76)),ISNUMBER(SEARCH(";",$C76))),"△ Needs one accountable person","○ Clear"))</f>
        <v/>
      </c>
    </row>
    <row r="77">
      <c r="A77" s="14" t="n"/>
      <c r="B77" s="26" t="n"/>
      <c r="C77" s="29" t="n"/>
      <c r="D77" s="31">
        <f>IF(AND($A77="",$B77="",$C77=""),"",IF(OR($C77="",ISNUMBER(SEARCH(",",$C77)),ISNUMBER(SEARCH(" and ",$C77)),ISNUMBER(SEARCH("&amp;",$C77)),ISNUMBER(SEARCH("/",$C77)),ISNUMBER(SEARCH(";",$C77))),"△ Needs one accountable person","○ Clear"))</f>
        <v/>
      </c>
    </row>
    <row r="78">
      <c r="A78" s="14" t="n"/>
      <c r="B78" s="26" t="n"/>
      <c r="C78" s="29" t="n"/>
      <c r="D78" s="31">
        <f>IF(AND($A78="",$B78="",$C78=""),"",IF(OR($C78="",ISNUMBER(SEARCH(",",$C78)),ISNUMBER(SEARCH(" and ",$C78)),ISNUMBER(SEARCH("&amp;",$C78)),ISNUMBER(SEARCH("/",$C78)),ISNUMBER(SEARCH(";",$C78))),"△ Needs one accountable person","○ Clear"))</f>
        <v/>
      </c>
    </row>
    <row r="79">
      <c r="A79" s="14" t="n"/>
      <c r="B79" s="26" t="n"/>
      <c r="C79" s="29" t="n"/>
      <c r="D79" s="31">
        <f>IF(AND($A79="",$B79="",$C79=""),"",IF(OR($C79="",ISNUMBER(SEARCH(",",$C79)),ISNUMBER(SEARCH(" and ",$C79)),ISNUMBER(SEARCH("&amp;",$C79)),ISNUMBER(SEARCH("/",$C79)),ISNUMBER(SEARCH(";",$C79))),"△ Needs one accountable person","○ Clear"))</f>
        <v/>
      </c>
    </row>
    <row r="80">
      <c r="A80" s="14" t="n"/>
      <c r="B80" s="26" t="n"/>
      <c r="C80" s="29" t="n"/>
      <c r="D80" s="31">
        <f>IF(AND($A80="",$B80="",$C80=""),"",IF(OR($C80="",ISNUMBER(SEARCH(",",$C80)),ISNUMBER(SEARCH(" and ",$C80)),ISNUMBER(SEARCH("&amp;",$C80)),ISNUMBER(SEARCH("/",$C80)),ISNUMBER(SEARCH(";",$C80))),"△ Needs one accountable person","○ Clear"))</f>
        <v/>
      </c>
    </row>
    <row r="81">
      <c r="A81" s="14" t="n"/>
      <c r="B81" s="26" t="n"/>
      <c r="C81" s="29" t="n"/>
      <c r="D81" s="31">
        <f>IF(AND($A81="",$B81="",$C81=""),"",IF(OR($C81="",ISNUMBER(SEARCH(",",$C81)),ISNUMBER(SEARCH(" and ",$C81)),ISNUMBER(SEARCH("&amp;",$C81)),ISNUMBER(SEARCH("/",$C81)),ISNUMBER(SEARCH(";",$C81))),"△ Needs one accountable person","○ Clear"))</f>
        <v/>
      </c>
    </row>
    <row r="82">
      <c r="A82" s="14" t="n"/>
      <c r="B82" s="26" t="n"/>
      <c r="C82" s="29" t="n"/>
      <c r="D82" s="31">
        <f>IF(AND($A82="",$B82="",$C82=""),"",IF(OR($C82="",ISNUMBER(SEARCH(",",$C82)),ISNUMBER(SEARCH(" and ",$C82)),ISNUMBER(SEARCH("&amp;",$C82)),ISNUMBER(SEARCH("/",$C82)),ISNUMBER(SEARCH(";",$C82))),"△ Needs one accountable person","○ Clear"))</f>
        <v/>
      </c>
    </row>
    <row r="83">
      <c r="A83" s="14" t="n"/>
      <c r="B83" s="26" t="n"/>
      <c r="C83" s="29" t="n"/>
      <c r="D83" s="31">
        <f>IF(AND($A83="",$B83="",$C83=""),"",IF(OR($C83="",ISNUMBER(SEARCH(",",$C83)),ISNUMBER(SEARCH(" and ",$C83)),ISNUMBER(SEARCH("&amp;",$C83)),ISNUMBER(SEARCH("/",$C83)),ISNUMBER(SEARCH(";",$C83))),"△ Needs one accountable person","○ Clear"))</f>
        <v/>
      </c>
    </row>
    <row r="84">
      <c r="A84" s="14" t="n"/>
      <c r="B84" s="26" t="n"/>
      <c r="C84" s="29" t="n"/>
      <c r="D84" s="31">
        <f>IF(AND($A84="",$B84="",$C84=""),"",IF(OR($C84="",ISNUMBER(SEARCH(",",$C84)),ISNUMBER(SEARCH(" and ",$C84)),ISNUMBER(SEARCH("&amp;",$C84)),ISNUMBER(SEARCH("/",$C84)),ISNUMBER(SEARCH(";",$C84))),"△ Needs one accountable person","○ Clear"))</f>
        <v/>
      </c>
    </row>
    <row r="85">
      <c r="A85" s="14" t="n"/>
      <c r="B85" s="26" t="n"/>
      <c r="C85" s="29" t="n"/>
      <c r="D85" s="31">
        <f>IF(AND($A85="",$B85="",$C85=""),"",IF(OR($C85="",ISNUMBER(SEARCH(",",$C85)),ISNUMBER(SEARCH(" and ",$C85)),ISNUMBER(SEARCH("&amp;",$C85)),ISNUMBER(SEARCH("/",$C85)),ISNUMBER(SEARCH(";",$C85))),"△ Needs one accountable person","○ Clear"))</f>
        <v/>
      </c>
    </row>
    <row r="86">
      <c r="A86" s="14" t="n"/>
      <c r="B86" s="26" t="n"/>
      <c r="C86" s="29" t="n"/>
      <c r="D86" s="31">
        <f>IF(AND($A86="",$B86="",$C86=""),"",IF(OR($C86="",ISNUMBER(SEARCH(",",$C86)),ISNUMBER(SEARCH(" and ",$C86)),ISNUMBER(SEARCH("&amp;",$C86)),ISNUMBER(SEARCH("/",$C86)),ISNUMBER(SEARCH(";",$C86))),"△ Needs one accountable person","○ Clear"))</f>
        <v/>
      </c>
    </row>
    <row r="87">
      <c r="A87" s="14" t="n"/>
      <c r="B87" s="26" t="n"/>
      <c r="C87" s="29" t="n"/>
      <c r="D87" s="31">
        <f>IF(AND($A87="",$B87="",$C87=""),"",IF(OR($C87="",ISNUMBER(SEARCH(",",$C87)),ISNUMBER(SEARCH(" and ",$C87)),ISNUMBER(SEARCH("&amp;",$C87)),ISNUMBER(SEARCH("/",$C87)),ISNUMBER(SEARCH(";",$C87))),"△ Needs one accountable person","○ Clear"))</f>
        <v/>
      </c>
    </row>
    <row r="88">
      <c r="A88" s="14" t="n"/>
      <c r="B88" s="26" t="n"/>
      <c r="C88" s="29" t="n"/>
      <c r="D88" s="31">
        <f>IF(AND($A88="",$B88="",$C88=""),"",IF(OR($C88="",ISNUMBER(SEARCH(",",$C88)),ISNUMBER(SEARCH(" and ",$C88)),ISNUMBER(SEARCH("&amp;",$C88)),ISNUMBER(SEARCH("/",$C88)),ISNUMBER(SEARCH(";",$C88))),"△ Needs one accountable person","○ Clear"))</f>
        <v/>
      </c>
    </row>
    <row r="89">
      <c r="A89" s="14" t="n"/>
      <c r="B89" s="26" t="n"/>
      <c r="C89" s="29" t="n"/>
      <c r="D89" s="31">
        <f>IF(AND($A89="",$B89="",$C89=""),"",IF(OR($C89="",ISNUMBER(SEARCH(",",$C89)),ISNUMBER(SEARCH(" and ",$C89)),ISNUMBER(SEARCH("&amp;",$C89)),ISNUMBER(SEARCH("/",$C89)),ISNUMBER(SEARCH(";",$C89))),"△ Needs one accountable person","○ Clear"))</f>
        <v/>
      </c>
    </row>
    <row r="90">
      <c r="A90" s="14" t="n"/>
      <c r="B90" s="26" t="n"/>
      <c r="C90" s="29" t="n"/>
      <c r="D90" s="31">
        <f>IF(AND($A90="",$B90="",$C90=""),"",IF(OR($C90="",ISNUMBER(SEARCH(",",$C90)),ISNUMBER(SEARCH(" and ",$C90)),ISNUMBER(SEARCH("&amp;",$C90)),ISNUMBER(SEARCH("/",$C90)),ISNUMBER(SEARCH(";",$C90))),"△ Needs one accountable person","○ Clear"))</f>
        <v/>
      </c>
    </row>
    <row r="91">
      <c r="A91" s="14" t="n"/>
      <c r="B91" s="26" t="n"/>
      <c r="C91" s="29" t="n"/>
      <c r="D91" s="31">
        <f>IF(AND($A91="",$B91="",$C91=""),"",IF(OR($C91="",ISNUMBER(SEARCH(",",$C91)),ISNUMBER(SEARCH(" and ",$C91)),ISNUMBER(SEARCH("&amp;",$C91)),ISNUMBER(SEARCH("/",$C91)),ISNUMBER(SEARCH(";",$C91))),"△ Needs one accountable person","○ Clear"))</f>
        <v/>
      </c>
    </row>
    <row r="92">
      <c r="A92" s="14" t="n"/>
      <c r="B92" s="26" t="n"/>
      <c r="C92" s="29" t="n"/>
      <c r="D92" s="31">
        <f>IF(AND($A92="",$B92="",$C92=""),"",IF(OR($C92="",ISNUMBER(SEARCH(",",$C92)),ISNUMBER(SEARCH(" and ",$C92)),ISNUMBER(SEARCH("&amp;",$C92)),ISNUMBER(SEARCH("/",$C92)),ISNUMBER(SEARCH(";",$C92))),"△ Needs one accountable person","○ Clear"))</f>
        <v/>
      </c>
    </row>
    <row r="93">
      <c r="A93" s="14" t="n"/>
      <c r="B93" s="26" t="n"/>
      <c r="C93" s="29" t="n"/>
      <c r="D93" s="31">
        <f>IF(AND($A93="",$B93="",$C93=""),"",IF(OR($C93="",ISNUMBER(SEARCH(",",$C93)),ISNUMBER(SEARCH(" and ",$C93)),ISNUMBER(SEARCH("&amp;",$C93)),ISNUMBER(SEARCH("/",$C93)),ISNUMBER(SEARCH(";",$C93))),"△ Needs one accountable person","○ Clear"))</f>
        <v/>
      </c>
    </row>
    <row r="94">
      <c r="A94" s="14" t="n"/>
      <c r="B94" s="26" t="n"/>
      <c r="C94" s="29" t="n"/>
      <c r="D94" s="31">
        <f>IF(AND($A94="",$B94="",$C94=""),"",IF(OR($C94="",ISNUMBER(SEARCH(",",$C94)),ISNUMBER(SEARCH(" and ",$C94)),ISNUMBER(SEARCH("&amp;",$C94)),ISNUMBER(SEARCH("/",$C94)),ISNUMBER(SEARCH(";",$C94))),"△ Needs one accountable person","○ Clear"))</f>
        <v/>
      </c>
    </row>
    <row r="95">
      <c r="A95" s="14" t="n"/>
      <c r="B95" s="26" t="n"/>
      <c r="C95" s="29" t="n"/>
      <c r="D95" s="31">
        <f>IF(AND($A95="",$B95="",$C95=""),"",IF(OR($C95="",ISNUMBER(SEARCH(",",$C95)),ISNUMBER(SEARCH(" and ",$C95)),ISNUMBER(SEARCH("&amp;",$C95)),ISNUMBER(SEARCH("/",$C95)),ISNUMBER(SEARCH(";",$C95))),"△ Needs one accountable person","○ Clear"))</f>
        <v/>
      </c>
    </row>
    <row r="96">
      <c r="A96" s="14" t="n"/>
      <c r="B96" s="26" t="n"/>
      <c r="C96" s="29" t="n"/>
      <c r="D96" s="31">
        <f>IF(AND($A96="",$B96="",$C96=""),"",IF(OR($C96="",ISNUMBER(SEARCH(",",$C96)),ISNUMBER(SEARCH(" and ",$C96)),ISNUMBER(SEARCH("&amp;",$C96)),ISNUMBER(SEARCH("/",$C96)),ISNUMBER(SEARCH(";",$C96))),"△ Needs one accountable person","○ Clear"))</f>
        <v/>
      </c>
    </row>
    <row r="97">
      <c r="A97" s="14" t="n"/>
      <c r="B97" s="26" t="n"/>
      <c r="C97" s="29" t="n"/>
      <c r="D97" s="31">
        <f>IF(AND($A97="",$B97="",$C97=""),"",IF(OR($C97="",ISNUMBER(SEARCH(",",$C97)),ISNUMBER(SEARCH(" and ",$C97)),ISNUMBER(SEARCH("&amp;",$C97)),ISNUMBER(SEARCH("/",$C97)),ISNUMBER(SEARCH(";",$C97))),"△ Needs one accountable person","○ Clear"))</f>
        <v/>
      </c>
    </row>
    <row r="98">
      <c r="A98" s="14" t="n"/>
      <c r="B98" s="26" t="n"/>
      <c r="C98" s="29" t="n"/>
      <c r="D98" s="31">
        <f>IF(AND($A98="",$B98="",$C98=""),"",IF(OR($C98="",ISNUMBER(SEARCH(",",$C98)),ISNUMBER(SEARCH(" and ",$C98)),ISNUMBER(SEARCH("&amp;",$C98)),ISNUMBER(SEARCH("/",$C98)),ISNUMBER(SEARCH(";",$C98))),"△ Needs one accountable person","○ Clear"))</f>
        <v/>
      </c>
    </row>
    <row r="99">
      <c r="A99" s="14" t="n"/>
      <c r="B99" s="26" t="n"/>
      <c r="C99" s="29" t="n"/>
      <c r="D99" s="31">
        <f>IF(AND($A99="",$B99="",$C99=""),"",IF(OR($C99="",ISNUMBER(SEARCH(",",$C99)),ISNUMBER(SEARCH(" and ",$C99)),ISNUMBER(SEARCH("&amp;",$C99)),ISNUMBER(SEARCH("/",$C99)),ISNUMBER(SEARCH(";",$C99))),"△ Needs one accountable person","○ Clear"))</f>
        <v/>
      </c>
    </row>
    <row r="100">
      <c r="A100" s="14" t="n"/>
      <c r="B100" s="26" t="n"/>
      <c r="C100" s="29" t="n"/>
      <c r="D100" s="31">
        <f>IF(AND($A100="",$B100="",$C100=""),"",IF(OR($C100="",ISNUMBER(SEARCH(",",$C100)),ISNUMBER(SEARCH(" and ",$C100)),ISNUMBER(SEARCH("&amp;",$C100)),ISNUMBER(SEARCH("/",$C100)),ISNUMBER(SEARCH(";",$C100))),"△ Needs one accountable person","○ Clear"))</f>
        <v/>
      </c>
    </row>
    <row r="101">
      <c r="A101" s="14" t="n"/>
      <c r="B101" s="26" t="n"/>
      <c r="C101" s="29" t="n"/>
      <c r="D101" s="31">
        <f>IF(AND($A101="",$B101="",$C101=""),"",IF(OR($C101="",ISNUMBER(SEARCH(",",$C101)),ISNUMBER(SEARCH(" and ",$C101)),ISNUMBER(SEARCH("&amp;",$C101)),ISNUMBER(SEARCH("/",$C101)),ISNUMBER(SEARCH(";",$C101))),"△ Needs one accountable person","○ Clear"))</f>
        <v/>
      </c>
    </row>
    <row r="102">
      <c r="A102" s="14" t="n"/>
      <c r="B102" s="26" t="n"/>
      <c r="C102" s="29" t="n"/>
      <c r="D102" s="31">
        <f>IF(AND($A102="",$B102="",$C102=""),"",IF(OR($C102="",ISNUMBER(SEARCH(",",$C102)),ISNUMBER(SEARCH(" and ",$C102)),ISNUMBER(SEARCH("&amp;",$C102)),ISNUMBER(SEARCH("/",$C102)),ISNUMBER(SEARCH(";",$C102))),"△ Needs one accountable person","○ Clear"))</f>
        <v/>
      </c>
    </row>
    <row r="103">
      <c r="A103" s="14" t="n"/>
      <c r="B103" s="26" t="n"/>
      <c r="C103" s="29" t="n"/>
      <c r="D103" s="31">
        <f>IF(AND($A103="",$B103="",$C103=""),"",IF(OR($C103="",ISNUMBER(SEARCH(",",$C103)),ISNUMBER(SEARCH(" and ",$C103)),ISNUMBER(SEARCH("&amp;",$C103)),ISNUMBER(SEARCH("/",$C103)),ISNUMBER(SEARCH(";",$C103))),"△ Needs one accountable person","○ Clear"))</f>
        <v/>
      </c>
    </row>
    <row r="104">
      <c r="A104" s="14" t="n"/>
      <c r="B104" s="26" t="n"/>
      <c r="C104" s="29" t="n"/>
      <c r="D104" s="31">
        <f>IF(AND($A104="",$B104="",$C104=""),"",IF(OR($C104="",ISNUMBER(SEARCH(",",$C104)),ISNUMBER(SEARCH(" and ",$C104)),ISNUMBER(SEARCH("&amp;",$C104)),ISNUMBER(SEARCH("/",$C104)),ISNUMBER(SEARCH(";",$C104))),"△ Needs one accountable person","○ Clear"))</f>
        <v/>
      </c>
    </row>
    <row r="105">
      <c r="A105" s="14" t="n"/>
      <c r="B105" s="26" t="n"/>
      <c r="C105" s="29" t="n"/>
      <c r="D105" s="31">
        <f>IF(AND($A105="",$B105="",$C105=""),"",IF(OR($C105="",ISNUMBER(SEARCH(",",$C105)),ISNUMBER(SEARCH(" and ",$C105)),ISNUMBER(SEARCH("&amp;",$C105)),ISNUMBER(SEARCH("/",$C105)),ISNUMBER(SEARCH(";",$C105))),"△ Needs one accountable person","○ Clear"))</f>
        <v/>
      </c>
    </row>
  </sheetData>
  <conditionalFormatting sqref="D6:D105">
    <cfRule type="expression" priority="1" dxfId="1" stopIfTrue="0">
      <formula>LEFT($D6,1)="△"</formula>
    </cfRule>
  </conditionalFormatting>
  <dataValidations count="3">
    <dataValidation sqref="A6:A105" showDropDown="0" showInputMessage="1" showErrorMessage="1" allowBlank="1" errorTitle="Check this entry" error="Type a date, such as 30 Jun 2027." promptTitle="Date" prompt="The day the steering group met." type="date" errorStyle="stop" operator="greaterThan">
      <formula1>36526</formula1>
    </dataValidation>
    <dataValidation sqref="B6:B105" showDropDown="0" showInputMessage="1" showErrorMessage="0" allowBlank="1" promptTitle="Decision" prompt="What was decided, in a line." errorStyle="stop"/>
    <dataValidation sqref="C6:C105" showDropDown="0" showInputMessage="1" showErrorMessage="0" allowBlank="1" promptTitle="Accountable" prompt="The one person accountable for this decision. One name." errorStyle="stop"/>
  </dataValidations>
  <pageMargins left="0.75" right="0.75" top="1" bottom="1" header="0.5" footer="0.5"/>
  <pageSetup orientation="landscape" fitToHeight="0" fitToWidth="1"/>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0"/>
  </sheetPr>
  <dimension ref="A1:H70"/>
  <sheetViews>
    <sheetView showGridLines="0" workbookViewId="0">
      <selection activeCell="A1" sqref="A1"/>
    </sheetView>
  </sheetViews>
  <sheetFormatPr baseColWidth="8" defaultRowHeight="15"/>
  <cols>
    <col width="34" customWidth="1" min="1" max="1"/>
    <col width="16" customWidth="1" min="2" max="2"/>
    <col width="12" customWidth="1" min="3" max="3"/>
    <col width="18" customWidth="1" min="4" max="4"/>
    <col width="34" customWidth="1" min="5" max="5"/>
    <col width="40" customWidth="1" min="6" max="6"/>
    <col width="4" customWidth="1" min="7" max="7"/>
    <col hidden="1" width="6" customWidth="1" min="8" max="8"/>
  </cols>
  <sheetData>
    <row r="1" ht="36" customHeight="1">
      <c r="B1" s="1" t="inlineStr">
        <is>
          <t>Board</t>
        </is>
      </c>
    </row>
    <row r="2" ht="16" customHeight="1">
      <c r="A2" s="2">
        <f>IF(Portfolio!$B$6="","","Portfolio: "&amp;Portfolio!$B$6)</f>
        <v/>
      </c>
    </row>
    <row r="3" ht="18" customHeight="1">
      <c r="A3" s="4" t="n"/>
    </row>
    <row r="4" ht="6" customHeight="1"/>
    <row r="5" ht="15" customHeight="1">
      <c r="A5" s="34">
        <f>"Director: "&amp;IF(Portfolio!$B$7="","not named",Portfolio!$B$7)</f>
        <v/>
      </c>
      <c r="E5" s="35">
        <f>"Last review: "&amp;IF(Portfolio!$B$10="","none recorded",TEXT(Portfolio!$B$10,"d mmm yyyy"))&amp;"   As of: "&amp;TEXT(TODAY(),"d mmm yyyy")</f>
        <v/>
      </c>
    </row>
    <row r="6" ht="6" customHeight="1"/>
    <row r="7" ht="16" customHeight="1">
      <c r="A7" s="11" t="inlineStr">
        <is>
          <t>1  Where it stands. Worked out from the Register's dates and money.</t>
        </is>
      </c>
    </row>
    <row r="8" ht="30" customHeight="1">
      <c r="A8" s="28" t="inlineStr">
        <is>
          <t>Health</t>
        </is>
      </c>
      <c r="B8" s="28" t="inlineStr">
        <is>
          <t>Programs and direct projects</t>
        </is>
      </c>
      <c r="C8" s="28" t="inlineStr">
        <is>
          <t>All current rows</t>
        </is>
      </c>
      <c r="D8" s="28" t="inlineStr">
        <is>
          <t>Of those, not checked</t>
        </is>
      </c>
      <c r="E8" s="28" t="inlineStr">
        <is>
          <t>Budget, programs and direct projects</t>
        </is>
      </c>
    </row>
    <row r="9" ht="15" customHeight="1">
      <c r="A9" s="31" t="inlineStr">
        <is>
          <t>■ Red</t>
        </is>
      </c>
      <c r="B9" s="21">
        <f>COUNTIFS(Register!$C$6:$C$305,"Portfolio",Register!$M$6:$M$305,$A9)</f>
        <v/>
      </c>
      <c r="C9" s="21">
        <f>COUNTIFS(Register!$AL$6:$AL$305,1,Register!$M$6:$M$305,$A9)</f>
        <v/>
      </c>
      <c r="D9" s="21">
        <f>COUNTIFS(Register!$AL$6:$AL$305,1,Register!$M$6:$M$305,$A9,Register!$AN$6:$AN$305,1)</f>
        <v/>
      </c>
      <c r="E9" s="36">
        <f>SUMIFS(Register!$K$6:$K$305,Register!$C$6:$C$305,"Portfolio",Register!$M$6:$M$305,$A9)</f>
        <v/>
      </c>
    </row>
    <row r="10" ht="15" customHeight="1">
      <c r="A10" s="31" t="inlineStr">
        <is>
          <t>◧ Amber</t>
        </is>
      </c>
      <c r="B10" s="21">
        <f>COUNTIFS(Register!$C$6:$C$305,"Portfolio",Register!$M$6:$M$305,$A10)</f>
        <v/>
      </c>
      <c r="C10" s="21">
        <f>COUNTIFS(Register!$AL$6:$AL$305,1,Register!$M$6:$M$305,$A10)</f>
        <v/>
      </c>
      <c r="D10" s="21">
        <f>COUNTIFS(Register!$AL$6:$AL$305,1,Register!$M$6:$M$305,$A10,Register!$AN$6:$AN$305,1)</f>
        <v/>
      </c>
      <c r="E10" s="36">
        <f>SUMIFS(Register!$K$6:$K$305,Register!$C$6:$C$305,"Portfolio",Register!$M$6:$M$305,$A10)</f>
        <v/>
      </c>
    </row>
    <row r="11" ht="15" customHeight="1">
      <c r="A11" s="31" t="inlineStr">
        <is>
          <t>□ On track</t>
        </is>
      </c>
      <c r="B11" s="21">
        <f>COUNTIFS(Register!$C$6:$C$305,"Portfolio",Register!$M$6:$M$305,$A11)</f>
        <v/>
      </c>
      <c r="C11" s="21">
        <f>COUNTIFS(Register!$AL$6:$AL$305,1,Register!$M$6:$M$305,$A11)</f>
        <v/>
      </c>
      <c r="D11" s="21">
        <f>COUNTIFS(Register!$AL$6:$AL$305,1,Register!$M$6:$M$305,$A11,Register!$AN$6:$AN$305,1)</f>
        <v/>
      </c>
      <c r="E11" s="36">
        <f>SUMIFS(Register!$K$6:$K$305,Register!$C$6:$C$305,"Portfolio",Register!$M$6:$M$305,$A11)</f>
        <v/>
      </c>
    </row>
    <row r="12" ht="15" customHeight="1">
      <c r="A12" s="31" t="inlineStr">
        <is>
          <t>Not read</t>
        </is>
      </c>
      <c r="B12" s="21">
        <f>COUNTIFS(Register!$C$6:$C$305,"Portfolio",Register!$M$6:$M$305,$A12)</f>
        <v/>
      </c>
      <c r="C12" s="21">
        <f>COUNTIFS(Register!$AL$6:$AL$305,1,Register!$M$6:$M$305,$A12)</f>
        <v/>
      </c>
      <c r="D12" s="21">
        <f>COUNTIFS(Register!$AL$6:$AL$305,1,Register!$M$6:$M$305,$A12,Register!$AN$6:$AN$305,1)</f>
        <v/>
      </c>
      <c r="E12" s="36">
        <f>SUMIFS(Register!$K$6:$K$305,Register!$C$6:$C$305,"Portfolio",Register!$M$6:$M$305,$A12)</f>
        <v/>
      </c>
    </row>
    <row r="13" ht="15" customHeight="1">
      <c r="A13" s="37" t="inlineStr">
        <is>
          <t>Total</t>
        </is>
      </c>
      <c r="B13" s="38">
        <f>SUM(B9:B12)</f>
        <v/>
      </c>
      <c r="C13" s="38">
        <f>SUM(C9:C12)</f>
        <v/>
      </c>
      <c r="D13" s="38">
        <f>SUM(D9:D12)</f>
        <v/>
      </c>
      <c r="E13" s="39">
        <f>SUM(E9:E12)</f>
        <v/>
      </c>
    </row>
    <row r="14" ht="15" customHeight="1">
      <c r="A14" s="31" t="inlineStr">
        <is>
          <t>Left in the envelope</t>
        </is>
      </c>
      <c r="B14" s="20">
        <f>IF(Portfolio!$B$20="","Not set",Portfolio!$B$22)</f>
        <v/>
      </c>
      <c r="C14" s="31">
        <f>IF(Portfolio!$B$20="","No envelope set.","Envelope "&amp;TEXT(Portfolio!$B$20,"#,##0")&amp;"; budgets given out "&amp;TEXT(Portfolio!$B$21,"#,##0")&amp;".")</f>
        <v/>
      </c>
    </row>
    <row r="15" ht="15" customHeight="1">
      <c r="A15" s="31">
        <f>"Finishing in the next "&amp;Board!$B$41&amp;" days"</f>
        <v/>
      </c>
      <c r="B15" s="21">
        <f>SUM(Register!$AZ$6:$AZ$305)</f>
        <v/>
      </c>
      <c r="C15" s="31">
        <f>"Red or Amber among them: "&amp;SUMPRODUCT(Register!$AZ$6:$AZ$305*(Register!$AO$6:$AO$305&gt;=2))</f>
        <v/>
      </c>
    </row>
    <row r="16" ht="15" customHeight="1">
      <c r="A16" s="31">
        <f>"Not counted above: "&amp;COUNTIF(Register!$D$6:$D$305,"Proposed")&amp;" Proposed, "&amp;(COUNTIF(Register!$D$6:$D$305,"Completed")+COUNTIF(Register!$D$6:$D$305,"Terminated"))&amp;" Completed or Terminated, "&amp;COUNTIFS(Register!$Q$6:$Q$305,1,Register!$Z$6:$Z$305,0)&amp;" current but outside the portfolio."</f>
        <v/>
      </c>
    </row>
    <row r="17" ht="6" customHeight="1"/>
    <row r="18" ht="16" customHeight="1">
      <c r="A18" s="11" t="inlineStr">
        <is>
          <t>2  Commentary, written by the director. Causes come from the owners' variance notes.</t>
        </is>
      </c>
    </row>
    <row r="19" ht="30" customHeight="1">
      <c r="A19" s="40" t="inlineStr">
        <is>
          <t>Since last review</t>
        </is>
      </c>
      <c r="B19" s="41" t="n"/>
      <c r="C19" s="42" t="n"/>
      <c r="D19" s="42" t="n"/>
      <c r="E19" s="42" t="n"/>
      <c r="F19" s="42" t="n"/>
    </row>
    <row r="20" ht="30" customHeight="1">
      <c r="A20" s="40" t="inlineStr">
        <is>
          <t>For the group to decide</t>
        </is>
      </c>
      <c r="B20" s="41" t="n"/>
      <c r="C20" s="42" t="n"/>
      <c r="D20" s="42" t="n"/>
      <c r="E20" s="42" t="n"/>
      <c r="F20" s="42" t="n"/>
    </row>
    <row r="21" ht="6" customHeight="1"/>
    <row r="22" ht="16" customHeight="1">
      <c r="A22" s="11">
        <f>"3  Rows to discuss. Red and Amber first, then rows where the owner is more worried than the numbers."&amp;IF(COUNT(Register!$AR$6:$AR$305)&gt;6,"  "&amp;(COUNT(Register!$AR$6:$AR$305)-6)&amp;" more: filter Health on the Register.","")</f>
        <v/>
      </c>
    </row>
    <row r="23" ht="15" customHeight="1">
      <c r="A23" s="28" t="inlineStr">
        <is>
          <t>Name</t>
        </is>
      </c>
      <c r="B23" s="28" t="inlineStr">
        <is>
          <t>Owner</t>
        </is>
      </c>
      <c r="C23" s="28" t="inlineStr">
        <is>
          <t>Health</t>
        </is>
      </c>
      <c r="D23" s="28" t="inlineStr">
        <is>
          <t>Owner's view</t>
        </is>
      </c>
      <c r="E23" s="28" t="inlineStr">
        <is>
          <t>What the numbers show</t>
        </is>
      </c>
      <c r="F23" s="28" t="inlineStr">
        <is>
          <t>Variance note</t>
        </is>
      </c>
    </row>
    <row r="24" ht="27" customHeight="1">
      <c r="A24" s="43">
        <f>IF($H24="","",INDEX(Register!$A$6:$A$305,$H24))</f>
        <v/>
      </c>
      <c r="B24" s="43">
        <f>IF($H24="","",INDEX(Register!$E$6:$E$305,$H24))</f>
        <v/>
      </c>
      <c r="C24" s="43">
        <f>IF($H24="","",INDEX(Register!$M$6:$M$305,$H24))</f>
        <v/>
      </c>
      <c r="D24" s="43">
        <f>IF($H24="","",IF(INDEX(Register!$AK$6:$AK$305,$H24)="","No view",INDEX(Register!$AK$6:$AK$305,$H24))&amp;IF(INDEX(Register!$AS$6:$AS$305,$H24)=1,"  (milder than the numbers)",""))</f>
        <v/>
      </c>
      <c r="E24" s="43">
        <f>IF($H24="","",IF(INDEX(Register!$AQ$6:$AQ$305,$H24)=2,"Health is "&amp;INDEX(Register!$M$6:$M$305,$H24)&amp;"; owner says "&amp;LOWER(INDEX(Register!$AK$6:$AK$305,$H24)),INDEX(Register!$AX$6:$AX$305,$H24)&amp;IF(AND(INDEX(Register!$AX$6:$AX$305,$H24)&lt;&gt;"",INDEX(Register!$AY$6:$AY$305,$H24)&lt;&gt;""),"; ","")&amp;INDEX(Register!$AY$6:$AY$305,$H24)))</f>
        <v/>
      </c>
      <c r="F24" s="43">
        <f>IF($H24="","",IF(LEN(INDEX(Register!$L$6:$L$305,$H24))&gt;90,LEFT(INDEX(Register!$L$6:$L$305,$H24),89)&amp;"…",INDEX(Register!$L$6:$L$305,$H24)&amp;""))</f>
        <v/>
      </c>
      <c r="H24" s="44">
        <f>IFERROR(MATCH(SMALL(Register!$AR$6:$AR$305,1),Register!$AR$6:$AR$305,0),"")</f>
        <v/>
      </c>
    </row>
    <row r="25" ht="27" customHeight="1">
      <c r="A25" s="43">
        <f>IF($H25="","",INDEX(Register!$A$6:$A$305,$H25))</f>
        <v/>
      </c>
      <c r="B25" s="43">
        <f>IF($H25="","",INDEX(Register!$E$6:$E$305,$H25))</f>
        <v/>
      </c>
      <c r="C25" s="43">
        <f>IF($H25="","",INDEX(Register!$M$6:$M$305,$H25))</f>
        <v/>
      </c>
      <c r="D25" s="43">
        <f>IF($H25="","",IF(INDEX(Register!$AK$6:$AK$305,$H25)="","No view",INDEX(Register!$AK$6:$AK$305,$H25))&amp;IF(INDEX(Register!$AS$6:$AS$305,$H25)=1,"  (milder than the numbers)",""))</f>
        <v/>
      </c>
      <c r="E25" s="43">
        <f>IF($H25="","",IF(INDEX(Register!$AQ$6:$AQ$305,$H25)=2,"Health is "&amp;INDEX(Register!$M$6:$M$305,$H25)&amp;"; owner says "&amp;LOWER(INDEX(Register!$AK$6:$AK$305,$H25)),INDEX(Register!$AX$6:$AX$305,$H25)&amp;IF(AND(INDEX(Register!$AX$6:$AX$305,$H25)&lt;&gt;"",INDEX(Register!$AY$6:$AY$305,$H25)&lt;&gt;""),"; ","")&amp;INDEX(Register!$AY$6:$AY$305,$H25)))</f>
        <v/>
      </c>
      <c r="F25" s="43">
        <f>IF($H25="","",IF(LEN(INDEX(Register!$L$6:$L$305,$H25))&gt;90,LEFT(INDEX(Register!$L$6:$L$305,$H25),89)&amp;"…",INDEX(Register!$L$6:$L$305,$H25)&amp;""))</f>
        <v/>
      </c>
      <c r="H25" s="44">
        <f>IFERROR(MATCH(SMALL(Register!$AR$6:$AR$305,2),Register!$AR$6:$AR$305,0),"")</f>
        <v/>
      </c>
    </row>
    <row r="26" ht="27" customHeight="1">
      <c r="A26" s="43">
        <f>IF($H26="","",INDEX(Register!$A$6:$A$305,$H26))</f>
        <v/>
      </c>
      <c r="B26" s="43">
        <f>IF($H26="","",INDEX(Register!$E$6:$E$305,$H26))</f>
        <v/>
      </c>
      <c r="C26" s="43">
        <f>IF($H26="","",INDEX(Register!$M$6:$M$305,$H26))</f>
        <v/>
      </c>
      <c r="D26" s="43">
        <f>IF($H26="","",IF(INDEX(Register!$AK$6:$AK$305,$H26)="","No view",INDEX(Register!$AK$6:$AK$305,$H26))&amp;IF(INDEX(Register!$AS$6:$AS$305,$H26)=1,"  (milder than the numbers)",""))</f>
        <v/>
      </c>
      <c r="E26" s="43">
        <f>IF($H26="","",IF(INDEX(Register!$AQ$6:$AQ$305,$H26)=2,"Health is "&amp;INDEX(Register!$M$6:$M$305,$H26)&amp;"; owner says "&amp;LOWER(INDEX(Register!$AK$6:$AK$305,$H26)),INDEX(Register!$AX$6:$AX$305,$H26)&amp;IF(AND(INDEX(Register!$AX$6:$AX$305,$H26)&lt;&gt;"",INDEX(Register!$AY$6:$AY$305,$H26)&lt;&gt;""),"; ","")&amp;INDEX(Register!$AY$6:$AY$305,$H26)))</f>
        <v/>
      </c>
      <c r="F26" s="43">
        <f>IF($H26="","",IF(LEN(INDEX(Register!$L$6:$L$305,$H26))&gt;90,LEFT(INDEX(Register!$L$6:$L$305,$H26),89)&amp;"…",INDEX(Register!$L$6:$L$305,$H26)&amp;""))</f>
        <v/>
      </c>
      <c r="H26" s="44">
        <f>IFERROR(MATCH(SMALL(Register!$AR$6:$AR$305,3),Register!$AR$6:$AR$305,0),"")</f>
        <v/>
      </c>
    </row>
    <row r="27" ht="27" customHeight="1">
      <c r="A27" s="43">
        <f>IF($H27="","",INDEX(Register!$A$6:$A$305,$H27))</f>
        <v/>
      </c>
      <c r="B27" s="43">
        <f>IF($H27="","",INDEX(Register!$E$6:$E$305,$H27))</f>
        <v/>
      </c>
      <c r="C27" s="43">
        <f>IF($H27="","",INDEX(Register!$M$6:$M$305,$H27))</f>
        <v/>
      </c>
      <c r="D27" s="43">
        <f>IF($H27="","",IF(INDEX(Register!$AK$6:$AK$305,$H27)="","No view",INDEX(Register!$AK$6:$AK$305,$H27))&amp;IF(INDEX(Register!$AS$6:$AS$305,$H27)=1,"  (milder than the numbers)",""))</f>
        <v/>
      </c>
      <c r="E27" s="43">
        <f>IF($H27="","",IF(INDEX(Register!$AQ$6:$AQ$305,$H27)=2,"Health is "&amp;INDEX(Register!$M$6:$M$305,$H27)&amp;"; owner says "&amp;LOWER(INDEX(Register!$AK$6:$AK$305,$H27)),INDEX(Register!$AX$6:$AX$305,$H27)&amp;IF(AND(INDEX(Register!$AX$6:$AX$305,$H27)&lt;&gt;"",INDEX(Register!$AY$6:$AY$305,$H27)&lt;&gt;""),"; ","")&amp;INDEX(Register!$AY$6:$AY$305,$H27)))</f>
        <v/>
      </c>
      <c r="F27" s="43">
        <f>IF($H27="","",IF(LEN(INDEX(Register!$L$6:$L$305,$H27))&gt;90,LEFT(INDEX(Register!$L$6:$L$305,$H27),89)&amp;"…",INDEX(Register!$L$6:$L$305,$H27)&amp;""))</f>
        <v/>
      </c>
      <c r="H27" s="44">
        <f>IFERROR(MATCH(SMALL(Register!$AR$6:$AR$305,4),Register!$AR$6:$AR$305,0),"")</f>
        <v/>
      </c>
    </row>
    <row r="28" ht="27" customHeight="1">
      <c r="A28" s="43">
        <f>IF($H28="","",INDEX(Register!$A$6:$A$305,$H28))</f>
        <v/>
      </c>
      <c r="B28" s="43">
        <f>IF($H28="","",INDEX(Register!$E$6:$E$305,$H28))</f>
        <v/>
      </c>
      <c r="C28" s="43">
        <f>IF($H28="","",INDEX(Register!$M$6:$M$305,$H28))</f>
        <v/>
      </c>
      <c r="D28" s="43">
        <f>IF($H28="","",IF(INDEX(Register!$AK$6:$AK$305,$H28)="","No view",INDEX(Register!$AK$6:$AK$305,$H28))&amp;IF(INDEX(Register!$AS$6:$AS$305,$H28)=1,"  (milder than the numbers)",""))</f>
        <v/>
      </c>
      <c r="E28" s="43">
        <f>IF($H28="","",IF(INDEX(Register!$AQ$6:$AQ$305,$H28)=2,"Health is "&amp;INDEX(Register!$M$6:$M$305,$H28)&amp;"; owner says "&amp;LOWER(INDEX(Register!$AK$6:$AK$305,$H28)),INDEX(Register!$AX$6:$AX$305,$H28)&amp;IF(AND(INDEX(Register!$AX$6:$AX$305,$H28)&lt;&gt;"",INDEX(Register!$AY$6:$AY$305,$H28)&lt;&gt;""),"; ","")&amp;INDEX(Register!$AY$6:$AY$305,$H28)))</f>
        <v/>
      </c>
      <c r="F28" s="43">
        <f>IF($H28="","",IF(LEN(INDEX(Register!$L$6:$L$305,$H28))&gt;90,LEFT(INDEX(Register!$L$6:$L$305,$H28),89)&amp;"…",INDEX(Register!$L$6:$L$305,$H28)&amp;""))</f>
        <v/>
      </c>
      <c r="H28" s="44">
        <f>IFERROR(MATCH(SMALL(Register!$AR$6:$AR$305,5),Register!$AR$6:$AR$305,0),"")</f>
        <v/>
      </c>
    </row>
    <row r="29" ht="27" customHeight="1">
      <c r="A29" s="43">
        <f>IF($H29="","",INDEX(Register!$A$6:$A$305,$H29))</f>
        <v/>
      </c>
      <c r="B29" s="43">
        <f>IF($H29="","",INDEX(Register!$E$6:$E$305,$H29))</f>
        <v/>
      </c>
      <c r="C29" s="43">
        <f>IF($H29="","",INDEX(Register!$M$6:$M$305,$H29))</f>
        <v/>
      </c>
      <c r="D29" s="43">
        <f>IF($H29="","",IF(INDEX(Register!$AK$6:$AK$305,$H29)="","No view",INDEX(Register!$AK$6:$AK$305,$H29))&amp;IF(INDEX(Register!$AS$6:$AS$305,$H29)=1,"  (milder than the numbers)",""))</f>
        <v/>
      </c>
      <c r="E29" s="43">
        <f>IF($H29="","",IF(INDEX(Register!$AQ$6:$AQ$305,$H29)=2,"Health is "&amp;INDEX(Register!$M$6:$M$305,$H29)&amp;"; owner says "&amp;LOWER(INDEX(Register!$AK$6:$AK$305,$H29)),INDEX(Register!$AX$6:$AX$305,$H29)&amp;IF(AND(INDEX(Register!$AX$6:$AX$305,$H29)&lt;&gt;"",INDEX(Register!$AY$6:$AY$305,$H29)&lt;&gt;""),"; ","")&amp;INDEX(Register!$AY$6:$AY$305,$H29)))</f>
        <v/>
      </c>
      <c r="F29" s="43">
        <f>IF($H29="","",IF(LEN(INDEX(Register!$L$6:$L$305,$H29))&gt;90,LEFT(INDEX(Register!$L$6:$L$305,$H29),89)&amp;"…",INDEX(Register!$L$6:$L$305,$H29)&amp;""))</f>
        <v/>
      </c>
      <c r="H29" s="44">
        <f>IFERROR(MATCH(SMALL(Register!$AR$6:$AR$305,6),Register!$AR$6:$AR$305,0),"")</f>
        <v/>
      </c>
    </row>
    <row r="30" ht="6" customHeight="1"/>
    <row r="31" ht="16" customHeight="1">
      <c r="A31" s="11" t="inlineStr">
        <is>
          <t>4  Before you trust the figures</t>
        </is>
      </c>
    </row>
    <row r="32" ht="15" customHeight="1">
      <c r="A32" s="31">
        <f>"Current rows not checked in "&amp;Board!$B$40&amp;" days"</f>
        <v/>
      </c>
      <c r="B32" s="21">
        <f>SUM(Register!$AN$6:$AN$305)</f>
        <v/>
      </c>
      <c r="C32" s="31">
        <f>"of "&amp;SUM(Register!$AL$6:$AL$305)&amp;" current rows"</f>
        <v/>
      </c>
      <c r="E32" s="31">
        <f>IF(COUNT(Register!$AJ$6:$AJ$305)=0,"No Last checked dates yet, so nobody can tell how old the figures are.",IFERROR("Oldest check: "&amp;INDEX(Register!$A$6:$A$305,MATCH(MAX(Register!$AM$6:$AM$305),Register!$AM$6:$AM$305,0))&amp;", "&amp;MAX(Register!$AM$6:$AM$305)&amp;" days ago. No date: "&amp;COUNTIFS(Register!$AL$6:$AL$305,1,Register!$AJ$6:$AJ$305,"")&amp;".","No current row has a date yet."))</f>
        <v/>
      </c>
    </row>
    <row r="33" ht="15" customHeight="1">
      <c r="A33" s="31" t="inlineStr">
        <is>
          <t>Owner's view milder than the numbers</t>
        </is>
      </c>
      <c r="B33" s="21">
        <f>SUM(Register!$AS$6:$AS$305)</f>
        <v/>
      </c>
      <c r="C33" s="31" t="n"/>
      <c r="E33" s="31">
        <f>"More worried than the numbers: "&amp;COUNTIF(Register!$AQ$6:$AQ$305,2)&amp;". Red or Amber with no view: "&amp;SUM(Register!$AT$6:$AT$305)&amp;". Agreeing: "&amp;SUMPRODUCT((Register!$AL$6:$AL$305=1)*(Register!$AP$6:$AP$305&gt;0)*(Register!$AP$6:$AP$305=Register!$AO$6:$AO$305))&amp;"."</f>
        <v/>
      </c>
    </row>
    <row r="34" ht="15" customHeight="1">
      <c r="A34" s="31" t="inlineStr">
        <is>
          <t>Left since the last review</t>
        </is>
      </c>
      <c r="B34" s="21">
        <f>IF(Portfolio!$B$10="","No review date",COUNTIF(Register!$AV$6:$AV$305,"&gt;0"))</f>
        <v/>
      </c>
      <c r="C34" s="31" t="n"/>
      <c r="E34" s="31">
        <f>"Completed "&amp;COUNTIF(Register!$AV$6:$AV$305,1)&amp;", Terminated "&amp;COUNTIF(Register!$AV$6:$AV$305,2)&amp;", moved outside the portfolio "&amp;COUNTIF(Register!$AV$6:$AV$305,3)&amp;". Forecast spend on them: "&amp;TEXT(SUMIFS(Register!$J$6:$J$305,Register!$AV$6:$AV$305,"&gt;0"),"#,##0")&amp;"."</f>
        <v/>
      </c>
    </row>
    <row r="35" ht="6" customHeight="1"/>
    <row r="36" ht="30" customHeight="1">
      <c r="A36" s="45" t="inlineStr">
        <is>
          <t>Not on this page</t>
        </is>
      </c>
      <c r="B36" s="7" t="inlineStr">
        <is>
          <t>Benefits, risks and progress against the objectives aren't recorded in this workbook. No figure on this page stands in for them.</t>
        </is>
      </c>
      <c r="F36" s="41" t="inlineStr">
        <is>
          <t xml:space="preserve">Kept in: </t>
        </is>
      </c>
    </row>
    <row r="37" ht="15" customHeight="1">
      <c r="A37" s="34" t="inlineStr">
        <is>
          <t>Board checks</t>
        </is>
      </c>
      <c r="B37" s="37">
        <f>COUNTIF($B$44:$B$46,"△*")&amp;" of 3 failing"</f>
        <v/>
      </c>
      <c r="C37" s="31">
        <f>IF(COUNTIF($B$44:$B$46,"△*")=0,"All clear",INDEX($B$44:$B$46,MATCH("△*",$B$44:$B$46,0)))</f>
        <v/>
      </c>
    </row>
    <row r="38" ht="15" customHeight="1">
      <c r="A38" s="34" t="inlineStr">
        <is>
          <t>Signed by</t>
        </is>
      </c>
      <c r="B38" s="29" t="n"/>
      <c r="C38" s="42" t="n"/>
      <c r="D38" s="35" t="inlineStr">
        <is>
          <t>On</t>
        </is>
      </c>
      <c r="E38" s="14" t="n"/>
    </row>
    <row r="39" ht="16" customHeight="1">
      <c r="A39" s="11" t="inlineStr">
        <is>
          <t>Settings and detail</t>
        </is>
      </c>
    </row>
    <row r="40">
      <c r="A40" s="12" t="inlineStr">
        <is>
          <t>Not checked after (days)</t>
        </is>
      </c>
      <c r="B40" s="17" t="n">
        <v>35</v>
      </c>
    </row>
    <row r="41">
      <c r="A41" s="12" t="inlineStr">
        <is>
          <t>Look ahead (days)</t>
        </is>
      </c>
      <c r="B41" s="17" t="n">
        <v>90</v>
      </c>
    </row>
    <row r="42" ht="6" customHeight="1"/>
    <row r="43" ht="16" customHeight="1">
      <c r="A43" s="11" t="inlineStr">
        <is>
          <t>Board checks</t>
        </is>
      </c>
    </row>
    <row r="44">
      <c r="A44" s="2" t="inlineStr">
        <is>
          <t>Rows not checked</t>
        </is>
      </c>
      <c r="B44" s="31">
        <f>IF(SUM(Register!$AN$6:$AN$305)=0,"○ Clear","△ Not checked in "&amp;$B$40&amp;" days on "&amp;SUM(Register!$AN$6:$AN$305)&amp;IF(SUM(Register!$AN$6:$AN$305)=1," row"," rows")&amp;" ("&amp;COUNTIFS(Register!$AL$6:$AL$305,1,Register!$AJ$6:$AJ$305,"")&amp;" with no date)")</f>
        <v/>
      </c>
    </row>
    <row r="45">
      <c r="A45" s="2" t="inlineStr">
        <is>
          <t>A forecast date has passed</t>
        </is>
      </c>
      <c r="B45" s="31">
        <f>IF(SUM(Register!$AU$6:$AU$305)=0,"○ Clear","△ Forecast date passed on "&amp;SUM(Register!$AU$6:$AU$305)&amp;IF(SUM(Register!$AU$6:$AU$305)=1," row"," rows"))</f>
        <v/>
      </c>
    </row>
    <row r="46">
      <c r="A46" s="2" t="inlineStr">
        <is>
          <t>Owner's view milder than the numbers</t>
        </is>
      </c>
      <c r="B46" s="31">
        <f>IF(SUM(Register!$AS$6:$AS$305)=0,"○ Clear","△ Owner's view milder than the numbers on "&amp;SUM(Register!$AS$6:$AS$305)&amp;IF(SUM(Register!$AS$6:$AS$305)=1," row"," rows"))</f>
        <v/>
      </c>
    </row>
    <row r="47" ht="6" customHeight="1"/>
    <row r="48" ht="16" customHeight="1">
      <c r="A48" s="11" t="inlineStr">
        <is>
          <t>Objectives and the rows serving them. The workbook holds no reading of the measures, so no progress is shown.</t>
        </is>
      </c>
    </row>
    <row r="49">
      <c r="A49" s="28" t="inlineStr">
        <is>
          <t>Objective</t>
        </is>
      </c>
      <c r="B49" s="28" t="inlineStr">
        <is>
          <t>Owner</t>
        </is>
      </c>
      <c r="C49" s="28" t="inlineStr">
        <is>
          <t>Rows serving it</t>
        </is>
      </c>
      <c r="D49" s="28" t="inlineStr">
        <is>
          <t>Red or Amber among them</t>
        </is>
      </c>
      <c r="E49" s="28" t="inlineStr">
        <is>
          <t>Measure and target</t>
        </is>
      </c>
      <c r="F49" s="28" t="inlineStr">
        <is>
          <t>Target date</t>
        </is>
      </c>
    </row>
    <row r="50">
      <c r="A50" s="46">
        <f>IF(Portfolio!$A$47="","",Portfolio!$A$47)</f>
        <v/>
      </c>
      <c r="B50" s="31">
        <f>IF(Portfolio!$B$47="","",Portfolio!$B$47)</f>
        <v/>
      </c>
      <c r="C50" s="21">
        <f>IF($A50="","",COUNTIFS(Register!$G$6:$G$305,$A50,Register!$AL$6:$AL$305,1))</f>
        <v/>
      </c>
      <c r="D50" s="21">
        <f>IF($A50="","",COUNTIFS(Register!$G$6:$G$305,$A50,Register!$AL$6:$AL$305,1,Register!$AO$6:$AO$305,"&gt;=2"))</f>
        <v/>
      </c>
      <c r="E50" s="46">
        <f>IF(Portfolio!$C$47="","",Portfolio!$C$47)</f>
        <v/>
      </c>
      <c r="F50" s="15">
        <f>IF(Portfolio!$D$47="","",Portfolio!$D$47)</f>
        <v/>
      </c>
    </row>
    <row r="51">
      <c r="A51" s="46">
        <f>IF(Portfolio!$A$48="","",Portfolio!$A$48)</f>
        <v/>
      </c>
      <c r="B51" s="31">
        <f>IF(Portfolio!$B$48="","",Portfolio!$B$48)</f>
        <v/>
      </c>
      <c r="C51" s="21">
        <f>IF($A51="","",COUNTIFS(Register!$G$6:$G$305,$A51,Register!$AL$6:$AL$305,1))</f>
        <v/>
      </c>
      <c r="D51" s="21">
        <f>IF($A51="","",COUNTIFS(Register!$G$6:$G$305,$A51,Register!$AL$6:$AL$305,1,Register!$AO$6:$AO$305,"&gt;=2"))</f>
        <v/>
      </c>
      <c r="E51" s="46">
        <f>IF(Portfolio!$C$48="","",Portfolio!$C$48)</f>
        <v/>
      </c>
      <c r="F51" s="15">
        <f>IF(Portfolio!$D$48="","",Portfolio!$D$48)</f>
        <v/>
      </c>
    </row>
    <row r="52">
      <c r="A52" s="46">
        <f>IF(Portfolio!$A$49="","",Portfolio!$A$49)</f>
        <v/>
      </c>
      <c r="B52" s="31">
        <f>IF(Portfolio!$B$49="","",Portfolio!$B$49)</f>
        <v/>
      </c>
      <c r="C52" s="21">
        <f>IF($A52="","",COUNTIFS(Register!$G$6:$G$305,$A52,Register!$AL$6:$AL$305,1))</f>
        <v/>
      </c>
      <c r="D52" s="21">
        <f>IF($A52="","",COUNTIFS(Register!$G$6:$G$305,$A52,Register!$AL$6:$AL$305,1,Register!$AO$6:$AO$305,"&gt;=2"))</f>
        <v/>
      </c>
      <c r="E52" s="46">
        <f>IF(Portfolio!$C$49="","",Portfolio!$C$49)</f>
        <v/>
      </c>
      <c r="F52" s="15">
        <f>IF(Portfolio!$D$49="","",Portfolio!$D$49)</f>
        <v/>
      </c>
    </row>
    <row r="53">
      <c r="A53" s="46">
        <f>IF(Portfolio!$A$50="","",Portfolio!$A$50)</f>
        <v/>
      </c>
      <c r="B53" s="31">
        <f>IF(Portfolio!$B$50="","",Portfolio!$B$50)</f>
        <v/>
      </c>
      <c r="C53" s="21">
        <f>IF($A53="","",COUNTIFS(Register!$G$6:$G$305,$A53,Register!$AL$6:$AL$305,1))</f>
        <v/>
      </c>
      <c r="D53" s="21">
        <f>IF($A53="","",COUNTIFS(Register!$G$6:$G$305,$A53,Register!$AL$6:$AL$305,1,Register!$AO$6:$AO$305,"&gt;=2"))</f>
        <v/>
      </c>
      <c r="E53" s="46">
        <f>IF(Portfolio!$C$50="","",Portfolio!$C$50)</f>
        <v/>
      </c>
      <c r="F53" s="15">
        <f>IF(Portfolio!$D$50="","",Portfolio!$D$50)</f>
        <v/>
      </c>
    </row>
    <row r="54">
      <c r="A54" s="46">
        <f>IF(Portfolio!$A$51="","",Portfolio!$A$51)</f>
        <v/>
      </c>
      <c r="B54" s="31">
        <f>IF(Portfolio!$B$51="","",Portfolio!$B$51)</f>
        <v/>
      </c>
      <c r="C54" s="21">
        <f>IF($A54="","",COUNTIFS(Register!$G$6:$G$305,$A54,Register!$AL$6:$AL$305,1))</f>
        <v/>
      </c>
      <c r="D54" s="21">
        <f>IF($A54="","",COUNTIFS(Register!$G$6:$G$305,$A54,Register!$AL$6:$AL$305,1,Register!$AO$6:$AO$305,"&gt;=2"))</f>
        <v/>
      </c>
      <c r="E54" s="46">
        <f>IF(Portfolio!$C$51="","",Portfolio!$C$51)</f>
        <v/>
      </c>
      <c r="F54" s="15">
        <f>IF(Portfolio!$D$51="","",Portfolio!$D$51)</f>
        <v/>
      </c>
    </row>
    <row r="55">
      <c r="A55" s="46">
        <f>IF(Portfolio!$A$52="","",Portfolio!$A$52)</f>
        <v/>
      </c>
      <c r="B55" s="31">
        <f>IF(Portfolio!$B$52="","",Portfolio!$B$52)</f>
        <v/>
      </c>
      <c r="C55" s="21">
        <f>IF($A55="","",COUNTIFS(Register!$G$6:$G$305,$A55,Register!$AL$6:$AL$305,1))</f>
        <v/>
      </c>
      <c r="D55" s="21">
        <f>IF($A55="","",COUNTIFS(Register!$G$6:$G$305,$A55,Register!$AL$6:$AL$305,1,Register!$AO$6:$AO$305,"&gt;=2"))</f>
        <v/>
      </c>
      <c r="E55" s="46">
        <f>IF(Portfolio!$C$52="","",Portfolio!$C$52)</f>
        <v/>
      </c>
      <c r="F55" s="15">
        <f>IF(Portfolio!$D$52="","",Portfolio!$D$52)</f>
        <v/>
      </c>
    </row>
    <row r="56">
      <c r="A56" s="2">
        <f>IF(COUNTA(Portfolio!$A$47:$A$56)&gt;6,"More objectives on Portfolio.","")</f>
        <v/>
      </c>
    </row>
    <row r="57" ht="6" customHeight="1"/>
    <row r="58" ht="16" customHeight="1">
      <c r="A58" s="11" t="inlineStr">
        <is>
          <t>Rows that left since the last review. A row shows here only if its Last checked date is after that review.</t>
        </is>
      </c>
    </row>
    <row r="59">
      <c r="A59" s="28" t="inlineStr">
        <is>
          <t>Name</t>
        </is>
      </c>
      <c r="B59" s="28" t="inlineStr">
        <is>
          <t>How it left</t>
        </is>
      </c>
      <c r="C59" s="28" t="inlineStr">
        <is>
          <t>Last checked</t>
        </is>
      </c>
      <c r="D59" s="28" t="inlineStr">
        <is>
          <t>Budget</t>
        </is>
      </c>
      <c r="E59" s="28" t="inlineStr">
        <is>
          <t>Forecast spend</t>
        </is>
      </c>
    </row>
    <row r="60">
      <c r="A60" s="31">
        <f>IF($H60="","",INDEX(Register!$A$6:$A$305,$H60))</f>
        <v/>
      </c>
      <c r="B60" s="31">
        <f>IF($H60="","",CHOOSE(INDEX(Register!$AV$6:$AV$305,$H60),"Completed","Terminated","Moved outside the portfolio"))</f>
        <v/>
      </c>
      <c r="C60" s="15">
        <f>IF($H60="","",INDEX(Register!$AJ$6:$AJ$305,$H60))</f>
        <v/>
      </c>
      <c r="D60" s="20">
        <f>IF($H60="","",IF(INDEX(Register!$K$6:$K$305,$H60)="","",INDEX(Register!$K$6:$K$305,$H60)))</f>
        <v/>
      </c>
      <c r="E60" s="20">
        <f>IF($H60="","",IF(INDEX(Register!$J$6:$J$305,$H60)="","",INDEX(Register!$J$6:$J$305,$H60)))</f>
        <v/>
      </c>
      <c r="H60" s="31">
        <f>IFERROR(MATCH(1,Register!$AW$6:$AW$305,0),"")</f>
        <v/>
      </c>
    </row>
    <row r="61">
      <c r="A61" s="31">
        <f>IF($H61="","",INDEX(Register!$A$6:$A$305,$H61))</f>
        <v/>
      </c>
      <c r="B61" s="31">
        <f>IF($H61="","",CHOOSE(INDEX(Register!$AV$6:$AV$305,$H61),"Completed","Terminated","Moved outside the portfolio"))</f>
        <v/>
      </c>
      <c r="C61" s="15">
        <f>IF($H61="","",INDEX(Register!$AJ$6:$AJ$305,$H61))</f>
        <v/>
      </c>
      <c r="D61" s="20">
        <f>IF($H61="","",IF(INDEX(Register!$K$6:$K$305,$H61)="","",INDEX(Register!$K$6:$K$305,$H61)))</f>
        <v/>
      </c>
      <c r="E61" s="20">
        <f>IF($H61="","",IF(INDEX(Register!$J$6:$J$305,$H61)="","",INDEX(Register!$J$6:$J$305,$H61)))</f>
        <v/>
      </c>
      <c r="H61" s="31">
        <f>IFERROR(MATCH(2,Register!$AW$6:$AW$305,0),"")</f>
        <v/>
      </c>
    </row>
    <row r="62">
      <c r="A62" s="31">
        <f>IF($H62="","",INDEX(Register!$A$6:$A$305,$H62))</f>
        <v/>
      </c>
      <c r="B62" s="31">
        <f>IF($H62="","",CHOOSE(INDEX(Register!$AV$6:$AV$305,$H62),"Completed","Terminated","Moved outside the portfolio"))</f>
        <v/>
      </c>
      <c r="C62" s="15">
        <f>IF($H62="","",INDEX(Register!$AJ$6:$AJ$305,$H62))</f>
        <v/>
      </c>
      <c r="D62" s="20">
        <f>IF($H62="","",IF(INDEX(Register!$K$6:$K$305,$H62)="","",INDEX(Register!$K$6:$K$305,$H62)))</f>
        <v/>
      </c>
      <c r="E62" s="20">
        <f>IF($H62="","",IF(INDEX(Register!$J$6:$J$305,$H62)="","",INDEX(Register!$J$6:$J$305,$H62)))</f>
        <v/>
      </c>
      <c r="H62" s="31">
        <f>IFERROR(MATCH(3,Register!$AW$6:$AW$305,0),"")</f>
        <v/>
      </c>
    </row>
    <row r="63">
      <c r="A63" s="31">
        <f>IF($H63="","",INDEX(Register!$A$6:$A$305,$H63))</f>
        <v/>
      </c>
      <c r="B63" s="31">
        <f>IF($H63="","",CHOOSE(INDEX(Register!$AV$6:$AV$305,$H63),"Completed","Terminated","Moved outside the portfolio"))</f>
        <v/>
      </c>
      <c r="C63" s="15">
        <f>IF($H63="","",INDEX(Register!$AJ$6:$AJ$305,$H63))</f>
        <v/>
      </c>
      <c r="D63" s="20">
        <f>IF($H63="","",IF(INDEX(Register!$K$6:$K$305,$H63)="","",INDEX(Register!$K$6:$K$305,$H63)))</f>
        <v/>
      </c>
      <c r="E63" s="20">
        <f>IF($H63="","",IF(INDEX(Register!$J$6:$J$305,$H63)="","",INDEX(Register!$J$6:$J$305,$H63)))</f>
        <v/>
      </c>
      <c r="H63" s="31">
        <f>IFERROR(MATCH(4,Register!$AW$6:$AW$305,0),"")</f>
        <v/>
      </c>
    </row>
    <row r="64">
      <c r="A64" s="31">
        <f>IF($H64="","",INDEX(Register!$A$6:$A$305,$H64))</f>
        <v/>
      </c>
      <c r="B64" s="31">
        <f>IF($H64="","",CHOOSE(INDEX(Register!$AV$6:$AV$305,$H64),"Completed","Terminated","Moved outside the portfolio"))</f>
        <v/>
      </c>
      <c r="C64" s="15">
        <f>IF($H64="","",INDEX(Register!$AJ$6:$AJ$305,$H64))</f>
        <v/>
      </c>
      <c r="D64" s="20">
        <f>IF($H64="","",IF(INDEX(Register!$K$6:$K$305,$H64)="","",INDEX(Register!$K$6:$K$305,$H64)))</f>
        <v/>
      </c>
      <c r="E64" s="20">
        <f>IF($H64="","",IF(INDEX(Register!$J$6:$J$305,$H64)="","",INDEX(Register!$J$6:$J$305,$H64)))</f>
        <v/>
      </c>
      <c r="H64" s="31">
        <f>IFERROR(MATCH(5,Register!$AW$6:$AW$305,0),"")</f>
        <v/>
      </c>
    </row>
    <row r="65">
      <c r="A65" s="31">
        <f>IF($H65="","",INDEX(Register!$A$6:$A$305,$H65))</f>
        <v/>
      </c>
      <c r="B65" s="31">
        <f>IF($H65="","",CHOOSE(INDEX(Register!$AV$6:$AV$305,$H65),"Completed","Terminated","Moved outside the portfolio"))</f>
        <v/>
      </c>
      <c r="C65" s="15">
        <f>IF($H65="","",INDEX(Register!$AJ$6:$AJ$305,$H65))</f>
        <v/>
      </c>
      <c r="D65" s="20">
        <f>IF($H65="","",IF(INDEX(Register!$K$6:$K$305,$H65)="","",INDEX(Register!$K$6:$K$305,$H65)))</f>
        <v/>
      </c>
      <c r="E65" s="20">
        <f>IF($H65="","",IF(INDEX(Register!$J$6:$J$305,$H65)="","",INDEX(Register!$J$6:$J$305,$H65)))</f>
        <v/>
      </c>
      <c r="H65" s="31">
        <f>IFERROR(MATCH(6,Register!$AW$6:$AW$305,0),"")</f>
        <v/>
      </c>
    </row>
    <row r="66">
      <c r="A66" s="31">
        <f>IF($H66="","",INDEX(Register!$A$6:$A$305,$H66))</f>
        <v/>
      </c>
      <c r="B66" s="31">
        <f>IF($H66="","",CHOOSE(INDEX(Register!$AV$6:$AV$305,$H66),"Completed","Terminated","Moved outside the portfolio"))</f>
        <v/>
      </c>
      <c r="C66" s="15">
        <f>IF($H66="","",INDEX(Register!$AJ$6:$AJ$305,$H66))</f>
        <v/>
      </c>
      <c r="D66" s="20">
        <f>IF($H66="","",IF(INDEX(Register!$K$6:$K$305,$H66)="","",INDEX(Register!$K$6:$K$305,$H66)))</f>
        <v/>
      </c>
      <c r="E66" s="20">
        <f>IF($H66="","",IF(INDEX(Register!$J$6:$J$305,$H66)="","",INDEX(Register!$J$6:$J$305,$H66)))</f>
        <v/>
      </c>
      <c r="H66" s="31">
        <f>IFERROR(MATCH(7,Register!$AW$6:$AW$305,0),"")</f>
        <v/>
      </c>
    </row>
    <row r="67">
      <c r="A67" s="31">
        <f>IF($H67="","",INDEX(Register!$A$6:$A$305,$H67))</f>
        <v/>
      </c>
      <c r="B67" s="31">
        <f>IF($H67="","",CHOOSE(INDEX(Register!$AV$6:$AV$305,$H67),"Completed","Terminated","Moved outside the portfolio"))</f>
        <v/>
      </c>
      <c r="C67" s="15">
        <f>IF($H67="","",INDEX(Register!$AJ$6:$AJ$305,$H67))</f>
        <v/>
      </c>
      <c r="D67" s="20">
        <f>IF($H67="","",IF(INDEX(Register!$K$6:$K$305,$H67)="","",INDEX(Register!$K$6:$K$305,$H67)))</f>
        <v/>
      </c>
      <c r="E67" s="20">
        <f>IF($H67="","",IF(INDEX(Register!$J$6:$J$305,$H67)="","",INDEX(Register!$J$6:$J$305,$H67)))</f>
        <v/>
      </c>
      <c r="H67" s="31">
        <f>IFERROR(MATCH(8,Register!$AW$6:$AW$305,0),"")</f>
        <v/>
      </c>
    </row>
    <row r="68">
      <c r="A68" s="31">
        <f>IF($H68="","",INDEX(Register!$A$6:$A$305,$H68))</f>
        <v/>
      </c>
      <c r="B68" s="31">
        <f>IF($H68="","",CHOOSE(INDEX(Register!$AV$6:$AV$305,$H68),"Completed","Terminated","Moved outside the portfolio"))</f>
        <v/>
      </c>
      <c r="C68" s="15">
        <f>IF($H68="","",INDEX(Register!$AJ$6:$AJ$305,$H68))</f>
        <v/>
      </c>
      <c r="D68" s="20">
        <f>IF($H68="","",IF(INDEX(Register!$K$6:$K$305,$H68)="","",INDEX(Register!$K$6:$K$305,$H68)))</f>
        <v/>
      </c>
      <c r="E68" s="20">
        <f>IF($H68="","",IF(INDEX(Register!$J$6:$J$305,$H68)="","",INDEX(Register!$J$6:$J$305,$H68)))</f>
        <v/>
      </c>
      <c r="H68" s="31">
        <f>IFERROR(MATCH(9,Register!$AW$6:$AW$305,0),"")</f>
        <v/>
      </c>
    </row>
    <row r="69">
      <c r="A69" s="31">
        <f>IF($H69="","",INDEX(Register!$A$6:$A$305,$H69))</f>
        <v/>
      </c>
      <c r="B69" s="31">
        <f>IF($H69="","",CHOOSE(INDEX(Register!$AV$6:$AV$305,$H69),"Completed","Terminated","Moved outside the portfolio"))</f>
        <v/>
      </c>
      <c r="C69" s="15">
        <f>IF($H69="","",INDEX(Register!$AJ$6:$AJ$305,$H69))</f>
        <v/>
      </c>
      <c r="D69" s="20">
        <f>IF($H69="","",IF(INDEX(Register!$K$6:$K$305,$H69)="","",INDEX(Register!$K$6:$K$305,$H69)))</f>
        <v/>
      </c>
      <c r="E69" s="20">
        <f>IF($H69="","",IF(INDEX(Register!$J$6:$J$305,$H69)="","",INDEX(Register!$J$6:$J$305,$H69)))</f>
        <v/>
      </c>
      <c r="H69" s="31">
        <f>IFERROR(MATCH(10,Register!$AW$6:$AW$305,0),"")</f>
        <v/>
      </c>
    </row>
    <row r="70">
      <c r="A70" s="2">
        <f>IF(COUNTIF(Register!$AV$6:$AV$305,"&gt;0")&gt;10,""&amp;(COUNTIF(Register!$AV$6:$AV$305,"&gt;0")-10)&amp;" more.","")</f>
        <v/>
      </c>
    </row>
  </sheetData>
  <mergeCells count="29">
    <mergeCell ref="A5:D5"/>
    <mergeCell ref="A16:F16"/>
    <mergeCell ref="C34:D34"/>
    <mergeCell ref="C33:D33"/>
    <mergeCell ref="E33:F33"/>
    <mergeCell ref="E5:F5"/>
    <mergeCell ref="B46:F46"/>
    <mergeCell ref="A18:F18"/>
    <mergeCell ref="A56:F56"/>
    <mergeCell ref="C37:F37"/>
    <mergeCell ref="B36:E36"/>
    <mergeCell ref="A22:F22"/>
    <mergeCell ref="C15:F15"/>
    <mergeCell ref="C14:F14"/>
    <mergeCell ref="A43:F43"/>
    <mergeCell ref="E34:F34"/>
    <mergeCell ref="B44:F44"/>
    <mergeCell ref="B38:C38"/>
    <mergeCell ref="B19:F19"/>
    <mergeCell ref="A31:F31"/>
    <mergeCell ref="A58:F58"/>
    <mergeCell ref="A48:F48"/>
    <mergeCell ref="A39:F39"/>
    <mergeCell ref="C32:D32"/>
    <mergeCell ref="E32:F32"/>
    <mergeCell ref="B20:F20"/>
    <mergeCell ref="A70:F70"/>
    <mergeCell ref="B45:F45"/>
    <mergeCell ref="A7:F7"/>
  </mergeCells>
  <conditionalFormatting sqref="B19:F20">
    <cfRule type="expression" priority="1" dxfId="2" stopIfTrue="0">
      <formula>AND($C$9+$C$10&gt;0,COUNTA($B$19:$B$20)=0)</formula>
    </cfRule>
  </conditionalFormatting>
  <conditionalFormatting sqref="C24:C29">
    <cfRule type="expression" priority="2" dxfId="3" stopIfTrue="0">
      <formula>LEFT($C24,1)="■"</formula>
    </cfRule>
  </conditionalFormatting>
  <conditionalFormatting sqref="B32">
    <cfRule type="expression" priority="3" dxfId="2" stopIfTrue="0">
      <formula>$B$32&gt;0</formula>
    </cfRule>
  </conditionalFormatting>
  <conditionalFormatting sqref="B37">
    <cfRule type="expression" priority="4" dxfId="2" stopIfTrue="0">
      <formula>LEFT($C$37,1)="△"</formula>
    </cfRule>
  </conditionalFormatting>
  <conditionalFormatting sqref="B44:B46">
    <cfRule type="expression" priority="5" dxfId="1" stopIfTrue="0">
      <formula>LEFT(B44,1)="△"</formula>
    </cfRule>
  </conditionalFormatting>
  <conditionalFormatting sqref="A9:A12">
    <cfRule type="expression" priority="6" dxfId="3" stopIfTrue="0">
      <formula>LEFT($A9,1)="■"</formula>
    </cfRule>
  </conditionalFormatting>
  <dataValidations count="7">
    <dataValidation sqref="B19" showDropDown="0" showInputMessage="1" showErrorMessage="0" allowBlank="1" promptTitle="Since last review" prompt="What changed since the last review, naming the rows. Take each cause from the row's Variance note, and don't add your own." errorStyle="stop"/>
    <dataValidation sqref="B20" showDropDown="0" showInputMessage="1" showErrorMessage="0" allowBlank="1" promptTitle="For the group to decide" prompt="The decision or answer you need from the steering group, naming the row." errorStyle="stop"/>
    <dataValidation sqref="F36" showDropDown="0" showInputMessage="1" showErrorMessage="0" allowBlank="1" promptTitle="Kept in" prompt="Name the document or tool that holds them." errorStyle="stop"/>
    <dataValidation sqref="B38" showDropDown="0" showInputMessage="1" showErrorMessage="0" allowBlank="1" promptTitle="Signed by" prompt="The director signs once the steering group has seen this page. Then type the meeting's date in Last review on Portfolio." errorStyle="stop"/>
    <dataValidation sqref="E38" showDropDown="0" showInputMessage="1" showErrorMessage="1" allowBlank="1" errorTitle="Check this entry" error="Type a date, such as 30 Jun 2027." promptTitle="On" prompt="The director signs once the steering group has seen this page. Then type the meeting's date in Last review on Portfolio." type="date" errorStyle="stop" operator="greaterThan">
      <formula1>36526</formula1>
    </dataValidation>
    <dataValidation sqref="B40" showDropDown="0" showInputMessage="1" showErrorMessage="1" allowBlank="1" errorTitle="Check this entry" error="Type a whole number of days, 1 to 365." promptTitle="Not checked after (days)" prompt="Days before a row counts as not checked. Starts at 35; change it to suit." type="whole" errorStyle="stop" operator="between">
      <formula1>1</formula1>
      <formula2>365</formula2>
    </dataValidation>
    <dataValidation sqref="B41" showDropDown="0" showInputMessage="1" showErrorMessage="1" allowBlank="1" errorTitle="Check this entry" error="Type a whole number of days, 1 to 365." promptTitle="Look ahead (days)" prompt="How many days ahead the Finishing line on page 1 looks. Starts at 90." type="whole" errorStyle="stop" operator="between">
      <formula1>1</formula1>
      <formula2>365</formula2>
    </dataValidation>
  </dataValidations>
  <printOptions horizontalCentered="1"/>
  <pageMargins left="0.4" right="0.4" top="0.4" bottom="0.4" header="0.5" footer="0.5"/>
  <pageSetup orientation="landscape" paperSize="9" scale="80"/>
  <rowBreaks count="1" manualBreakCount="1">
    <brk id="38" min="0" max="16383" man="1"/>
  </rowBreaks>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AR81"/>
  <sheetViews>
    <sheetView showGridLines="0" workbookViewId="0">
      <pane xSplit="1" topLeftCell="B1" activePane="topRight" state="frozen"/>
      <selection pane="topRight" activeCell="A1" sqref="A1"/>
    </sheetView>
  </sheetViews>
  <sheetFormatPr baseColWidth="8" defaultRowHeight="15"/>
  <cols>
    <col width="34" customWidth="1" min="1" max="1"/>
    <col width="20" customWidth="1" min="2" max="2"/>
    <col width="14" customWidth="1" min="3" max="3"/>
    <col width="34" customWidth="1" min="4" max="4"/>
    <col width="24" customWidth="1" min="5" max="5"/>
    <col width="14" customWidth="1" min="6" max="6"/>
    <col width="12" customWidth="1" min="7" max="7"/>
    <col hidden="1" width="12" customWidth="1" min="8" max="8"/>
    <col width="12" customWidth="1" min="9" max="9"/>
    <col width="12" customWidth="1" min="10" max="10"/>
    <col width="12" customWidth="1" min="11" max="11"/>
    <col width="12" customWidth="1" min="12" max="12"/>
    <col width="11" customWidth="1" min="13" max="13"/>
    <col width="20" customWidth="1" min="14" max="14"/>
    <col width="12" customWidth="1" min="15" max="15"/>
    <col width="44" customWidth="1" min="16" max="16"/>
    <col width="30" customWidth="1" min="17" max="17"/>
    <col hidden="1" width="30" customWidth="1" min="18" max="18"/>
    <col width="9" customWidth="1" min="19" max="19"/>
    <col width="12" customWidth="1" min="20" max="20"/>
    <col width="13" customWidth="1" min="21" max="21"/>
    <col width="13" customWidth="1" min="22" max="22"/>
    <col hidden="1" width="10" customWidth="1" min="23" max="23"/>
    <col width="34" customWidth="1" min="24" max="24"/>
    <col hidden="1" outlineLevel="1" width="13" customWidth="1" min="25" max="44"/>
  </cols>
  <sheetData>
    <row r="1" ht="36" customHeight="1">
      <c r="B1" s="1" t="inlineStr">
        <is>
          <t>Intake and scoring</t>
        </is>
      </c>
    </row>
    <row r="2" ht="16" customHeight="1">
      <c r="A2" s="2">
        <f>IF(Portfolio!$B$6="","","Portfolio: "&amp;Portfolio!$B$6)</f>
        <v/>
      </c>
    </row>
    <row r="3" ht="18" customHeight="1">
      <c r="A3" s="4" t="n"/>
    </row>
    <row r="4" ht="6" customHeight="1"/>
    <row r="5" ht="16" customHeight="1">
      <c r="A5" s="11" t="inlineStr">
        <is>
          <t>Scoring criteria. Agree them, and their weights, before anyone scores a request.</t>
        </is>
      </c>
    </row>
    <row r="6">
      <c r="A6" s="25" t="inlineStr">
        <is>
          <t>Criterion</t>
        </is>
      </c>
      <c r="B6" s="25" t="inlineStr">
        <is>
          <t>Weight</t>
        </is>
      </c>
      <c r="C6" s="25" t="inlineStr">
        <is>
          <t>What a 1 and a 5 mean</t>
        </is>
      </c>
      <c r="AR6" s="28" t="inlineStr">
        <is>
          <t>Helper, worked out</t>
        </is>
      </c>
    </row>
    <row r="7" ht="28" customHeight="1">
      <c r="A7" s="29" t="inlineStr">
        <is>
          <t>Fit to objective</t>
        </is>
      </c>
      <c r="B7" s="18" t="n">
        <v>0.3</v>
      </c>
      <c r="C7" s="26" t="inlineStr">
        <is>
          <t>1: serves an objective only loosely. 5: moves an objective's measure directly.</t>
        </is>
      </c>
      <c r="D7" s="42" t="n"/>
      <c r="E7" s="42" t="n"/>
      <c r="F7" s="42" t="n"/>
      <c r="G7" s="42" t="n"/>
      <c r="H7" s="42" t="n"/>
      <c r="AR7" s="31">
        <f>IF(ISNUMBER($B$7),MAX(0,$B$7),0)</f>
        <v/>
      </c>
    </row>
    <row r="8" ht="28" customHeight="1">
      <c r="A8" s="29" t="inlineStr">
        <is>
          <t>Value to customers</t>
        </is>
      </c>
      <c r="B8" s="18" t="n">
        <v>0.3</v>
      </c>
      <c r="C8" s="26" t="inlineStr">
        <is>
          <t>1: no customer would notice. 5: a named customer or contract depends on it.</t>
        </is>
      </c>
      <c r="D8" s="42" t="n"/>
      <c r="E8" s="42" t="n"/>
      <c r="F8" s="42" t="n"/>
      <c r="G8" s="42" t="n"/>
      <c r="H8" s="42" t="n"/>
      <c r="AR8" s="31">
        <f>IF(ISNUMBER($B$8),MAX(0,$B$8),0)</f>
        <v/>
      </c>
    </row>
    <row r="9" ht="28" customHeight="1">
      <c r="A9" s="29" t="inlineStr">
        <is>
          <t>Urgency</t>
        </is>
      </c>
      <c r="B9" s="18" t="n">
        <v>0.2</v>
      </c>
      <c r="C9" s="26" t="inlineStr">
        <is>
          <t>1: can wait a year. 5: a date we don't control falls inside the next quarter.</t>
        </is>
      </c>
      <c r="D9" s="42" t="n"/>
      <c r="E9" s="42" t="n"/>
      <c r="F9" s="42" t="n"/>
      <c r="G9" s="42" t="n"/>
      <c r="H9" s="42" t="n"/>
      <c r="AR9" s="31">
        <f>IF(ISNUMBER($B$9),MAX(0,$B$9),0)</f>
        <v/>
      </c>
    </row>
    <row r="10" ht="28" customHeight="1">
      <c r="A10" s="29" t="inlineStr">
        <is>
          <t>Needed by other work</t>
        </is>
      </c>
      <c r="B10" s="18" t="n">
        <v>0.2</v>
      </c>
      <c r="C10" s="26" t="inlineStr">
        <is>
          <t>1: nothing depends on it. 5: running work can't finish without it.</t>
        </is>
      </c>
      <c r="D10" s="42" t="n"/>
      <c r="E10" s="42" t="n"/>
      <c r="F10" s="42" t="n"/>
      <c r="G10" s="42" t="n"/>
      <c r="H10" s="42" t="n"/>
      <c r="AR10" s="31">
        <f>IF(ISNUMBER($B$10),MAX(0,$B$10),0)</f>
        <v/>
      </c>
    </row>
    <row r="11">
      <c r="A11" s="12" t="inlineStr">
        <is>
          <t>TOTAL WEIGHT</t>
        </is>
      </c>
      <c r="B11" s="47">
        <f>SUM($AR$7:$AR$10)</f>
        <v/>
      </c>
    </row>
    <row r="12">
      <c r="A12" s="12" t="inlineStr">
        <is>
          <t>AGREED BY</t>
        </is>
      </c>
      <c r="B12" s="29" t="n"/>
    </row>
    <row r="13">
      <c r="A13" s="12" t="inlineStr">
        <is>
          <t>AGREED ON</t>
        </is>
      </c>
      <c r="B13" s="14" t="n"/>
    </row>
    <row r="14" ht="6" customHeight="1"/>
    <row r="15" ht="16" customHeight="1">
      <c r="A15" s="11" t="inlineStr">
        <is>
          <t>What's left for new work</t>
        </is>
      </c>
    </row>
    <row r="16" ht="18" customHeight="1">
      <c r="A16" s="12" t="inlineStr">
        <is>
          <t>LEFT IN THE ENVELOPE</t>
        </is>
      </c>
      <c r="B16" s="20">
        <f>IF(Portfolio!$B$20="","",Portfolio!$B$22)</f>
        <v/>
      </c>
    </row>
    <row r="17" ht="18" customHeight="1">
      <c r="A17" s="12" t="inlineStr">
        <is>
          <t>FREE PERSON-DAYS</t>
        </is>
      </c>
      <c r="B17" s="19" t="n"/>
      <c r="C17" s="29" t="n"/>
      <c r="D17" s="31">
        <f>IF(Capacity!$D$17="","Capacity tab: First week not set","Capacity tab, next 13 weeks: at most "&amp;SUM(Capacity!$D$58:$P$58))</f>
        <v/>
      </c>
    </row>
    <row r="18" ht="18" customHeight="1">
      <c r="A18" s="12" t="inlineStr">
        <is>
          <t>COST OF THE QUEUE</t>
        </is>
      </c>
      <c r="B18" s="20">
        <f>SUM($AD$32:$AD$81)</f>
        <v/>
      </c>
    </row>
    <row r="19" ht="18" customHeight="1">
      <c r="A19" s="12" t="inlineStr">
        <is>
          <t>PERSON-DAYS IN THE QUEUE</t>
        </is>
      </c>
      <c r="B19" s="20">
        <f>SUM($AE$32:$AE$81)</f>
        <v/>
      </c>
    </row>
    <row r="20" hidden="1" ht="18" customHeight="1">
      <c r="A20" s="12" t="inlineStr">
        <is>
          <t>DAYS TO GET ON THE REGISTER</t>
        </is>
      </c>
      <c r="B20" s="17" t="n">
        <v>14</v>
      </c>
    </row>
    <row r="21" ht="6" customHeight="1"/>
    <row r="22" ht="16" customHeight="1">
      <c r="A22" s="11" t="inlineStr">
        <is>
          <t>Checks</t>
        </is>
      </c>
    </row>
    <row r="23" ht="26" customHeight="1">
      <c r="A23" s="23" t="inlineStr">
        <is>
          <t>A decision dated before the criteria were agreed, or no date</t>
        </is>
      </c>
      <c r="B23" s="31">
        <f>IF(COUNTA($A$32:$A$81)=0,"○ Clear",IF(NOT(ISNUMBER($B$13)),"△ No date for when the criteria were agreed",IF(COUNTIFS($O$32:$O$81,"&lt;"&amp;$B$13)&gt;0,"△ "&amp;COUNTIFS($O$32:$O$81,"&lt;"&amp;$B$13)&amp;IF(COUNTIFS($O$32:$O$81,"&lt;"&amp;$B$13)=1," decision"," decisions")&amp;" dated before the criteria were agreed","○ Clear")))</f>
        <v/>
      </c>
    </row>
    <row r="24" hidden="1" ht="26" customHeight="1">
      <c r="A24" s="23" t="inlineStr">
        <is>
          <t>A scored request with no objective from Portfolio</t>
        </is>
      </c>
      <c r="B24" s="31">
        <f>IF(SUM($AL$32:$AL$81)=0,"○ Clear","△ "&amp;SUM($AL$32:$AL$81)&amp;IF(SUM($AL$32:$AL$81)=1," scored request"," scored requests")&amp;" with no objective from Portfolio")</f>
        <v/>
      </c>
    </row>
    <row r="25" ht="26" customHeight="1">
      <c r="A25" s="23" t="inlineStr">
        <is>
          <t>An accepted request not shown to fit</t>
        </is>
      </c>
      <c r="B25" s="31">
        <f>IF(COUNTIF($AN$32:$AN$81,"&gt;0")=0,"○ Clear","△ "&amp;COUNTIF($AN$32:$AN$81,"&gt;0")&amp;IF(COUNTIF($AN$32:$AN$81,"&gt;0")=1," accepted request"," accepted requests")&amp;" not shown to fit")</f>
        <v/>
      </c>
    </row>
    <row r="26" ht="26" customHeight="1">
      <c r="A26" s="23" t="inlineStr">
        <is>
          <t>An accepted request that doesn't match the Register</t>
        </is>
      </c>
      <c r="B26" s="31">
        <f>IF(COUNTIF($AO$32:$AO$81,"&gt;0")=0,"○ Clear","△ "&amp;COUNTIF($AO$32:$AO$81,"&gt;0")&amp;IF(COUNTIF($AO$32:$AO$81,"&gt;0")=1," accepted request"," accepted requests")&amp;" not matching the Register")</f>
        <v/>
      </c>
    </row>
    <row r="27" ht="26" customHeight="1">
      <c r="A27" s="23" t="inlineStr">
        <is>
          <t>A decision without who, when or why</t>
        </is>
      </c>
      <c r="B27" s="31">
        <f>IF(COUNTIF($AP$32:$AP$81,"&gt;0")=0,"○ Clear","△ "&amp;COUNTIF($AP$32:$AP$81,"&gt;0")&amp;IF(COUNTIF($AP$32:$AP$81,"&gt;0")=1," decision"," decisions")&amp;" missing who, when or why")</f>
        <v/>
      </c>
    </row>
    <row r="28" ht="18" customHeight="1">
      <c r="A28" s="34" t="inlineStr">
        <is>
          <t>Intake checks</t>
        </is>
      </c>
      <c r="B28" s="37">
        <f>(COUNTIF($B$23,"△*")+COUNTIF($B$25:$B$27,"△*"))&amp;" of 4 failing"</f>
        <v/>
      </c>
    </row>
    <row r="29" ht="18" customHeight="1">
      <c r="A29" s="2" t="inlineStr">
        <is>
          <t>Rows below the table</t>
        </is>
      </c>
      <c r="B29" s="31">
        <f>IF(COUNTA($A$82:$A$400)&gt;0,"△ Rows below row 81 aren't read. The table holds 50 requests.","")</f>
        <v/>
      </c>
    </row>
    <row r="30" ht="16" customHeight="1">
      <c r="A30" s="11" t="inlineStr">
        <is>
          <t>Requests. The queue is every scored request that hasn't started on the Register and isn't deferred or declined.</t>
        </is>
      </c>
    </row>
    <row r="31" ht="32" customHeight="1">
      <c r="A31" s="25" t="inlineStr">
        <is>
          <t>Request</t>
        </is>
      </c>
      <c r="B31" s="25" t="inlineStr">
        <is>
          <t>Requested by</t>
        </is>
      </c>
      <c r="C31" s="25" t="inlineStr">
        <is>
          <t>Received</t>
        </is>
      </c>
      <c r="D31" s="25" t="inlineStr">
        <is>
          <t>Objective</t>
        </is>
      </c>
      <c r="E31" s="25" t="inlineStr">
        <is>
          <t>Proposed owner</t>
        </is>
      </c>
      <c r="F31" s="25" t="inlineStr">
        <is>
          <t>Estimated cost</t>
        </is>
      </c>
      <c r="G31" s="25" t="inlineStr">
        <is>
          <t>Effort, person-days</t>
        </is>
      </c>
      <c r="H31" s="25" t="inlineStr">
        <is>
          <t>Wanted start</t>
        </is>
      </c>
      <c r="I31" s="25">
        <f>IF($A$7="","Criterion 1",$A$7)</f>
        <v/>
      </c>
      <c r="J31" s="25">
        <f>IF($A$8="","Criterion 2",$A$8)</f>
        <v/>
      </c>
      <c r="K31" s="25">
        <f>IF($A$9="","Criterion 3",$A$9)</f>
        <v/>
      </c>
      <c r="L31" s="25">
        <f>IF($A$10="","Criterion 4",$A$10)</f>
        <v/>
      </c>
      <c r="M31" s="25" t="inlineStr">
        <is>
          <t>Decision</t>
        </is>
      </c>
      <c r="N31" s="25" t="inlineStr">
        <is>
          <t>Decided by</t>
        </is>
      </c>
      <c r="O31" s="25" t="inlineStr">
        <is>
          <t>Decided on</t>
        </is>
      </c>
      <c r="P31" s="25" t="inlineStr">
        <is>
          <t>Reason</t>
        </is>
      </c>
      <c r="Q31" s="25" t="inlineStr">
        <is>
          <t>Gives way</t>
        </is>
      </c>
      <c r="R31" s="25" t="inlineStr">
        <is>
          <t>Register name</t>
        </is>
      </c>
      <c r="S31" s="28" t="inlineStr">
        <is>
          <t>Score</t>
        </is>
      </c>
      <c r="T31" s="28" t="inlineStr">
        <is>
          <t>Recommended rank</t>
        </is>
      </c>
      <c r="U31" s="28" t="inlineStr">
        <is>
          <t>Fits the money</t>
        </is>
      </c>
      <c r="V31" s="28" t="inlineStr">
        <is>
          <t>Fits the people</t>
        </is>
      </c>
      <c r="W31" s="28" t="inlineStr">
        <is>
          <t>Days open</t>
        </is>
      </c>
      <c r="X31" s="28" t="inlineStr">
        <is>
          <t>Check</t>
        </is>
      </c>
      <c r="Y31" s="28" t="inlineStr">
        <is>
          <t>Helper, worked out</t>
        </is>
      </c>
      <c r="Z31" s="28" t="inlineStr">
        <is>
          <t>Helper, worked out</t>
        </is>
      </c>
      <c r="AA31" s="28" t="inlineStr">
        <is>
          <t>Helper, worked out</t>
        </is>
      </c>
      <c r="AB31" s="28" t="inlineStr">
        <is>
          <t>Helper, worked out</t>
        </is>
      </c>
      <c r="AC31" s="28" t="inlineStr">
        <is>
          <t>Helper, worked out</t>
        </is>
      </c>
      <c r="AD31" s="28" t="inlineStr">
        <is>
          <t>Helper, worked out</t>
        </is>
      </c>
      <c r="AE31" s="28" t="inlineStr">
        <is>
          <t>Helper, worked out</t>
        </is>
      </c>
      <c r="AF31" s="28" t="inlineStr">
        <is>
          <t>Running cost: this request and every one ranked above it</t>
        </is>
      </c>
      <c r="AG31" s="28" t="inlineStr">
        <is>
          <t>Running person-days: this request and every one ranked above it</t>
        </is>
      </c>
      <c r="AH31" s="28" t="inlineStr">
        <is>
          <t>Helper, worked out</t>
        </is>
      </c>
      <c r="AI31" s="28" t="inlineStr">
        <is>
          <t>Helper, worked out</t>
        </is>
      </c>
      <c r="AJ31" s="28" t="inlineStr">
        <is>
          <t>Helper, worked out</t>
        </is>
      </c>
      <c r="AK31" s="28" t="inlineStr">
        <is>
          <t>Helper, worked out</t>
        </is>
      </c>
      <c r="AL31" s="28" t="inlineStr">
        <is>
          <t>Helper, worked out</t>
        </is>
      </c>
      <c r="AM31" s="28" t="inlineStr">
        <is>
          <t>Helper, worked out</t>
        </is>
      </c>
      <c r="AN31" s="28" t="inlineStr">
        <is>
          <t>Helper, worked out</t>
        </is>
      </c>
      <c r="AO31" s="28" t="inlineStr">
        <is>
          <t>Helper, worked out</t>
        </is>
      </c>
      <c r="AP31" s="28" t="inlineStr">
        <is>
          <t>Helper, worked out</t>
        </is>
      </c>
      <c r="AQ31" s="28" t="inlineStr">
        <is>
          <t>Helper, worked out</t>
        </is>
      </c>
    </row>
    <row r="32">
      <c r="A32" s="29" t="n"/>
      <c r="B32" s="29" t="n"/>
      <c r="C32" s="14" t="n"/>
      <c r="D32" s="29" t="n"/>
      <c r="E32" s="29" t="n"/>
      <c r="F32" s="19" t="n"/>
      <c r="G32" s="19" t="n"/>
      <c r="H32" s="14" t="n"/>
      <c r="I32" s="48" t="n"/>
      <c r="J32" s="48" t="n"/>
      <c r="K32" s="48" t="n"/>
      <c r="L32" s="48" t="n"/>
      <c r="M32" s="29" t="n"/>
      <c r="N32" s="29" t="n"/>
      <c r="O32" s="14" t="n"/>
      <c r="P32" s="26" t="n"/>
      <c r="Q32" s="29" t="n"/>
      <c r="R32" s="29" t="n"/>
      <c r="S32" s="21">
        <f>IF(OR($A32="",$B$11&lt;=0),"",IF(AND(OR($AR$7=0,ISNUMBER($I32)),OR($AR$8=0,ISNUMBER($J32)),OR($AR$9=0,ISNUMBER($K32)),OR($AR$10=0,ISNUMBER($L32))),ROUND((N($I32)*$AR$7+N($J32)*$AR$8+N($K32)*$AR$9+N($L32)*$AR$10)*20/$B$11,0),""))</f>
        <v/>
      </c>
      <c r="T32" s="21">
        <f>IF($AB32=1,SUMPRODUCT(--($AC$32:$AC$81&gt;$AC32))+1,"")</f>
        <v/>
      </c>
      <c r="U32" s="31">
        <f>IF($AB32=0,"",IF(OR(NOT(ISNUMBER($B$16)),$AH32&gt;0),"Not read",IF($AF32&lt;=$B$16,"Fits","Doesn't fit")))</f>
        <v/>
      </c>
      <c r="V32" s="31">
        <f>IF($AB32=0,"",IF(OR(NOT(ISNUMBER($B$17)),$AI32&gt;0),"Not read",IF($AG32&lt;=$B$17,"Fits","Doesn't fit")))</f>
        <v/>
      </c>
      <c r="W32" s="21">
        <f>IF(OR($A32="",NOT(ISNUMBER($C32)),$M32&lt;&gt;""),"",MAX(0,TODAY()-$C32))</f>
        <v/>
      </c>
      <c r="X32" s="31">
        <f>IF($A32="","",IF($AQ32=0,"○ Clear",IF($AL32=1,"△ No objective from Portfolio",IF($AM32=1,"△ Decided without a score",IF($AO32=1,"△ Not on the Register under this name",IF($AO32=2,"△ Owner or objective differs from the Register",IF($AN32=2,"△ Accepted with no cost or effort",IF($AN32=1,"△ Doesn't fit, and nothing gives way",IF($AP32=2,"△ Decision isn't Accept, Defer or Decline","△ Decision missing who, when or why")))))))&amp;IF($AQ32&gt;1," (+"&amp;($AQ32-1)&amp;" more)","")))</f>
        <v/>
      </c>
      <c r="Y32" s="31">
        <f>IF($A32="","",IFERROR(MATCH(IF($R32&lt;&gt;"",TRIM($R32),TRIM($A32)),Register!$A$6:$A$305,0),0))</f>
        <v/>
      </c>
      <c r="Z32" s="31">
        <f>IF(N($Y32)=0,"",INDEX(Register!$D$6:$D$305,$Y32))</f>
        <v/>
      </c>
      <c r="AA32" s="31">
        <f>IF(OR($Z32="Active",$Z32="Paused",$Z32="Completed",$Z32="Terminated"),1,0)</f>
        <v/>
      </c>
      <c r="AB32" s="31">
        <f>IF(AND($A32&lt;&gt;"",ISNUMBER($S32),OR($M32="",$M32="Accept"),$AA32=0),1,0)</f>
        <v/>
      </c>
      <c r="AC32" s="31">
        <f>IF($AB32=1,$S32+(1000-ROW())/100000,0)</f>
        <v/>
      </c>
      <c r="AD32" s="31">
        <f>IF(AND($AB32=1,ISNUMBER($F32)),$F32,0)</f>
        <v/>
      </c>
      <c r="AE32" s="31">
        <f>IF(AND($AB32=1,ISNUMBER($G32)),$G32,0)</f>
        <v/>
      </c>
      <c r="AF32" s="31">
        <f>IF($AB32=1,SUMPRODUCT(($AC$32:$AC$81&gt;=$AC32)*$AD$32:$AD$81),"")</f>
        <v/>
      </c>
      <c r="AG32" s="31">
        <f>IF($AB32=1,SUMPRODUCT(($AC$32:$AC$81&gt;=$AC32)*$AE$32:$AE$81),"")</f>
        <v/>
      </c>
      <c r="AH32" s="31">
        <f>IF($AB32=1,SUMPRODUCT(($AC$32:$AC$81&gt;=$AC32)*(1-ISNUMBER($F$32:$F$81))),"")</f>
        <v/>
      </c>
      <c r="AI32" s="31">
        <f>IF($AB32=1,SUMPRODUCT(($AC$32:$AC$81&gt;=$AC32)*(1-ISNUMBER($G$32:$G$81))),"")</f>
        <v/>
      </c>
      <c r="AJ32" s="31">
        <f>IF(AND($AB32=1,$M32="Accept",ISNUMBER($O32)),SUMPRODUCT(($AC$32:$AC$81&gt;$AC32)*ISNUMBER($C$32:$C$81)*($C$32:$C$81&lt;=$O32)*((($M$32:$M$81="")+ISNUMBER($O$32:$O$81)*($O$32:$O$81&gt;$O32))&gt;0)),0)</f>
        <v/>
      </c>
      <c r="AK32" s="31">
        <f>IF($Q32="",0,IFERROR(IF(INDEX(Register!$D$6:$D$305,MATCH(TRIM($Q32),Register!$A$6:$A$305,0))="Active",1,0),0))</f>
        <v/>
      </c>
      <c r="AL32" s="31">
        <f>IF(AND($A32&lt;&gt;"",ISNUMBER($S32)),IF($D32="",1,IF(COUNTIF(Portfolio!$A$47:$A$56,$D32)=0,1,0)),0)</f>
        <v/>
      </c>
      <c r="AM32" s="31">
        <f>IF(AND($A32&lt;&gt;"",$M32&lt;&gt;"",NOT(ISNUMBER($S32))),1,0)</f>
        <v/>
      </c>
      <c r="AN32" s="31">
        <f>IF(AND($AB32=1,$M32="Accept"),IF(OR(AND(ISNUMBER($B$16),NOT(ISNUMBER($F32))),AND(ISNUMBER($B$17),NOT(ISNUMBER($G32)))),2,IF(AND(OR($U32="Doesn't fit",$V32="Doesn't fit"),$AK32=0),1,0)),0)</f>
        <v/>
      </c>
      <c r="AO32" s="31">
        <f>IF(OR($A32="",$M32&lt;&gt;"Accept"),0,IF($Y32=0,IF(OR($R32&lt;&gt;"",IFERROR(TODAY()-$O32,9999)&gt;IF(ISNUMBER($B$20),$B$20,14)),1,0),IF(OR(TRIM(INDEX(Register!$E$6:$E$305,$Y32)&amp;"")&lt;&gt;TRIM($E32&amp;""),TRIM(INDEX(Register!$G$6:$G$305,$Y32)&amp;"")&lt;&gt;TRIM($D32&amp;"")),2,0)))</f>
        <v/>
      </c>
      <c r="AP32" s="31">
        <f>IF(OR($A32="",$M32=""),0,IF(AND($M32&lt;&gt;"Accept",$M32&lt;&gt;"Defer",$M32&lt;&gt;"Decline"),2,IF(OR($N32="",NOT(ISNUMBER($O32))),1,IF(AND($P32="",OR($M32="Defer",$M32="Decline",$AJ32&gt;0)),1,0))))</f>
        <v/>
      </c>
      <c r="AQ32" s="31">
        <f>$AL32+$AM32+IF($AN32&gt;0,1,0)+IF($AO32&gt;0,1,0)+IF($AP32&gt;0,1,0)</f>
        <v/>
      </c>
    </row>
    <row r="33">
      <c r="A33" s="29" t="n"/>
      <c r="B33" s="29" t="n"/>
      <c r="C33" s="14" t="n"/>
      <c r="D33" s="29" t="n"/>
      <c r="E33" s="29" t="n"/>
      <c r="F33" s="19" t="n"/>
      <c r="G33" s="19" t="n"/>
      <c r="H33" s="14" t="n"/>
      <c r="I33" s="48" t="n"/>
      <c r="J33" s="48" t="n"/>
      <c r="K33" s="48" t="n"/>
      <c r="L33" s="48" t="n"/>
      <c r="M33" s="29" t="n"/>
      <c r="N33" s="29" t="n"/>
      <c r="O33" s="14" t="n"/>
      <c r="P33" s="26" t="n"/>
      <c r="Q33" s="29" t="n"/>
      <c r="R33" s="29" t="n"/>
      <c r="S33" s="21">
        <f>IF(OR($A33="",$B$11&lt;=0),"",IF(AND(OR($AR$7=0,ISNUMBER($I33)),OR($AR$8=0,ISNUMBER($J33)),OR($AR$9=0,ISNUMBER($K33)),OR($AR$10=0,ISNUMBER($L33))),ROUND((N($I33)*$AR$7+N($J33)*$AR$8+N($K33)*$AR$9+N($L33)*$AR$10)*20/$B$11,0),""))</f>
        <v/>
      </c>
      <c r="T33" s="21">
        <f>IF($AB33=1,SUMPRODUCT(--($AC$32:$AC$81&gt;$AC33))+1,"")</f>
        <v/>
      </c>
      <c r="U33" s="31">
        <f>IF($AB33=0,"",IF(OR(NOT(ISNUMBER($B$16)),$AH33&gt;0),"Not read",IF($AF33&lt;=$B$16,"Fits","Doesn't fit")))</f>
        <v/>
      </c>
      <c r="V33" s="31">
        <f>IF($AB33=0,"",IF(OR(NOT(ISNUMBER($B$17)),$AI33&gt;0),"Not read",IF($AG33&lt;=$B$17,"Fits","Doesn't fit")))</f>
        <v/>
      </c>
      <c r="W33" s="21">
        <f>IF(OR($A33="",NOT(ISNUMBER($C33)),$M33&lt;&gt;""),"",MAX(0,TODAY()-$C33))</f>
        <v/>
      </c>
      <c r="X33" s="31">
        <f>IF($A33="","",IF($AQ33=0,"○ Clear",IF($AL33=1,"△ No objective from Portfolio",IF($AM33=1,"△ Decided without a score",IF($AO33=1,"△ Not on the Register under this name",IF($AO33=2,"△ Owner or objective differs from the Register",IF($AN33=2,"△ Accepted with no cost or effort",IF($AN33=1,"△ Doesn't fit, and nothing gives way",IF($AP33=2,"△ Decision isn't Accept, Defer or Decline","△ Decision missing who, when or why")))))))&amp;IF($AQ33&gt;1," (+"&amp;($AQ33-1)&amp;" more)","")))</f>
        <v/>
      </c>
      <c r="Y33" s="31">
        <f>IF($A33="","",IFERROR(MATCH(IF($R33&lt;&gt;"",TRIM($R33),TRIM($A33)),Register!$A$6:$A$305,0),0))</f>
        <v/>
      </c>
      <c r="Z33" s="31">
        <f>IF(N($Y33)=0,"",INDEX(Register!$D$6:$D$305,$Y33))</f>
        <v/>
      </c>
      <c r="AA33" s="31">
        <f>IF(OR($Z33="Active",$Z33="Paused",$Z33="Completed",$Z33="Terminated"),1,0)</f>
        <v/>
      </c>
      <c r="AB33" s="31">
        <f>IF(AND($A33&lt;&gt;"",ISNUMBER($S33),OR($M33="",$M33="Accept"),$AA33=0),1,0)</f>
        <v/>
      </c>
      <c r="AC33" s="31">
        <f>IF($AB33=1,$S33+(1000-ROW())/100000,0)</f>
        <v/>
      </c>
      <c r="AD33" s="31">
        <f>IF(AND($AB33=1,ISNUMBER($F33)),$F33,0)</f>
        <v/>
      </c>
      <c r="AE33" s="31">
        <f>IF(AND($AB33=1,ISNUMBER($G33)),$G33,0)</f>
        <v/>
      </c>
      <c r="AF33" s="31">
        <f>IF($AB33=1,SUMPRODUCT(($AC$32:$AC$81&gt;=$AC33)*$AD$32:$AD$81),"")</f>
        <v/>
      </c>
      <c r="AG33" s="31">
        <f>IF($AB33=1,SUMPRODUCT(($AC$32:$AC$81&gt;=$AC33)*$AE$32:$AE$81),"")</f>
        <v/>
      </c>
      <c r="AH33" s="31">
        <f>IF($AB33=1,SUMPRODUCT(($AC$32:$AC$81&gt;=$AC33)*(1-ISNUMBER($F$32:$F$81))),"")</f>
        <v/>
      </c>
      <c r="AI33" s="31">
        <f>IF($AB33=1,SUMPRODUCT(($AC$32:$AC$81&gt;=$AC33)*(1-ISNUMBER($G$32:$G$81))),"")</f>
        <v/>
      </c>
      <c r="AJ33" s="31">
        <f>IF(AND($AB33=1,$M33="Accept",ISNUMBER($O33)),SUMPRODUCT(($AC$32:$AC$81&gt;$AC33)*ISNUMBER($C$32:$C$81)*($C$32:$C$81&lt;=$O33)*((($M$32:$M$81="")+ISNUMBER($O$32:$O$81)*($O$32:$O$81&gt;$O33))&gt;0)),0)</f>
        <v/>
      </c>
      <c r="AK33" s="31">
        <f>IF($Q33="",0,IFERROR(IF(INDEX(Register!$D$6:$D$305,MATCH(TRIM($Q33),Register!$A$6:$A$305,0))="Active",1,0),0))</f>
        <v/>
      </c>
      <c r="AL33" s="31">
        <f>IF(AND($A33&lt;&gt;"",ISNUMBER($S33)),IF($D33="",1,IF(COUNTIF(Portfolio!$A$47:$A$56,$D33)=0,1,0)),0)</f>
        <v/>
      </c>
      <c r="AM33" s="31">
        <f>IF(AND($A33&lt;&gt;"",$M33&lt;&gt;"",NOT(ISNUMBER($S33))),1,0)</f>
        <v/>
      </c>
      <c r="AN33" s="31">
        <f>IF(AND($AB33=1,$M33="Accept"),IF(OR(AND(ISNUMBER($B$16),NOT(ISNUMBER($F33))),AND(ISNUMBER($B$17),NOT(ISNUMBER($G33)))),2,IF(AND(OR($U33="Doesn't fit",$V33="Doesn't fit"),$AK33=0),1,0)),0)</f>
        <v/>
      </c>
      <c r="AO33" s="31">
        <f>IF(OR($A33="",$M33&lt;&gt;"Accept"),0,IF($Y33=0,IF(OR($R33&lt;&gt;"",IFERROR(TODAY()-$O33,9999)&gt;IF(ISNUMBER($B$20),$B$20,14)),1,0),IF(OR(TRIM(INDEX(Register!$E$6:$E$305,$Y33)&amp;"")&lt;&gt;TRIM($E33&amp;""),TRIM(INDEX(Register!$G$6:$G$305,$Y33)&amp;"")&lt;&gt;TRIM($D33&amp;"")),2,0)))</f>
        <v/>
      </c>
      <c r="AP33" s="31">
        <f>IF(OR($A33="",$M33=""),0,IF(AND($M33&lt;&gt;"Accept",$M33&lt;&gt;"Defer",$M33&lt;&gt;"Decline"),2,IF(OR($N33="",NOT(ISNUMBER($O33))),1,IF(AND($P33="",OR($M33="Defer",$M33="Decline",$AJ33&gt;0)),1,0))))</f>
        <v/>
      </c>
      <c r="AQ33" s="31">
        <f>$AL33+$AM33+IF($AN33&gt;0,1,0)+IF($AO33&gt;0,1,0)+IF($AP33&gt;0,1,0)</f>
        <v/>
      </c>
    </row>
    <row r="34">
      <c r="A34" s="29" t="n"/>
      <c r="B34" s="29" t="n"/>
      <c r="C34" s="14" t="n"/>
      <c r="D34" s="29" t="n"/>
      <c r="E34" s="29" t="n"/>
      <c r="F34" s="19" t="n"/>
      <c r="G34" s="19" t="n"/>
      <c r="H34" s="14" t="n"/>
      <c r="I34" s="48" t="n"/>
      <c r="J34" s="48" t="n"/>
      <c r="K34" s="48" t="n"/>
      <c r="L34" s="48" t="n"/>
      <c r="M34" s="29" t="n"/>
      <c r="N34" s="29" t="n"/>
      <c r="O34" s="14" t="n"/>
      <c r="P34" s="26" t="n"/>
      <c r="Q34" s="29" t="n"/>
      <c r="R34" s="29" t="n"/>
      <c r="S34" s="21">
        <f>IF(OR($A34="",$B$11&lt;=0),"",IF(AND(OR($AR$7=0,ISNUMBER($I34)),OR($AR$8=0,ISNUMBER($J34)),OR($AR$9=0,ISNUMBER($K34)),OR($AR$10=0,ISNUMBER($L34))),ROUND((N($I34)*$AR$7+N($J34)*$AR$8+N($K34)*$AR$9+N($L34)*$AR$10)*20/$B$11,0),""))</f>
        <v/>
      </c>
      <c r="T34" s="21">
        <f>IF($AB34=1,SUMPRODUCT(--($AC$32:$AC$81&gt;$AC34))+1,"")</f>
        <v/>
      </c>
      <c r="U34" s="31">
        <f>IF($AB34=0,"",IF(OR(NOT(ISNUMBER($B$16)),$AH34&gt;0),"Not read",IF($AF34&lt;=$B$16,"Fits","Doesn't fit")))</f>
        <v/>
      </c>
      <c r="V34" s="31">
        <f>IF($AB34=0,"",IF(OR(NOT(ISNUMBER($B$17)),$AI34&gt;0),"Not read",IF($AG34&lt;=$B$17,"Fits","Doesn't fit")))</f>
        <v/>
      </c>
      <c r="W34" s="21">
        <f>IF(OR($A34="",NOT(ISNUMBER($C34)),$M34&lt;&gt;""),"",MAX(0,TODAY()-$C34))</f>
        <v/>
      </c>
      <c r="X34" s="31">
        <f>IF($A34="","",IF($AQ34=0,"○ Clear",IF($AL34=1,"△ No objective from Portfolio",IF($AM34=1,"△ Decided without a score",IF($AO34=1,"△ Not on the Register under this name",IF($AO34=2,"△ Owner or objective differs from the Register",IF($AN34=2,"△ Accepted with no cost or effort",IF($AN34=1,"△ Doesn't fit, and nothing gives way",IF($AP34=2,"△ Decision isn't Accept, Defer or Decline","△ Decision missing who, when or why")))))))&amp;IF($AQ34&gt;1," (+"&amp;($AQ34-1)&amp;" more)","")))</f>
        <v/>
      </c>
      <c r="Y34" s="31">
        <f>IF($A34="","",IFERROR(MATCH(IF($R34&lt;&gt;"",TRIM($R34),TRIM($A34)),Register!$A$6:$A$305,0),0))</f>
        <v/>
      </c>
      <c r="Z34" s="31">
        <f>IF(N($Y34)=0,"",INDEX(Register!$D$6:$D$305,$Y34))</f>
        <v/>
      </c>
      <c r="AA34" s="31">
        <f>IF(OR($Z34="Active",$Z34="Paused",$Z34="Completed",$Z34="Terminated"),1,0)</f>
        <v/>
      </c>
      <c r="AB34" s="31">
        <f>IF(AND($A34&lt;&gt;"",ISNUMBER($S34),OR($M34="",$M34="Accept"),$AA34=0),1,0)</f>
        <v/>
      </c>
      <c r="AC34" s="31">
        <f>IF($AB34=1,$S34+(1000-ROW())/100000,0)</f>
        <v/>
      </c>
      <c r="AD34" s="31">
        <f>IF(AND($AB34=1,ISNUMBER($F34)),$F34,0)</f>
        <v/>
      </c>
      <c r="AE34" s="31">
        <f>IF(AND($AB34=1,ISNUMBER($G34)),$G34,0)</f>
        <v/>
      </c>
      <c r="AF34" s="31">
        <f>IF($AB34=1,SUMPRODUCT(($AC$32:$AC$81&gt;=$AC34)*$AD$32:$AD$81),"")</f>
        <v/>
      </c>
      <c r="AG34" s="31">
        <f>IF($AB34=1,SUMPRODUCT(($AC$32:$AC$81&gt;=$AC34)*$AE$32:$AE$81),"")</f>
        <v/>
      </c>
      <c r="AH34" s="31">
        <f>IF($AB34=1,SUMPRODUCT(($AC$32:$AC$81&gt;=$AC34)*(1-ISNUMBER($F$32:$F$81))),"")</f>
        <v/>
      </c>
      <c r="AI34" s="31">
        <f>IF($AB34=1,SUMPRODUCT(($AC$32:$AC$81&gt;=$AC34)*(1-ISNUMBER($G$32:$G$81))),"")</f>
        <v/>
      </c>
      <c r="AJ34" s="31">
        <f>IF(AND($AB34=1,$M34="Accept",ISNUMBER($O34)),SUMPRODUCT(($AC$32:$AC$81&gt;$AC34)*ISNUMBER($C$32:$C$81)*($C$32:$C$81&lt;=$O34)*((($M$32:$M$81="")+ISNUMBER($O$32:$O$81)*($O$32:$O$81&gt;$O34))&gt;0)),0)</f>
        <v/>
      </c>
      <c r="AK34" s="31">
        <f>IF($Q34="",0,IFERROR(IF(INDEX(Register!$D$6:$D$305,MATCH(TRIM($Q34),Register!$A$6:$A$305,0))="Active",1,0),0))</f>
        <v/>
      </c>
      <c r="AL34" s="31">
        <f>IF(AND($A34&lt;&gt;"",ISNUMBER($S34)),IF($D34="",1,IF(COUNTIF(Portfolio!$A$47:$A$56,$D34)=0,1,0)),0)</f>
        <v/>
      </c>
      <c r="AM34" s="31">
        <f>IF(AND($A34&lt;&gt;"",$M34&lt;&gt;"",NOT(ISNUMBER($S34))),1,0)</f>
        <v/>
      </c>
      <c r="AN34" s="31">
        <f>IF(AND($AB34=1,$M34="Accept"),IF(OR(AND(ISNUMBER($B$16),NOT(ISNUMBER($F34))),AND(ISNUMBER($B$17),NOT(ISNUMBER($G34)))),2,IF(AND(OR($U34="Doesn't fit",$V34="Doesn't fit"),$AK34=0),1,0)),0)</f>
        <v/>
      </c>
      <c r="AO34" s="31">
        <f>IF(OR($A34="",$M34&lt;&gt;"Accept"),0,IF($Y34=0,IF(OR($R34&lt;&gt;"",IFERROR(TODAY()-$O34,9999)&gt;IF(ISNUMBER($B$20),$B$20,14)),1,0),IF(OR(TRIM(INDEX(Register!$E$6:$E$305,$Y34)&amp;"")&lt;&gt;TRIM($E34&amp;""),TRIM(INDEX(Register!$G$6:$G$305,$Y34)&amp;"")&lt;&gt;TRIM($D34&amp;"")),2,0)))</f>
        <v/>
      </c>
      <c r="AP34" s="31">
        <f>IF(OR($A34="",$M34=""),0,IF(AND($M34&lt;&gt;"Accept",$M34&lt;&gt;"Defer",$M34&lt;&gt;"Decline"),2,IF(OR($N34="",NOT(ISNUMBER($O34))),1,IF(AND($P34="",OR($M34="Defer",$M34="Decline",$AJ34&gt;0)),1,0))))</f>
        <v/>
      </c>
      <c r="AQ34" s="31">
        <f>$AL34+$AM34+IF($AN34&gt;0,1,0)+IF($AO34&gt;0,1,0)+IF($AP34&gt;0,1,0)</f>
        <v/>
      </c>
    </row>
    <row r="35">
      <c r="A35" s="29" t="n"/>
      <c r="B35" s="29" t="n"/>
      <c r="C35" s="14" t="n"/>
      <c r="D35" s="29" t="n"/>
      <c r="E35" s="29" t="n"/>
      <c r="F35" s="19" t="n"/>
      <c r="G35" s="19" t="n"/>
      <c r="H35" s="14" t="n"/>
      <c r="I35" s="48" t="n"/>
      <c r="J35" s="48" t="n"/>
      <c r="K35" s="48" t="n"/>
      <c r="L35" s="48" t="n"/>
      <c r="M35" s="29" t="n"/>
      <c r="N35" s="29" t="n"/>
      <c r="O35" s="14" t="n"/>
      <c r="P35" s="26" t="n"/>
      <c r="Q35" s="29" t="n"/>
      <c r="R35" s="29" t="n"/>
      <c r="S35" s="21">
        <f>IF(OR($A35="",$B$11&lt;=0),"",IF(AND(OR($AR$7=0,ISNUMBER($I35)),OR($AR$8=0,ISNUMBER($J35)),OR($AR$9=0,ISNUMBER($K35)),OR($AR$10=0,ISNUMBER($L35))),ROUND((N($I35)*$AR$7+N($J35)*$AR$8+N($K35)*$AR$9+N($L35)*$AR$10)*20/$B$11,0),""))</f>
        <v/>
      </c>
      <c r="T35" s="21">
        <f>IF($AB35=1,SUMPRODUCT(--($AC$32:$AC$81&gt;$AC35))+1,"")</f>
        <v/>
      </c>
      <c r="U35" s="31">
        <f>IF($AB35=0,"",IF(OR(NOT(ISNUMBER($B$16)),$AH35&gt;0),"Not read",IF($AF35&lt;=$B$16,"Fits","Doesn't fit")))</f>
        <v/>
      </c>
      <c r="V35" s="31">
        <f>IF($AB35=0,"",IF(OR(NOT(ISNUMBER($B$17)),$AI35&gt;0),"Not read",IF($AG35&lt;=$B$17,"Fits","Doesn't fit")))</f>
        <v/>
      </c>
      <c r="W35" s="21">
        <f>IF(OR($A35="",NOT(ISNUMBER($C35)),$M35&lt;&gt;""),"",MAX(0,TODAY()-$C35))</f>
        <v/>
      </c>
      <c r="X35" s="31">
        <f>IF($A35="","",IF($AQ35=0,"○ Clear",IF($AL35=1,"△ No objective from Portfolio",IF($AM35=1,"△ Decided without a score",IF($AO35=1,"△ Not on the Register under this name",IF($AO35=2,"△ Owner or objective differs from the Register",IF($AN35=2,"△ Accepted with no cost or effort",IF($AN35=1,"△ Doesn't fit, and nothing gives way",IF($AP35=2,"△ Decision isn't Accept, Defer or Decline","△ Decision missing who, when or why")))))))&amp;IF($AQ35&gt;1," (+"&amp;($AQ35-1)&amp;" more)","")))</f>
        <v/>
      </c>
      <c r="Y35" s="31">
        <f>IF($A35="","",IFERROR(MATCH(IF($R35&lt;&gt;"",TRIM($R35),TRIM($A35)),Register!$A$6:$A$305,0),0))</f>
        <v/>
      </c>
      <c r="Z35" s="31">
        <f>IF(N($Y35)=0,"",INDEX(Register!$D$6:$D$305,$Y35))</f>
        <v/>
      </c>
      <c r="AA35" s="31">
        <f>IF(OR($Z35="Active",$Z35="Paused",$Z35="Completed",$Z35="Terminated"),1,0)</f>
        <v/>
      </c>
      <c r="AB35" s="31">
        <f>IF(AND($A35&lt;&gt;"",ISNUMBER($S35),OR($M35="",$M35="Accept"),$AA35=0),1,0)</f>
        <v/>
      </c>
      <c r="AC35" s="31">
        <f>IF($AB35=1,$S35+(1000-ROW())/100000,0)</f>
        <v/>
      </c>
      <c r="AD35" s="31">
        <f>IF(AND($AB35=1,ISNUMBER($F35)),$F35,0)</f>
        <v/>
      </c>
      <c r="AE35" s="31">
        <f>IF(AND($AB35=1,ISNUMBER($G35)),$G35,0)</f>
        <v/>
      </c>
      <c r="AF35" s="31">
        <f>IF($AB35=1,SUMPRODUCT(($AC$32:$AC$81&gt;=$AC35)*$AD$32:$AD$81),"")</f>
        <v/>
      </c>
      <c r="AG35" s="31">
        <f>IF($AB35=1,SUMPRODUCT(($AC$32:$AC$81&gt;=$AC35)*$AE$32:$AE$81),"")</f>
        <v/>
      </c>
      <c r="AH35" s="31">
        <f>IF($AB35=1,SUMPRODUCT(($AC$32:$AC$81&gt;=$AC35)*(1-ISNUMBER($F$32:$F$81))),"")</f>
        <v/>
      </c>
      <c r="AI35" s="31">
        <f>IF($AB35=1,SUMPRODUCT(($AC$32:$AC$81&gt;=$AC35)*(1-ISNUMBER($G$32:$G$81))),"")</f>
        <v/>
      </c>
      <c r="AJ35" s="31">
        <f>IF(AND($AB35=1,$M35="Accept",ISNUMBER($O35)),SUMPRODUCT(($AC$32:$AC$81&gt;$AC35)*ISNUMBER($C$32:$C$81)*($C$32:$C$81&lt;=$O35)*((($M$32:$M$81="")+ISNUMBER($O$32:$O$81)*($O$32:$O$81&gt;$O35))&gt;0)),0)</f>
        <v/>
      </c>
      <c r="AK35" s="31">
        <f>IF($Q35="",0,IFERROR(IF(INDEX(Register!$D$6:$D$305,MATCH(TRIM($Q35),Register!$A$6:$A$305,0))="Active",1,0),0))</f>
        <v/>
      </c>
      <c r="AL35" s="31">
        <f>IF(AND($A35&lt;&gt;"",ISNUMBER($S35)),IF($D35="",1,IF(COUNTIF(Portfolio!$A$47:$A$56,$D35)=0,1,0)),0)</f>
        <v/>
      </c>
      <c r="AM35" s="31">
        <f>IF(AND($A35&lt;&gt;"",$M35&lt;&gt;"",NOT(ISNUMBER($S35))),1,0)</f>
        <v/>
      </c>
      <c r="AN35" s="31">
        <f>IF(AND($AB35=1,$M35="Accept"),IF(OR(AND(ISNUMBER($B$16),NOT(ISNUMBER($F35))),AND(ISNUMBER($B$17),NOT(ISNUMBER($G35)))),2,IF(AND(OR($U35="Doesn't fit",$V35="Doesn't fit"),$AK35=0),1,0)),0)</f>
        <v/>
      </c>
      <c r="AO35" s="31">
        <f>IF(OR($A35="",$M35&lt;&gt;"Accept"),0,IF($Y35=0,IF(OR($R35&lt;&gt;"",IFERROR(TODAY()-$O35,9999)&gt;IF(ISNUMBER($B$20),$B$20,14)),1,0),IF(OR(TRIM(INDEX(Register!$E$6:$E$305,$Y35)&amp;"")&lt;&gt;TRIM($E35&amp;""),TRIM(INDEX(Register!$G$6:$G$305,$Y35)&amp;"")&lt;&gt;TRIM($D35&amp;"")),2,0)))</f>
        <v/>
      </c>
      <c r="AP35" s="31">
        <f>IF(OR($A35="",$M35=""),0,IF(AND($M35&lt;&gt;"Accept",$M35&lt;&gt;"Defer",$M35&lt;&gt;"Decline"),2,IF(OR($N35="",NOT(ISNUMBER($O35))),1,IF(AND($P35="",OR($M35="Defer",$M35="Decline",$AJ35&gt;0)),1,0))))</f>
        <v/>
      </c>
      <c r="AQ35" s="31">
        <f>$AL35+$AM35+IF($AN35&gt;0,1,0)+IF($AO35&gt;0,1,0)+IF($AP35&gt;0,1,0)</f>
        <v/>
      </c>
    </row>
    <row r="36">
      <c r="A36" s="29" t="n"/>
      <c r="B36" s="29" t="n"/>
      <c r="C36" s="14" t="n"/>
      <c r="D36" s="29" t="n"/>
      <c r="E36" s="29" t="n"/>
      <c r="F36" s="19" t="n"/>
      <c r="G36" s="19" t="n"/>
      <c r="H36" s="14" t="n"/>
      <c r="I36" s="48" t="n"/>
      <c r="J36" s="48" t="n"/>
      <c r="K36" s="48" t="n"/>
      <c r="L36" s="48" t="n"/>
      <c r="M36" s="29" t="n"/>
      <c r="N36" s="29" t="n"/>
      <c r="O36" s="14" t="n"/>
      <c r="P36" s="26" t="n"/>
      <c r="Q36" s="29" t="n"/>
      <c r="R36" s="29" t="n"/>
      <c r="S36" s="21">
        <f>IF(OR($A36="",$B$11&lt;=0),"",IF(AND(OR($AR$7=0,ISNUMBER($I36)),OR($AR$8=0,ISNUMBER($J36)),OR($AR$9=0,ISNUMBER($K36)),OR($AR$10=0,ISNUMBER($L36))),ROUND((N($I36)*$AR$7+N($J36)*$AR$8+N($K36)*$AR$9+N($L36)*$AR$10)*20/$B$11,0),""))</f>
        <v/>
      </c>
      <c r="T36" s="21">
        <f>IF($AB36=1,SUMPRODUCT(--($AC$32:$AC$81&gt;$AC36))+1,"")</f>
        <v/>
      </c>
      <c r="U36" s="31">
        <f>IF($AB36=0,"",IF(OR(NOT(ISNUMBER($B$16)),$AH36&gt;0),"Not read",IF($AF36&lt;=$B$16,"Fits","Doesn't fit")))</f>
        <v/>
      </c>
      <c r="V36" s="31">
        <f>IF($AB36=0,"",IF(OR(NOT(ISNUMBER($B$17)),$AI36&gt;0),"Not read",IF($AG36&lt;=$B$17,"Fits","Doesn't fit")))</f>
        <v/>
      </c>
      <c r="W36" s="21">
        <f>IF(OR($A36="",NOT(ISNUMBER($C36)),$M36&lt;&gt;""),"",MAX(0,TODAY()-$C36))</f>
        <v/>
      </c>
      <c r="X36" s="31">
        <f>IF($A36="","",IF($AQ36=0,"○ Clear",IF($AL36=1,"△ No objective from Portfolio",IF($AM36=1,"△ Decided without a score",IF($AO36=1,"△ Not on the Register under this name",IF($AO36=2,"△ Owner or objective differs from the Register",IF($AN36=2,"△ Accepted with no cost or effort",IF($AN36=1,"△ Doesn't fit, and nothing gives way",IF($AP36=2,"△ Decision isn't Accept, Defer or Decline","△ Decision missing who, when or why")))))))&amp;IF($AQ36&gt;1," (+"&amp;($AQ36-1)&amp;" more)","")))</f>
        <v/>
      </c>
      <c r="Y36" s="31">
        <f>IF($A36="","",IFERROR(MATCH(IF($R36&lt;&gt;"",TRIM($R36),TRIM($A36)),Register!$A$6:$A$305,0),0))</f>
        <v/>
      </c>
      <c r="Z36" s="31">
        <f>IF(N($Y36)=0,"",INDEX(Register!$D$6:$D$305,$Y36))</f>
        <v/>
      </c>
      <c r="AA36" s="31">
        <f>IF(OR($Z36="Active",$Z36="Paused",$Z36="Completed",$Z36="Terminated"),1,0)</f>
        <v/>
      </c>
      <c r="AB36" s="31">
        <f>IF(AND($A36&lt;&gt;"",ISNUMBER($S36),OR($M36="",$M36="Accept"),$AA36=0),1,0)</f>
        <v/>
      </c>
      <c r="AC36" s="31">
        <f>IF($AB36=1,$S36+(1000-ROW())/100000,0)</f>
        <v/>
      </c>
      <c r="AD36" s="31">
        <f>IF(AND($AB36=1,ISNUMBER($F36)),$F36,0)</f>
        <v/>
      </c>
      <c r="AE36" s="31">
        <f>IF(AND($AB36=1,ISNUMBER($G36)),$G36,0)</f>
        <v/>
      </c>
      <c r="AF36" s="31">
        <f>IF($AB36=1,SUMPRODUCT(($AC$32:$AC$81&gt;=$AC36)*$AD$32:$AD$81),"")</f>
        <v/>
      </c>
      <c r="AG36" s="31">
        <f>IF($AB36=1,SUMPRODUCT(($AC$32:$AC$81&gt;=$AC36)*$AE$32:$AE$81),"")</f>
        <v/>
      </c>
      <c r="AH36" s="31">
        <f>IF($AB36=1,SUMPRODUCT(($AC$32:$AC$81&gt;=$AC36)*(1-ISNUMBER($F$32:$F$81))),"")</f>
        <v/>
      </c>
      <c r="AI36" s="31">
        <f>IF($AB36=1,SUMPRODUCT(($AC$32:$AC$81&gt;=$AC36)*(1-ISNUMBER($G$32:$G$81))),"")</f>
        <v/>
      </c>
      <c r="AJ36" s="31">
        <f>IF(AND($AB36=1,$M36="Accept",ISNUMBER($O36)),SUMPRODUCT(($AC$32:$AC$81&gt;$AC36)*ISNUMBER($C$32:$C$81)*($C$32:$C$81&lt;=$O36)*((($M$32:$M$81="")+ISNUMBER($O$32:$O$81)*($O$32:$O$81&gt;$O36))&gt;0)),0)</f>
        <v/>
      </c>
      <c r="AK36" s="31">
        <f>IF($Q36="",0,IFERROR(IF(INDEX(Register!$D$6:$D$305,MATCH(TRIM($Q36),Register!$A$6:$A$305,0))="Active",1,0),0))</f>
        <v/>
      </c>
      <c r="AL36" s="31">
        <f>IF(AND($A36&lt;&gt;"",ISNUMBER($S36)),IF($D36="",1,IF(COUNTIF(Portfolio!$A$47:$A$56,$D36)=0,1,0)),0)</f>
        <v/>
      </c>
      <c r="AM36" s="31">
        <f>IF(AND($A36&lt;&gt;"",$M36&lt;&gt;"",NOT(ISNUMBER($S36))),1,0)</f>
        <v/>
      </c>
      <c r="AN36" s="31">
        <f>IF(AND($AB36=1,$M36="Accept"),IF(OR(AND(ISNUMBER($B$16),NOT(ISNUMBER($F36))),AND(ISNUMBER($B$17),NOT(ISNUMBER($G36)))),2,IF(AND(OR($U36="Doesn't fit",$V36="Doesn't fit"),$AK36=0),1,0)),0)</f>
        <v/>
      </c>
      <c r="AO36" s="31">
        <f>IF(OR($A36="",$M36&lt;&gt;"Accept"),0,IF($Y36=0,IF(OR($R36&lt;&gt;"",IFERROR(TODAY()-$O36,9999)&gt;IF(ISNUMBER($B$20),$B$20,14)),1,0),IF(OR(TRIM(INDEX(Register!$E$6:$E$305,$Y36)&amp;"")&lt;&gt;TRIM($E36&amp;""),TRIM(INDEX(Register!$G$6:$G$305,$Y36)&amp;"")&lt;&gt;TRIM($D36&amp;"")),2,0)))</f>
        <v/>
      </c>
      <c r="AP36" s="31">
        <f>IF(OR($A36="",$M36=""),0,IF(AND($M36&lt;&gt;"Accept",$M36&lt;&gt;"Defer",$M36&lt;&gt;"Decline"),2,IF(OR($N36="",NOT(ISNUMBER($O36))),1,IF(AND($P36="",OR($M36="Defer",$M36="Decline",$AJ36&gt;0)),1,0))))</f>
        <v/>
      </c>
      <c r="AQ36" s="31">
        <f>$AL36+$AM36+IF($AN36&gt;0,1,0)+IF($AO36&gt;0,1,0)+IF($AP36&gt;0,1,0)</f>
        <v/>
      </c>
    </row>
    <row r="37">
      <c r="A37" s="29" t="n"/>
      <c r="B37" s="29" t="n"/>
      <c r="C37" s="14" t="n"/>
      <c r="D37" s="29" t="n"/>
      <c r="E37" s="29" t="n"/>
      <c r="F37" s="19" t="n"/>
      <c r="G37" s="19" t="n"/>
      <c r="H37" s="14" t="n"/>
      <c r="I37" s="48" t="n"/>
      <c r="J37" s="48" t="n"/>
      <c r="K37" s="48" t="n"/>
      <c r="L37" s="48" t="n"/>
      <c r="M37" s="29" t="n"/>
      <c r="N37" s="29" t="n"/>
      <c r="O37" s="14" t="n"/>
      <c r="P37" s="26" t="n"/>
      <c r="Q37" s="29" t="n"/>
      <c r="R37" s="29" t="n"/>
      <c r="S37" s="21">
        <f>IF(OR($A37="",$B$11&lt;=0),"",IF(AND(OR($AR$7=0,ISNUMBER($I37)),OR($AR$8=0,ISNUMBER($J37)),OR($AR$9=0,ISNUMBER($K37)),OR($AR$10=0,ISNUMBER($L37))),ROUND((N($I37)*$AR$7+N($J37)*$AR$8+N($K37)*$AR$9+N($L37)*$AR$10)*20/$B$11,0),""))</f>
        <v/>
      </c>
      <c r="T37" s="21">
        <f>IF($AB37=1,SUMPRODUCT(--($AC$32:$AC$81&gt;$AC37))+1,"")</f>
        <v/>
      </c>
      <c r="U37" s="31">
        <f>IF($AB37=0,"",IF(OR(NOT(ISNUMBER($B$16)),$AH37&gt;0),"Not read",IF($AF37&lt;=$B$16,"Fits","Doesn't fit")))</f>
        <v/>
      </c>
      <c r="V37" s="31">
        <f>IF($AB37=0,"",IF(OR(NOT(ISNUMBER($B$17)),$AI37&gt;0),"Not read",IF($AG37&lt;=$B$17,"Fits","Doesn't fit")))</f>
        <v/>
      </c>
      <c r="W37" s="21">
        <f>IF(OR($A37="",NOT(ISNUMBER($C37)),$M37&lt;&gt;""),"",MAX(0,TODAY()-$C37))</f>
        <v/>
      </c>
      <c r="X37" s="31">
        <f>IF($A37="","",IF($AQ37=0,"○ Clear",IF($AL37=1,"△ No objective from Portfolio",IF($AM37=1,"△ Decided without a score",IF($AO37=1,"△ Not on the Register under this name",IF($AO37=2,"△ Owner or objective differs from the Register",IF($AN37=2,"△ Accepted with no cost or effort",IF($AN37=1,"△ Doesn't fit, and nothing gives way",IF($AP37=2,"△ Decision isn't Accept, Defer or Decline","△ Decision missing who, when or why")))))))&amp;IF($AQ37&gt;1," (+"&amp;($AQ37-1)&amp;" more)","")))</f>
        <v/>
      </c>
      <c r="Y37" s="31">
        <f>IF($A37="","",IFERROR(MATCH(IF($R37&lt;&gt;"",TRIM($R37),TRIM($A37)),Register!$A$6:$A$305,0),0))</f>
        <v/>
      </c>
      <c r="Z37" s="31">
        <f>IF(N($Y37)=0,"",INDEX(Register!$D$6:$D$305,$Y37))</f>
        <v/>
      </c>
      <c r="AA37" s="31">
        <f>IF(OR($Z37="Active",$Z37="Paused",$Z37="Completed",$Z37="Terminated"),1,0)</f>
        <v/>
      </c>
      <c r="AB37" s="31">
        <f>IF(AND($A37&lt;&gt;"",ISNUMBER($S37),OR($M37="",$M37="Accept"),$AA37=0),1,0)</f>
        <v/>
      </c>
      <c r="AC37" s="31">
        <f>IF($AB37=1,$S37+(1000-ROW())/100000,0)</f>
        <v/>
      </c>
      <c r="AD37" s="31">
        <f>IF(AND($AB37=1,ISNUMBER($F37)),$F37,0)</f>
        <v/>
      </c>
      <c r="AE37" s="31">
        <f>IF(AND($AB37=1,ISNUMBER($G37)),$G37,0)</f>
        <v/>
      </c>
      <c r="AF37" s="31">
        <f>IF($AB37=1,SUMPRODUCT(($AC$32:$AC$81&gt;=$AC37)*$AD$32:$AD$81),"")</f>
        <v/>
      </c>
      <c r="AG37" s="31">
        <f>IF($AB37=1,SUMPRODUCT(($AC$32:$AC$81&gt;=$AC37)*$AE$32:$AE$81),"")</f>
        <v/>
      </c>
      <c r="AH37" s="31">
        <f>IF($AB37=1,SUMPRODUCT(($AC$32:$AC$81&gt;=$AC37)*(1-ISNUMBER($F$32:$F$81))),"")</f>
        <v/>
      </c>
      <c r="AI37" s="31">
        <f>IF($AB37=1,SUMPRODUCT(($AC$32:$AC$81&gt;=$AC37)*(1-ISNUMBER($G$32:$G$81))),"")</f>
        <v/>
      </c>
      <c r="AJ37" s="31">
        <f>IF(AND($AB37=1,$M37="Accept",ISNUMBER($O37)),SUMPRODUCT(($AC$32:$AC$81&gt;$AC37)*ISNUMBER($C$32:$C$81)*($C$32:$C$81&lt;=$O37)*((($M$32:$M$81="")+ISNUMBER($O$32:$O$81)*($O$32:$O$81&gt;$O37))&gt;0)),0)</f>
        <v/>
      </c>
      <c r="AK37" s="31">
        <f>IF($Q37="",0,IFERROR(IF(INDEX(Register!$D$6:$D$305,MATCH(TRIM($Q37),Register!$A$6:$A$305,0))="Active",1,0),0))</f>
        <v/>
      </c>
      <c r="AL37" s="31">
        <f>IF(AND($A37&lt;&gt;"",ISNUMBER($S37)),IF($D37="",1,IF(COUNTIF(Portfolio!$A$47:$A$56,$D37)=0,1,0)),0)</f>
        <v/>
      </c>
      <c r="AM37" s="31">
        <f>IF(AND($A37&lt;&gt;"",$M37&lt;&gt;"",NOT(ISNUMBER($S37))),1,0)</f>
        <v/>
      </c>
      <c r="AN37" s="31">
        <f>IF(AND($AB37=1,$M37="Accept"),IF(OR(AND(ISNUMBER($B$16),NOT(ISNUMBER($F37))),AND(ISNUMBER($B$17),NOT(ISNUMBER($G37)))),2,IF(AND(OR($U37="Doesn't fit",$V37="Doesn't fit"),$AK37=0),1,0)),0)</f>
        <v/>
      </c>
      <c r="AO37" s="31">
        <f>IF(OR($A37="",$M37&lt;&gt;"Accept"),0,IF($Y37=0,IF(OR($R37&lt;&gt;"",IFERROR(TODAY()-$O37,9999)&gt;IF(ISNUMBER($B$20),$B$20,14)),1,0),IF(OR(TRIM(INDEX(Register!$E$6:$E$305,$Y37)&amp;"")&lt;&gt;TRIM($E37&amp;""),TRIM(INDEX(Register!$G$6:$G$305,$Y37)&amp;"")&lt;&gt;TRIM($D37&amp;"")),2,0)))</f>
        <v/>
      </c>
      <c r="AP37" s="31">
        <f>IF(OR($A37="",$M37=""),0,IF(AND($M37&lt;&gt;"Accept",$M37&lt;&gt;"Defer",$M37&lt;&gt;"Decline"),2,IF(OR($N37="",NOT(ISNUMBER($O37))),1,IF(AND($P37="",OR($M37="Defer",$M37="Decline",$AJ37&gt;0)),1,0))))</f>
        <v/>
      </c>
      <c r="AQ37" s="31">
        <f>$AL37+$AM37+IF($AN37&gt;0,1,0)+IF($AO37&gt;0,1,0)+IF($AP37&gt;0,1,0)</f>
        <v/>
      </c>
    </row>
    <row r="38">
      <c r="A38" s="29" t="n"/>
      <c r="B38" s="29" t="n"/>
      <c r="C38" s="14" t="n"/>
      <c r="D38" s="29" t="n"/>
      <c r="E38" s="29" t="n"/>
      <c r="F38" s="19" t="n"/>
      <c r="G38" s="19" t="n"/>
      <c r="H38" s="14" t="n"/>
      <c r="I38" s="48" t="n"/>
      <c r="J38" s="48" t="n"/>
      <c r="K38" s="48" t="n"/>
      <c r="L38" s="48" t="n"/>
      <c r="M38" s="29" t="n"/>
      <c r="N38" s="29" t="n"/>
      <c r="O38" s="14" t="n"/>
      <c r="P38" s="26" t="n"/>
      <c r="Q38" s="29" t="n"/>
      <c r="R38" s="29" t="n"/>
      <c r="S38" s="21">
        <f>IF(OR($A38="",$B$11&lt;=0),"",IF(AND(OR($AR$7=0,ISNUMBER($I38)),OR($AR$8=0,ISNUMBER($J38)),OR($AR$9=0,ISNUMBER($K38)),OR($AR$10=0,ISNUMBER($L38))),ROUND((N($I38)*$AR$7+N($J38)*$AR$8+N($K38)*$AR$9+N($L38)*$AR$10)*20/$B$11,0),""))</f>
        <v/>
      </c>
      <c r="T38" s="21">
        <f>IF($AB38=1,SUMPRODUCT(--($AC$32:$AC$81&gt;$AC38))+1,"")</f>
        <v/>
      </c>
      <c r="U38" s="31">
        <f>IF($AB38=0,"",IF(OR(NOT(ISNUMBER($B$16)),$AH38&gt;0),"Not read",IF($AF38&lt;=$B$16,"Fits","Doesn't fit")))</f>
        <v/>
      </c>
      <c r="V38" s="31">
        <f>IF($AB38=0,"",IF(OR(NOT(ISNUMBER($B$17)),$AI38&gt;0),"Not read",IF($AG38&lt;=$B$17,"Fits","Doesn't fit")))</f>
        <v/>
      </c>
      <c r="W38" s="21">
        <f>IF(OR($A38="",NOT(ISNUMBER($C38)),$M38&lt;&gt;""),"",MAX(0,TODAY()-$C38))</f>
        <v/>
      </c>
      <c r="X38" s="31">
        <f>IF($A38="","",IF($AQ38=0,"○ Clear",IF($AL38=1,"△ No objective from Portfolio",IF($AM38=1,"△ Decided without a score",IF($AO38=1,"△ Not on the Register under this name",IF($AO38=2,"△ Owner or objective differs from the Register",IF($AN38=2,"△ Accepted with no cost or effort",IF($AN38=1,"△ Doesn't fit, and nothing gives way",IF($AP38=2,"△ Decision isn't Accept, Defer or Decline","△ Decision missing who, when or why")))))))&amp;IF($AQ38&gt;1," (+"&amp;($AQ38-1)&amp;" more)","")))</f>
        <v/>
      </c>
      <c r="Y38" s="31">
        <f>IF($A38="","",IFERROR(MATCH(IF($R38&lt;&gt;"",TRIM($R38),TRIM($A38)),Register!$A$6:$A$305,0),0))</f>
        <v/>
      </c>
      <c r="Z38" s="31">
        <f>IF(N($Y38)=0,"",INDEX(Register!$D$6:$D$305,$Y38))</f>
        <v/>
      </c>
      <c r="AA38" s="31">
        <f>IF(OR($Z38="Active",$Z38="Paused",$Z38="Completed",$Z38="Terminated"),1,0)</f>
        <v/>
      </c>
      <c r="AB38" s="31">
        <f>IF(AND($A38&lt;&gt;"",ISNUMBER($S38),OR($M38="",$M38="Accept"),$AA38=0),1,0)</f>
        <v/>
      </c>
      <c r="AC38" s="31">
        <f>IF($AB38=1,$S38+(1000-ROW())/100000,0)</f>
        <v/>
      </c>
      <c r="AD38" s="31">
        <f>IF(AND($AB38=1,ISNUMBER($F38)),$F38,0)</f>
        <v/>
      </c>
      <c r="AE38" s="31">
        <f>IF(AND($AB38=1,ISNUMBER($G38)),$G38,0)</f>
        <v/>
      </c>
      <c r="AF38" s="31">
        <f>IF($AB38=1,SUMPRODUCT(($AC$32:$AC$81&gt;=$AC38)*$AD$32:$AD$81),"")</f>
        <v/>
      </c>
      <c r="AG38" s="31">
        <f>IF($AB38=1,SUMPRODUCT(($AC$32:$AC$81&gt;=$AC38)*$AE$32:$AE$81),"")</f>
        <v/>
      </c>
      <c r="AH38" s="31">
        <f>IF($AB38=1,SUMPRODUCT(($AC$32:$AC$81&gt;=$AC38)*(1-ISNUMBER($F$32:$F$81))),"")</f>
        <v/>
      </c>
      <c r="AI38" s="31">
        <f>IF($AB38=1,SUMPRODUCT(($AC$32:$AC$81&gt;=$AC38)*(1-ISNUMBER($G$32:$G$81))),"")</f>
        <v/>
      </c>
      <c r="AJ38" s="31">
        <f>IF(AND($AB38=1,$M38="Accept",ISNUMBER($O38)),SUMPRODUCT(($AC$32:$AC$81&gt;$AC38)*ISNUMBER($C$32:$C$81)*($C$32:$C$81&lt;=$O38)*((($M$32:$M$81="")+ISNUMBER($O$32:$O$81)*($O$32:$O$81&gt;$O38))&gt;0)),0)</f>
        <v/>
      </c>
      <c r="AK38" s="31">
        <f>IF($Q38="",0,IFERROR(IF(INDEX(Register!$D$6:$D$305,MATCH(TRIM($Q38),Register!$A$6:$A$305,0))="Active",1,0),0))</f>
        <v/>
      </c>
      <c r="AL38" s="31">
        <f>IF(AND($A38&lt;&gt;"",ISNUMBER($S38)),IF($D38="",1,IF(COUNTIF(Portfolio!$A$47:$A$56,$D38)=0,1,0)),0)</f>
        <v/>
      </c>
      <c r="AM38" s="31">
        <f>IF(AND($A38&lt;&gt;"",$M38&lt;&gt;"",NOT(ISNUMBER($S38))),1,0)</f>
        <v/>
      </c>
      <c r="AN38" s="31">
        <f>IF(AND($AB38=1,$M38="Accept"),IF(OR(AND(ISNUMBER($B$16),NOT(ISNUMBER($F38))),AND(ISNUMBER($B$17),NOT(ISNUMBER($G38)))),2,IF(AND(OR($U38="Doesn't fit",$V38="Doesn't fit"),$AK38=0),1,0)),0)</f>
        <v/>
      </c>
      <c r="AO38" s="31">
        <f>IF(OR($A38="",$M38&lt;&gt;"Accept"),0,IF($Y38=0,IF(OR($R38&lt;&gt;"",IFERROR(TODAY()-$O38,9999)&gt;IF(ISNUMBER($B$20),$B$20,14)),1,0),IF(OR(TRIM(INDEX(Register!$E$6:$E$305,$Y38)&amp;"")&lt;&gt;TRIM($E38&amp;""),TRIM(INDEX(Register!$G$6:$G$305,$Y38)&amp;"")&lt;&gt;TRIM($D38&amp;"")),2,0)))</f>
        <v/>
      </c>
      <c r="AP38" s="31">
        <f>IF(OR($A38="",$M38=""),0,IF(AND($M38&lt;&gt;"Accept",$M38&lt;&gt;"Defer",$M38&lt;&gt;"Decline"),2,IF(OR($N38="",NOT(ISNUMBER($O38))),1,IF(AND($P38="",OR($M38="Defer",$M38="Decline",$AJ38&gt;0)),1,0))))</f>
        <v/>
      </c>
      <c r="AQ38" s="31">
        <f>$AL38+$AM38+IF($AN38&gt;0,1,0)+IF($AO38&gt;0,1,0)+IF($AP38&gt;0,1,0)</f>
        <v/>
      </c>
    </row>
    <row r="39">
      <c r="A39" s="29" t="n"/>
      <c r="B39" s="29" t="n"/>
      <c r="C39" s="14" t="n"/>
      <c r="D39" s="29" t="n"/>
      <c r="E39" s="29" t="n"/>
      <c r="F39" s="19" t="n"/>
      <c r="G39" s="19" t="n"/>
      <c r="H39" s="14" t="n"/>
      <c r="I39" s="48" t="n"/>
      <c r="J39" s="48" t="n"/>
      <c r="K39" s="48" t="n"/>
      <c r="L39" s="48" t="n"/>
      <c r="M39" s="29" t="n"/>
      <c r="N39" s="29" t="n"/>
      <c r="O39" s="14" t="n"/>
      <c r="P39" s="26" t="n"/>
      <c r="Q39" s="29" t="n"/>
      <c r="R39" s="29" t="n"/>
      <c r="S39" s="21">
        <f>IF(OR($A39="",$B$11&lt;=0),"",IF(AND(OR($AR$7=0,ISNUMBER($I39)),OR($AR$8=0,ISNUMBER($J39)),OR($AR$9=0,ISNUMBER($K39)),OR($AR$10=0,ISNUMBER($L39))),ROUND((N($I39)*$AR$7+N($J39)*$AR$8+N($K39)*$AR$9+N($L39)*$AR$10)*20/$B$11,0),""))</f>
        <v/>
      </c>
      <c r="T39" s="21">
        <f>IF($AB39=1,SUMPRODUCT(--($AC$32:$AC$81&gt;$AC39))+1,"")</f>
        <v/>
      </c>
      <c r="U39" s="31">
        <f>IF($AB39=0,"",IF(OR(NOT(ISNUMBER($B$16)),$AH39&gt;0),"Not read",IF($AF39&lt;=$B$16,"Fits","Doesn't fit")))</f>
        <v/>
      </c>
      <c r="V39" s="31">
        <f>IF($AB39=0,"",IF(OR(NOT(ISNUMBER($B$17)),$AI39&gt;0),"Not read",IF($AG39&lt;=$B$17,"Fits","Doesn't fit")))</f>
        <v/>
      </c>
      <c r="W39" s="21">
        <f>IF(OR($A39="",NOT(ISNUMBER($C39)),$M39&lt;&gt;""),"",MAX(0,TODAY()-$C39))</f>
        <v/>
      </c>
      <c r="X39" s="31">
        <f>IF($A39="","",IF($AQ39=0,"○ Clear",IF($AL39=1,"△ No objective from Portfolio",IF($AM39=1,"△ Decided without a score",IF($AO39=1,"△ Not on the Register under this name",IF($AO39=2,"△ Owner or objective differs from the Register",IF($AN39=2,"△ Accepted with no cost or effort",IF($AN39=1,"△ Doesn't fit, and nothing gives way",IF($AP39=2,"△ Decision isn't Accept, Defer or Decline","△ Decision missing who, when or why")))))))&amp;IF($AQ39&gt;1," (+"&amp;($AQ39-1)&amp;" more)","")))</f>
        <v/>
      </c>
      <c r="Y39" s="31">
        <f>IF($A39="","",IFERROR(MATCH(IF($R39&lt;&gt;"",TRIM($R39),TRIM($A39)),Register!$A$6:$A$305,0),0))</f>
        <v/>
      </c>
      <c r="Z39" s="31">
        <f>IF(N($Y39)=0,"",INDEX(Register!$D$6:$D$305,$Y39))</f>
        <v/>
      </c>
      <c r="AA39" s="31">
        <f>IF(OR($Z39="Active",$Z39="Paused",$Z39="Completed",$Z39="Terminated"),1,0)</f>
        <v/>
      </c>
      <c r="AB39" s="31">
        <f>IF(AND($A39&lt;&gt;"",ISNUMBER($S39),OR($M39="",$M39="Accept"),$AA39=0),1,0)</f>
        <v/>
      </c>
      <c r="AC39" s="31">
        <f>IF($AB39=1,$S39+(1000-ROW())/100000,0)</f>
        <v/>
      </c>
      <c r="AD39" s="31">
        <f>IF(AND($AB39=1,ISNUMBER($F39)),$F39,0)</f>
        <v/>
      </c>
      <c r="AE39" s="31">
        <f>IF(AND($AB39=1,ISNUMBER($G39)),$G39,0)</f>
        <v/>
      </c>
      <c r="AF39" s="31">
        <f>IF($AB39=1,SUMPRODUCT(($AC$32:$AC$81&gt;=$AC39)*$AD$32:$AD$81),"")</f>
        <v/>
      </c>
      <c r="AG39" s="31">
        <f>IF($AB39=1,SUMPRODUCT(($AC$32:$AC$81&gt;=$AC39)*$AE$32:$AE$81),"")</f>
        <v/>
      </c>
      <c r="AH39" s="31">
        <f>IF($AB39=1,SUMPRODUCT(($AC$32:$AC$81&gt;=$AC39)*(1-ISNUMBER($F$32:$F$81))),"")</f>
        <v/>
      </c>
      <c r="AI39" s="31">
        <f>IF($AB39=1,SUMPRODUCT(($AC$32:$AC$81&gt;=$AC39)*(1-ISNUMBER($G$32:$G$81))),"")</f>
        <v/>
      </c>
      <c r="AJ39" s="31">
        <f>IF(AND($AB39=1,$M39="Accept",ISNUMBER($O39)),SUMPRODUCT(($AC$32:$AC$81&gt;$AC39)*ISNUMBER($C$32:$C$81)*($C$32:$C$81&lt;=$O39)*((($M$32:$M$81="")+ISNUMBER($O$32:$O$81)*($O$32:$O$81&gt;$O39))&gt;0)),0)</f>
        <v/>
      </c>
      <c r="AK39" s="31">
        <f>IF($Q39="",0,IFERROR(IF(INDEX(Register!$D$6:$D$305,MATCH(TRIM($Q39),Register!$A$6:$A$305,0))="Active",1,0),0))</f>
        <v/>
      </c>
      <c r="AL39" s="31">
        <f>IF(AND($A39&lt;&gt;"",ISNUMBER($S39)),IF($D39="",1,IF(COUNTIF(Portfolio!$A$47:$A$56,$D39)=0,1,0)),0)</f>
        <v/>
      </c>
      <c r="AM39" s="31">
        <f>IF(AND($A39&lt;&gt;"",$M39&lt;&gt;"",NOT(ISNUMBER($S39))),1,0)</f>
        <v/>
      </c>
      <c r="AN39" s="31">
        <f>IF(AND($AB39=1,$M39="Accept"),IF(OR(AND(ISNUMBER($B$16),NOT(ISNUMBER($F39))),AND(ISNUMBER($B$17),NOT(ISNUMBER($G39)))),2,IF(AND(OR($U39="Doesn't fit",$V39="Doesn't fit"),$AK39=0),1,0)),0)</f>
        <v/>
      </c>
      <c r="AO39" s="31">
        <f>IF(OR($A39="",$M39&lt;&gt;"Accept"),0,IF($Y39=0,IF(OR($R39&lt;&gt;"",IFERROR(TODAY()-$O39,9999)&gt;IF(ISNUMBER($B$20),$B$20,14)),1,0),IF(OR(TRIM(INDEX(Register!$E$6:$E$305,$Y39)&amp;"")&lt;&gt;TRIM($E39&amp;""),TRIM(INDEX(Register!$G$6:$G$305,$Y39)&amp;"")&lt;&gt;TRIM($D39&amp;"")),2,0)))</f>
        <v/>
      </c>
      <c r="AP39" s="31">
        <f>IF(OR($A39="",$M39=""),0,IF(AND($M39&lt;&gt;"Accept",$M39&lt;&gt;"Defer",$M39&lt;&gt;"Decline"),2,IF(OR($N39="",NOT(ISNUMBER($O39))),1,IF(AND($P39="",OR($M39="Defer",$M39="Decline",$AJ39&gt;0)),1,0))))</f>
        <v/>
      </c>
      <c r="AQ39" s="31">
        <f>$AL39+$AM39+IF($AN39&gt;0,1,0)+IF($AO39&gt;0,1,0)+IF($AP39&gt;0,1,0)</f>
        <v/>
      </c>
    </row>
    <row r="40">
      <c r="A40" s="29" t="n"/>
      <c r="B40" s="29" t="n"/>
      <c r="C40" s="14" t="n"/>
      <c r="D40" s="29" t="n"/>
      <c r="E40" s="29" t="n"/>
      <c r="F40" s="19" t="n"/>
      <c r="G40" s="19" t="n"/>
      <c r="H40" s="14" t="n"/>
      <c r="I40" s="48" t="n"/>
      <c r="J40" s="48" t="n"/>
      <c r="K40" s="48" t="n"/>
      <c r="L40" s="48" t="n"/>
      <c r="M40" s="29" t="n"/>
      <c r="N40" s="29" t="n"/>
      <c r="O40" s="14" t="n"/>
      <c r="P40" s="26" t="n"/>
      <c r="Q40" s="29" t="n"/>
      <c r="R40" s="29" t="n"/>
      <c r="S40" s="21">
        <f>IF(OR($A40="",$B$11&lt;=0),"",IF(AND(OR($AR$7=0,ISNUMBER($I40)),OR($AR$8=0,ISNUMBER($J40)),OR($AR$9=0,ISNUMBER($K40)),OR($AR$10=0,ISNUMBER($L40))),ROUND((N($I40)*$AR$7+N($J40)*$AR$8+N($K40)*$AR$9+N($L40)*$AR$10)*20/$B$11,0),""))</f>
        <v/>
      </c>
      <c r="T40" s="21">
        <f>IF($AB40=1,SUMPRODUCT(--($AC$32:$AC$81&gt;$AC40))+1,"")</f>
        <v/>
      </c>
      <c r="U40" s="31">
        <f>IF($AB40=0,"",IF(OR(NOT(ISNUMBER($B$16)),$AH40&gt;0),"Not read",IF($AF40&lt;=$B$16,"Fits","Doesn't fit")))</f>
        <v/>
      </c>
      <c r="V40" s="31">
        <f>IF($AB40=0,"",IF(OR(NOT(ISNUMBER($B$17)),$AI40&gt;0),"Not read",IF($AG40&lt;=$B$17,"Fits","Doesn't fit")))</f>
        <v/>
      </c>
      <c r="W40" s="21">
        <f>IF(OR($A40="",NOT(ISNUMBER($C40)),$M40&lt;&gt;""),"",MAX(0,TODAY()-$C40))</f>
        <v/>
      </c>
      <c r="X40" s="31">
        <f>IF($A40="","",IF($AQ40=0,"○ Clear",IF($AL40=1,"△ No objective from Portfolio",IF($AM40=1,"△ Decided without a score",IF($AO40=1,"△ Not on the Register under this name",IF($AO40=2,"△ Owner or objective differs from the Register",IF($AN40=2,"△ Accepted with no cost or effort",IF($AN40=1,"△ Doesn't fit, and nothing gives way",IF($AP40=2,"△ Decision isn't Accept, Defer or Decline","△ Decision missing who, when or why")))))))&amp;IF($AQ40&gt;1," (+"&amp;($AQ40-1)&amp;" more)","")))</f>
        <v/>
      </c>
      <c r="Y40" s="31">
        <f>IF($A40="","",IFERROR(MATCH(IF($R40&lt;&gt;"",TRIM($R40),TRIM($A40)),Register!$A$6:$A$305,0),0))</f>
        <v/>
      </c>
      <c r="Z40" s="31">
        <f>IF(N($Y40)=0,"",INDEX(Register!$D$6:$D$305,$Y40))</f>
        <v/>
      </c>
      <c r="AA40" s="31">
        <f>IF(OR($Z40="Active",$Z40="Paused",$Z40="Completed",$Z40="Terminated"),1,0)</f>
        <v/>
      </c>
      <c r="AB40" s="31">
        <f>IF(AND($A40&lt;&gt;"",ISNUMBER($S40),OR($M40="",$M40="Accept"),$AA40=0),1,0)</f>
        <v/>
      </c>
      <c r="AC40" s="31">
        <f>IF($AB40=1,$S40+(1000-ROW())/100000,0)</f>
        <v/>
      </c>
      <c r="AD40" s="31">
        <f>IF(AND($AB40=1,ISNUMBER($F40)),$F40,0)</f>
        <v/>
      </c>
      <c r="AE40" s="31">
        <f>IF(AND($AB40=1,ISNUMBER($G40)),$G40,0)</f>
        <v/>
      </c>
      <c r="AF40" s="31">
        <f>IF($AB40=1,SUMPRODUCT(($AC$32:$AC$81&gt;=$AC40)*$AD$32:$AD$81),"")</f>
        <v/>
      </c>
      <c r="AG40" s="31">
        <f>IF($AB40=1,SUMPRODUCT(($AC$32:$AC$81&gt;=$AC40)*$AE$32:$AE$81),"")</f>
        <v/>
      </c>
      <c r="AH40" s="31">
        <f>IF($AB40=1,SUMPRODUCT(($AC$32:$AC$81&gt;=$AC40)*(1-ISNUMBER($F$32:$F$81))),"")</f>
        <v/>
      </c>
      <c r="AI40" s="31">
        <f>IF($AB40=1,SUMPRODUCT(($AC$32:$AC$81&gt;=$AC40)*(1-ISNUMBER($G$32:$G$81))),"")</f>
        <v/>
      </c>
      <c r="AJ40" s="31">
        <f>IF(AND($AB40=1,$M40="Accept",ISNUMBER($O40)),SUMPRODUCT(($AC$32:$AC$81&gt;$AC40)*ISNUMBER($C$32:$C$81)*($C$32:$C$81&lt;=$O40)*((($M$32:$M$81="")+ISNUMBER($O$32:$O$81)*($O$32:$O$81&gt;$O40))&gt;0)),0)</f>
        <v/>
      </c>
      <c r="AK40" s="31">
        <f>IF($Q40="",0,IFERROR(IF(INDEX(Register!$D$6:$D$305,MATCH(TRIM($Q40),Register!$A$6:$A$305,0))="Active",1,0),0))</f>
        <v/>
      </c>
      <c r="AL40" s="31">
        <f>IF(AND($A40&lt;&gt;"",ISNUMBER($S40)),IF($D40="",1,IF(COUNTIF(Portfolio!$A$47:$A$56,$D40)=0,1,0)),0)</f>
        <v/>
      </c>
      <c r="AM40" s="31">
        <f>IF(AND($A40&lt;&gt;"",$M40&lt;&gt;"",NOT(ISNUMBER($S40))),1,0)</f>
        <v/>
      </c>
      <c r="AN40" s="31">
        <f>IF(AND($AB40=1,$M40="Accept"),IF(OR(AND(ISNUMBER($B$16),NOT(ISNUMBER($F40))),AND(ISNUMBER($B$17),NOT(ISNUMBER($G40)))),2,IF(AND(OR($U40="Doesn't fit",$V40="Doesn't fit"),$AK40=0),1,0)),0)</f>
        <v/>
      </c>
      <c r="AO40" s="31">
        <f>IF(OR($A40="",$M40&lt;&gt;"Accept"),0,IF($Y40=0,IF(OR($R40&lt;&gt;"",IFERROR(TODAY()-$O40,9999)&gt;IF(ISNUMBER($B$20),$B$20,14)),1,0),IF(OR(TRIM(INDEX(Register!$E$6:$E$305,$Y40)&amp;"")&lt;&gt;TRIM($E40&amp;""),TRIM(INDEX(Register!$G$6:$G$305,$Y40)&amp;"")&lt;&gt;TRIM($D40&amp;"")),2,0)))</f>
        <v/>
      </c>
      <c r="AP40" s="31">
        <f>IF(OR($A40="",$M40=""),0,IF(AND($M40&lt;&gt;"Accept",$M40&lt;&gt;"Defer",$M40&lt;&gt;"Decline"),2,IF(OR($N40="",NOT(ISNUMBER($O40))),1,IF(AND($P40="",OR($M40="Defer",$M40="Decline",$AJ40&gt;0)),1,0))))</f>
        <v/>
      </c>
      <c r="AQ40" s="31">
        <f>$AL40+$AM40+IF($AN40&gt;0,1,0)+IF($AO40&gt;0,1,0)+IF($AP40&gt;0,1,0)</f>
        <v/>
      </c>
    </row>
    <row r="41">
      <c r="A41" s="29" t="n"/>
      <c r="B41" s="29" t="n"/>
      <c r="C41" s="14" t="n"/>
      <c r="D41" s="29" t="n"/>
      <c r="E41" s="29" t="n"/>
      <c r="F41" s="19" t="n"/>
      <c r="G41" s="19" t="n"/>
      <c r="H41" s="14" t="n"/>
      <c r="I41" s="48" t="n"/>
      <c r="J41" s="48" t="n"/>
      <c r="K41" s="48" t="n"/>
      <c r="L41" s="48" t="n"/>
      <c r="M41" s="29" t="n"/>
      <c r="N41" s="29" t="n"/>
      <c r="O41" s="14" t="n"/>
      <c r="P41" s="26" t="n"/>
      <c r="Q41" s="29" t="n"/>
      <c r="R41" s="29" t="n"/>
      <c r="S41" s="21">
        <f>IF(OR($A41="",$B$11&lt;=0),"",IF(AND(OR($AR$7=0,ISNUMBER($I41)),OR($AR$8=0,ISNUMBER($J41)),OR($AR$9=0,ISNUMBER($K41)),OR($AR$10=0,ISNUMBER($L41))),ROUND((N($I41)*$AR$7+N($J41)*$AR$8+N($K41)*$AR$9+N($L41)*$AR$10)*20/$B$11,0),""))</f>
        <v/>
      </c>
      <c r="T41" s="21">
        <f>IF($AB41=1,SUMPRODUCT(--($AC$32:$AC$81&gt;$AC41))+1,"")</f>
        <v/>
      </c>
      <c r="U41" s="31">
        <f>IF($AB41=0,"",IF(OR(NOT(ISNUMBER($B$16)),$AH41&gt;0),"Not read",IF($AF41&lt;=$B$16,"Fits","Doesn't fit")))</f>
        <v/>
      </c>
      <c r="V41" s="31">
        <f>IF($AB41=0,"",IF(OR(NOT(ISNUMBER($B$17)),$AI41&gt;0),"Not read",IF($AG41&lt;=$B$17,"Fits","Doesn't fit")))</f>
        <v/>
      </c>
      <c r="W41" s="21">
        <f>IF(OR($A41="",NOT(ISNUMBER($C41)),$M41&lt;&gt;""),"",MAX(0,TODAY()-$C41))</f>
        <v/>
      </c>
      <c r="X41" s="31">
        <f>IF($A41="","",IF($AQ41=0,"○ Clear",IF($AL41=1,"△ No objective from Portfolio",IF($AM41=1,"△ Decided without a score",IF($AO41=1,"△ Not on the Register under this name",IF($AO41=2,"△ Owner or objective differs from the Register",IF($AN41=2,"△ Accepted with no cost or effort",IF($AN41=1,"△ Doesn't fit, and nothing gives way",IF($AP41=2,"△ Decision isn't Accept, Defer or Decline","△ Decision missing who, when or why")))))))&amp;IF($AQ41&gt;1," (+"&amp;($AQ41-1)&amp;" more)","")))</f>
        <v/>
      </c>
      <c r="Y41" s="31">
        <f>IF($A41="","",IFERROR(MATCH(IF($R41&lt;&gt;"",TRIM($R41),TRIM($A41)),Register!$A$6:$A$305,0),0))</f>
        <v/>
      </c>
      <c r="Z41" s="31">
        <f>IF(N($Y41)=0,"",INDEX(Register!$D$6:$D$305,$Y41))</f>
        <v/>
      </c>
      <c r="AA41" s="31">
        <f>IF(OR($Z41="Active",$Z41="Paused",$Z41="Completed",$Z41="Terminated"),1,0)</f>
        <v/>
      </c>
      <c r="AB41" s="31">
        <f>IF(AND($A41&lt;&gt;"",ISNUMBER($S41),OR($M41="",$M41="Accept"),$AA41=0),1,0)</f>
        <v/>
      </c>
      <c r="AC41" s="31">
        <f>IF($AB41=1,$S41+(1000-ROW())/100000,0)</f>
        <v/>
      </c>
      <c r="AD41" s="31">
        <f>IF(AND($AB41=1,ISNUMBER($F41)),$F41,0)</f>
        <v/>
      </c>
      <c r="AE41" s="31">
        <f>IF(AND($AB41=1,ISNUMBER($G41)),$G41,0)</f>
        <v/>
      </c>
      <c r="AF41" s="31">
        <f>IF($AB41=1,SUMPRODUCT(($AC$32:$AC$81&gt;=$AC41)*$AD$32:$AD$81),"")</f>
        <v/>
      </c>
      <c r="AG41" s="31">
        <f>IF($AB41=1,SUMPRODUCT(($AC$32:$AC$81&gt;=$AC41)*$AE$32:$AE$81),"")</f>
        <v/>
      </c>
      <c r="AH41" s="31">
        <f>IF($AB41=1,SUMPRODUCT(($AC$32:$AC$81&gt;=$AC41)*(1-ISNUMBER($F$32:$F$81))),"")</f>
        <v/>
      </c>
      <c r="AI41" s="31">
        <f>IF($AB41=1,SUMPRODUCT(($AC$32:$AC$81&gt;=$AC41)*(1-ISNUMBER($G$32:$G$81))),"")</f>
        <v/>
      </c>
      <c r="AJ41" s="31">
        <f>IF(AND($AB41=1,$M41="Accept",ISNUMBER($O41)),SUMPRODUCT(($AC$32:$AC$81&gt;$AC41)*ISNUMBER($C$32:$C$81)*($C$32:$C$81&lt;=$O41)*((($M$32:$M$81="")+ISNUMBER($O$32:$O$81)*($O$32:$O$81&gt;$O41))&gt;0)),0)</f>
        <v/>
      </c>
      <c r="AK41" s="31">
        <f>IF($Q41="",0,IFERROR(IF(INDEX(Register!$D$6:$D$305,MATCH(TRIM($Q41),Register!$A$6:$A$305,0))="Active",1,0),0))</f>
        <v/>
      </c>
      <c r="AL41" s="31">
        <f>IF(AND($A41&lt;&gt;"",ISNUMBER($S41)),IF($D41="",1,IF(COUNTIF(Portfolio!$A$47:$A$56,$D41)=0,1,0)),0)</f>
        <v/>
      </c>
      <c r="AM41" s="31">
        <f>IF(AND($A41&lt;&gt;"",$M41&lt;&gt;"",NOT(ISNUMBER($S41))),1,0)</f>
        <v/>
      </c>
      <c r="AN41" s="31">
        <f>IF(AND($AB41=1,$M41="Accept"),IF(OR(AND(ISNUMBER($B$16),NOT(ISNUMBER($F41))),AND(ISNUMBER($B$17),NOT(ISNUMBER($G41)))),2,IF(AND(OR($U41="Doesn't fit",$V41="Doesn't fit"),$AK41=0),1,0)),0)</f>
        <v/>
      </c>
      <c r="AO41" s="31">
        <f>IF(OR($A41="",$M41&lt;&gt;"Accept"),0,IF($Y41=0,IF(OR($R41&lt;&gt;"",IFERROR(TODAY()-$O41,9999)&gt;IF(ISNUMBER($B$20),$B$20,14)),1,0),IF(OR(TRIM(INDEX(Register!$E$6:$E$305,$Y41)&amp;"")&lt;&gt;TRIM($E41&amp;""),TRIM(INDEX(Register!$G$6:$G$305,$Y41)&amp;"")&lt;&gt;TRIM($D41&amp;"")),2,0)))</f>
        <v/>
      </c>
      <c r="AP41" s="31">
        <f>IF(OR($A41="",$M41=""),0,IF(AND($M41&lt;&gt;"Accept",$M41&lt;&gt;"Defer",$M41&lt;&gt;"Decline"),2,IF(OR($N41="",NOT(ISNUMBER($O41))),1,IF(AND($P41="",OR($M41="Defer",$M41="Decline",$AJ41&gt;0)),1,0))))</f>
        <v/>
      </c>
      <c r="AQ41" s="31">
        <f>$AL41+$AM41+IF($AN41&gt;0,1,0)+IF($AO41&gt;0,1,0)+IF($AP41&gt;0,1,0)</f>
        <v/>
      </c>
    </row>
    <row r="42">
      <c r="A42" s="29" t="n"/>
      <c r="B42" s="29" t="n"/>
      <c r="C42" s="14" t="n"/>
      <c r="D42" s="29" t="n"/>
      <c r="E42" s="29" t="n"/>
      <c r="F42" s="19" t="n"/>
      <c r="G42" s="19" t="n"/>
      <c r="H42" s="14" t="n"/>
      <c r="I42" s="48" t="n"/>
      <c r="J42" s="48" t="n"/>
      <c r="K42" s="48" t="n"/>
      <c r="L42" s="48" t="n"/>
      <c r="M42" s="29" t="n"/>
      <c r="N42" s="29" t="n"/>
      <c r="O42" s="14" t="n"/>
      <c r="P42" s="26" t="n"/>
      <c r="Q42" s="29" t="n"/>
      <c r="R42" s="29" t="n"/>
      <c r="S42" s="21">
        <f>IF(OR($A42="",$B$11&lt;=0),"",IF(AND(OR($AR$7=0,ISNUMBER($I42)),OR($AR$8=0,ISNUMBER($J42)),OR($AR$9=0,ISNUMBER($K42)),OR($AR$10=0,ISNUMBER($L42))),ROUND((N($I42)*$AR$7+N($J42)*$AR$8+N($K42)*$AR$9+N($L42)*$AR$10)*20/$B$11,0),""))</f>
        <v/>
      </c>
      <c r="T42" s="21">
        <f>IF($AB42=1,SUMPRODUCT(--($AC$32:$AC$81&gt;$AC42))+1,"")</f>
        <v/>
      </c>
      <c r="U42" s="31">
        <f>IF($AB42=0,"",IF(OR(NOT(ISNUMBER($B$16)),$AH42&gt;0),"Not read",IF($AF42&lt;=$B$16,"Fits","Doesn't fit")))</f>
        <v/>
      </c>
      <c r="V42" s="31">
        <f>IF($AB42=0,"",IF(OR(NOT(ISNUMBER($B$17)),$AI42&gt;0),"Not read",IF($AG42&lt;=$B$17,"Fits","Doesn't fit")))</f>
        <v/>
      </c>
      <c r="W42" s="21">
        <f>IF(OR($A42="",NOT(ISNUMBER($C42)),$M42&lt;&gt;""),"",MAX(0,TODAY()-$C42))</f>
        <v/>
      </c>
      <c r="X42" s="31">
        <f>IF($A42="","",IF($AQ42=0,"○ Clear",IF($AL42=1,"△ No objective from Portfolio",IF($AM42=1,"△ Decided without a score",IF($AO42=1,"△ Not on the Register under this name",IF($AO42=2,"△ Owner or objective differs from the Register",IF($AN42=2,"△ Accepted with no cost or effort",IF($AN42=1,"△ Doesn't fit, and nothing gives way",IF($AP42=2,"△ Decision isn't Accept, Defer or Decline","△ Decision missing who, when or why")))))))&amp;IF($AQ42&gt;1," (+"&amp;($AQ42-1)&amp;" more)","")))</f>
        <v/>
      </c>
      <c r="Y42" s="31">
        <f>IF($A42="","",IFERROR(MATCH(IF($R42&lt;&gt;"",TRIM($R42),TRIM($A42)),Register!$A$6:$A$305,0),0))</f>
        <v/>
      </c>
      <c r="Z42" s="31">
        <f>IF(N($Y42)=0,"",INDEX(Register!$D$6:$D$305,$Y42))</f>
        <v/>
      </c>
      <c r="AA42" s="31">
        <f>IF(OR($Z42="Active",$Z42="Paused",$Z42="Completed",$Z42="Terminated"),1,0)</f>
        <v/>
      </c>
      <c r="AB42" s="31">
        <f>IF(AND($A42&lt;&gt;"",ISNUMBER($S42),OR($M42="",$M42="Accept"),$AA42=0),1,0)</f>
        <v/>
      </c>
      <c r="AC42" s="31">
        <f>IF($AB42=1,$S42+(1000-ROW())/100000,0)</f>
        <v/>
      </c>
      <c r="AD42" s="31">
        <f>IF(AND($AB42=1,ISNUMBER($F42)),$F42,0)</f>
        <v/>
      </c>
      <c r="AE42" s="31">
        <f>IF(AND($AB42=1,ISNUMBER($G42)),$G42,0)</f>
        <v/>
      </c>
      <c r="AF42" s="31">
        <f>IF($AB42=1,SUMPRODUCT(($AC$32:$AC$81&gt;=$AC42)*$AD$32:$AD$81),"")</f>
        <v/>
      </c>
      <c r="AG42" s="31">
        <f>IF($AB42=1,SUMPRODUCT(($AC$32:$AC$81&gt;=$AC42)*$AE$32:$AE$81),"")</f>
        <v/>
      </c>
      <c r="AH42" s="31">
        <f>IF($AB42=1,SUMPRODUCT(($AC$32:$AC$81&gt;=$AC42)*(1-ISNUMBER($F$32:$F$81))),"")</f>
        <v/>
      </c>
      <c r="AI42" s="31">
        <f>IF($AB42=1,SUMPRODUCT(($AC$32:$AC$81&gt;=$AC42)*(1-ISNUMBER($G$32:$G$81))),"")</f>
        <v/>
      </c>
      <c r="AJ42" s="31">
        <f>IF(AND($AB42=1,$M42="Accept",ISNUMBER($O42)),SUMPRODUCT(($AC$32:$AC$81&gt;$AC42)*ISNUMBER($C$32:$C$81)*($C$32:$C$81&lt;=$O42)*((($M$32:$M$81="")+ISNUMBER($O$32:$O$81)*($O$32:$O$81&gt;$O42))&gt;0)),0)</f>
        <v/>
      </c>
      <c r="AK42" s="31">
        <f>IF($Q42="",0,IFERROR(IF(INDEX(Register!$D$6:$D$305,MATCH(TRIM($Q42),Register!$A$6:$A$305,0))="Active",1,0),0))</f>
        <v/>
      </c>
      <c r="AL42" s="31">
        <f>IF(AND($A42&lt;&gt;"",ISNUMBER($S42)),IF($D42="",1,IF(COUNTIF(Portfolio!$A$47:$A$56,$D42)=0,1,0)),0)</f>
        <v/>
      </c>
      <c r="AM42" s="31">
        <f>IF(AND($A42&lt;&gt;"",$M42&lt;&gt;"",NOT(ISNUMBER($S42))),1,0)</f>
        <v/>
      </c>
      <c r="AN42" s="31">
        <f>IF(AND($AB42=1,$M42="Accept"),IF(OR(AND(ISNUMBER($B$16),NOT(ISNUMBER($F42))),AND(ISNUMBER($B$17),NOT(ISNUMBER($G42)))),2,IF(AND(OR($U42="Doesn't fit",$V42="Doesn't fit"),$AK42=0),1,0)),0)</f>
        <v/>
      </c>
      <c r="AO42" s="31">
        <f>IF(OR($A42="",$M42&lt;&gt;"Accept"),0,IF($Y42=0,IF(OR($R42&lt;&gt;"",IFERROR(TODAY()-$O42,9999)&gt;IF(ISNUMBER($B$20),$B$20,14)),1,0),IF(OR(TRIM(INDEX(Register!$E$6:$E$305,$Y42)&amp;"")&lt;&gt;TRIM($E42&amp;""),TRIM(INDEX(Register!$G$6:$G$305,$Y42)&amp;"")&lt;&gt;TRIM($D42&amp;"")),2,0)))</f>
        <v/>
      </c>
      <c r="AP42" s="31">
        <f>IF(OR($A42="",$M42=""),0,IF(AND($M42&lt;&gt;"Accept",$M42&lt;&gt;"Defer",$M42&lt;&gt;"Decline"),2,IF(OR($N42="",NOT(ISNUMBER($O42))),1,IF(AND($P42="",OR($M42="Defer",$M42="Decline",$AJ42&gt;0)),1,0))))</f>
        <v/>
      </c>
      <c r="AQ42" s="31">
        <f>$AL42+$AM42+IF($AN42&gt;0,1,0)+IF($AO42&gt;0,1,0)+IF($AP42&gt;0,1,0)</f>
        <v/>
      </c>
    </row>
    <row r="43">
      <c r="A43" s="29" t="n"/>
      <c r="B43" s="29" t="n"/>
      <c r="C43" s="14" t="n"/>
      <c r="D43" s="29" t="n"/>
      <c r="E43" s="29" t="n"/>
      <c r="F43" s="19" t="n"/>
      <c r="G43" s="19" t="n"/>
      <c r="H43" s="14" t="n"/>
      <c r="I43" s="48" t="n"/>
      <c r="J43" s="48" t="n"/>
      <c r="K43" s="48" t="n"/>
      <c r="L43" s="48" t="n"/>
      <c r="M43" s="29" t="n"/>
      <c r="N43" s="29" t="n"/>
      <c r="O43" s="14" t="n"/>
      <c r="P43" s="26" t="n"/>
      <c r="Q43" s="29" t="n"/>
      <c r="R43" s="29" t="n"/>
      <c r="S43" s="21">
        <f>IF(OR($A43="",$B$11&lt;=0),"",IF(AND(OR($AR$7=0,ISNUMBER($I43)),OR($AR$8=0,ISNUMBER($J43)),OR($AR$9=0,ISNUMBER($K43)),OR($AR$10=0,ISNUMBER($L43))),ROUND((N($I43)*$AR$7+N($J43)*$AR$8+N($K43)*$AR$9+N($L43)*$AR$10)*20/$B$11,0),""))</f>
        <v/>
      </c>
      <c r="T43" s="21">
        <f>IF($AB43=1,SUMPRODUCT(--($AC$32:$AC$81&gt;$AC43))+1,"")</f>
        <v/>
      </c>
      <c r="U43" s="31">
        <f>IF($AB43=0,"",IF(OR(NOT(ISNUMBER($B$16)),$AH43&gt;0),"Not read",IF($AF43&lt;=$B$16,"Fits","Doesn't fit")))</f>
        <v/>
      </c>
      <c r="V43" s="31">
        <f>IF($AB43=0,"",IF(OR(NOT(ISNUMBER($B$17)),$AI43&gt;0),"Not read",IF($AG43&lt;=$B$17,"Fits","Doesn't fit")))</f>
        <v/>
      </c>
      <c r="W43" s="21">
        <f>IF(OR($A43="",NOT(ISNUMBER($C43)),$M43&lt;&gt;""),"",MAX(0,TODAY()-$C43))</f>
        <v/>
      </c>
      <c r="X43" s="31">
        <f>IF($A43="","",IF($AQ43=0,"○ Clear",IF($AL43=1,"△ No objective from Portfolio",IF($AM43=1,"△ Decided without a score",IF($AO43=1,"△ Not on the Register under this name",IF($AO43=2,"△ Owner or objective differs from the Register",IF($AN43=2,"△ Accepted with no cost or effort",IF($AN43=1,"△ Doesn't fit, and nothing gives way",IF($AP43=2,"△ Decision isn't Accept, Defer or Decline","△ Decision missing who, when or why")))))))&amp;IF($AQ43&gt;1," (+"&amp;($AQ43-1)&amp;" more)","")))</f>
        <v/>
      </c>
      <c r="Y43" s="31">
        <f>IF($A43="","",IFERROR(MATCH(IF($R43&lt;&gt;"",TRIM($R43),TRIM($A43)),Register!$A$6:$A$305,0),0))</f>
        <v/>
      </c>
      <c r="Z43" s="31">
        <f>IF(N($Y43)=0,"",INDEX(Register!$D$6:$D$305,$Y43))</f>
        <v/>
      </c>
      <c r="AA43" s="31">
        <f>IF(OR($Z43="Active",$Z43="Paused",$Z43="Completed",$Z43="Terminated"),1,0)</f>
        <v/>
      </c>
      <c r="AB43" s="31">
        <f>IF(AND($A43&lt;&gt;"",ISNUMBER($S43),OR($M43="",$M43="Accept"),$AA43=0),1,0)</f>
        <v/>
      </c>
      <c r="AC43" s="31">
        <f>IF($AB43=1,$S43+(1000-ROW())/100000,0)</f>
        <v/>
      </c>
      <c r="AD43" s="31">
        <f>IF(AND($AB43=1,ISNUMBER($F43)),$F43,0)</f>
        <v/>
      </c>
      <c r="AE43" s="31">
        <f>IF(AND($AB43=1,ISNUMBER($G43)),$G43,0)</f>
        <v/>
      </c>
      <c r="AF43" s="31">
        <f>IF($AB43=1,SUMPRODUCT(($AC$32:$AC$81&gt;=$AC43)*$AD$32:$AD$81),"")</f>
        <v/>
      </c>
      <c r="AG43" s="31">
        <f>IF($AB43=1,SUMPRODUCT(($AC$32:$AC$81&gt;=$AC43)*$AE$32:$AE$81),"")</f>
        <v/>
      </c>
      <c r="AH43" s="31">
        <f>IF($AB43=1,SUMPRODUCT(($AC$32:$AC$81&gt;=$AC43)*(1-ISNUMBER($F$32:$F$81))),"")</f>
        <v/>
      </c>
      <c r="AI43" s="31">
        <f>IF($AB43=1,SUMPRODUCT(($AC$32:$AC$81&gt;=$AC43)*(1-ISNUMBER($G$32:$G$81))),"")</f>
        <v/>
      </c>
      <c r="AJ43" s="31">
        <f>IF(AND($AB43=1,$M43="Accept",ISNUMBER($O43)),SUMPRODUCT(($AC$32:$AC$81&gt;$AC43)*ISNUMBER($C$32:$C$81)*($C$32:$C$81&lt;=$O43)*((($M$32:$M$81="")+ISNUMBER($O$32:$O$81)*($O$32:$O$81&gt;$O43))&gt;0)),0)</f>
        <v/>
      </c>
      <c r="AK43" s="31">
        <f>IF($Q43="",0,IFERROR(IF(INDEX(Register!$D$6:$D$305,MATCH(TRIM($Q43),Register!$A$6:$A$305,0))="Active",1,0),0))</f>
        <v/>
      </c>
      <c r="AL43" s="31">
        <f>IF(AND($A43&lt;&gt;"",ISNUMBER($S43)),IF($D43="",1,IF(COUNTIF(Portfolio!$A$47:$A$56,$D43)=0,1,0)),0)</f>
        <v/>
      </c>
      <c r="AM43" s="31">
        <f>IF(AND($A43&lt;&gt;"",$M43&lt;&gt;"",NOT(ISNUMBER($S43))),1,0)</f>
        <v/>
      </c>
      <c r="AN43" s="31">
        <f>IF(AND($AB43=1,$M43="Accept"),IF(OR(AND(ISNUMBER($B$16),NOT(ISNUMBER($F43))),AND(ISNUMBER($B$17),NOT(ISNUMBER($G43)))),2,IF(AND(OR($U43="Doesn't fit",$V43="Doesn't fit"),$AK43=0),1,0)),0)</f>
        <v/>
      </c>
      <c r="AO43" s="31">
        <f>IF(OR($A43="",$M43&lt;&gt;"Accept"),0,IF($Y43=0,IF(OR($R43&lt;&gt;"",IFERROR(TODAY()-$O43,9999)&gt;IF(ISNUMBER($B$20),$B$20,14)),1,0),IF(OR(TRIM(INDEX(Register!$E$6:$E$305,$Y43)&amp;"")&lt;&gt;TRIM($E43&amp;""),TRIM(INDEX(Register!$G$6:$G$305,$Y43)&amp;"")&lt;&gt;TRIM($D43&amp;"")),2,0)))</f>
        <v/>
      </c>
      <c r="AP43" s="31">
        <f>IF(OR($A43="",$M43=""),0,IF(AND($M43&lt;&gt;"Accept",$M43&lt;&gt;"Defer",$M43&lt;&gt;"Decline"),2,IF(OR($N43="",NOT(ISNUMBER($O43))),1,IF(AND($P43="",OR($M43="Defer",$M43="Decline",$AJ43&gt;0)),1,0))))</f>
        <v/>
      </c>
      <c r="AQ43" s="31">
        <f>$AL43+$AM43+IF($AN43&gt;0,1,0)+IF($AO43&gt;0,1,0)+IF($AP43&gt;0,1,0)</f>
        <v/>
      </c>
    </row>
    <row r="44">
      <c r="A44" s="29" t="n"/>
      <c r="B44" s="29" t="n"/>
      <c r="C44" s="14" t="n"/>
      <c r="D44" s="29" t="n"/>
      <c r="E44" s="29" t="n"/>
      <c r="F44" s="19" t="n"/>
      <c r="G44" s="19" t="n"/>
      <c r="H44" s="14" t="n"/>
      <c r="I44" s="48" t="n"/>
      <c r="J44" s="48" t="n"/>
      <c r="K44" s="48" t="n"/>
      <c r="L44" s="48" t="n"/>
      <c r="M44" s="29" t="n"/>
      <c r="N44" s="29" t="n"/>
      <c r="O44" s="14" t="n"/>
      <c r="P44" s="26" t="n"/>
      <c r="Q44" s="29" t="n"/>
      <c r="R44" s="29" t="n"/>
      <c r="S44" s="21">
        <f>IF(OR($A44="",$B$11&lt;=0),"",IF(AND(OR($AR$7=0,ISNUMBER($I44)),OR($AR$8=0,ISNUMBER($J44)),OR($AR$9=0,ISNUMBER($K44)),OR($AR$10=0,ISNUMBER($L44))),ROUND((N($I44)*$AR$7+N($J44)*$AR$8+N($K44)*$AR$9+N($L44)*$AR$10)*20/$B$11,0),""))</f>
        <v/>
      </c>
      <c r="T44" s="21">
        <f>IF($AB44=1,SUMPRODUCT(--($AC$32:$AC$81&gt;$AC44))+1,"")</f>
        <v/>
      </c>
      <c r="U44" s="31">
        <f>IF($AB44=0,"",IF(OR(NOT(ISNUMBER($B$16)),$AH44&gt;0),"Not read",IF($AF44&lt;=$B$16,"Fits","Doesn't fit")))</f>
        <v/>
      </c>
      <c r="V44" s="31">
        <f>IF($AB44=0,"",IF(OR(NOT(ISNUMBER($B$17)),$AI44&gt;0),"Not read",IF($AG44&lt;=$B$17,"Fits","Doesn't fit")))</f>
        <v/>
      </c>
      <c r="W44" s="21">
        <f>IF(OR($A44="",NOT(ISNUMBER($C44)),$M44&lt;&gt;""),"",MAX(0,TODAY()-$C44))</f>
        <v/>
      </c>
      <c r="X44" s="31">
        <f>IF($A44="","",IF($AQ44=0,"○ Clear",IF($AL44=1,"△ No objective from Portfolio",IF($AM44=1,"△ Decided without a score",IF($AO44=1,"△ Not on the Register under this name",IF($AO44=2,"△ Owner or objective differs from the Register",IF($AN44=2,"△ Accepted with no cost or effort",IF($AN44=1,"△ Doesn't fit, and nothing gives way",IF($AP44=2,"△ Decision isn't Accept, Defer or Decline","△ Decision missing who, when or why")))))))&amp;IF($AQ44&gt;1," (+"&amp;($AQ44-1)&amp;" more)","")))</f>
        <v/>
      </c>
      <c r="Y44" s="31">
        <f>IF($A44="","",IFERROR(MATCH(IF($R44&lt;&gt;"",TRIM($R44),TRIM($A44)),Register!$A$6:$A$305,0),0))</f>
        <v/>
      </c>
      <c r="Z44" s="31">
        <f>IF(N($Y44)=0,"",INDEX(Register!$D$6:$D$305,$Y44))</f>
        <v/>
      </c>
      <c r="AA44" s="31">
        <f>IF(OR($Z44="Active",$Z44="Paused",$Z44="Completed",$Z44="Terminated"),1,0)</f>
        <v/>
      </c>
      <c r="AB44" s="31">
        <f>IF(AND($A44&lt;&gt;"",ISNUMBER($S44),OR($M44="",$M44="Accept"),$AA44=0),1,0)</f>
        <v/>
      </c>
      <c r="AC44" s="31">
        <f>IF($AB44=1,$S44+(1000-ROW())/100000,0)</f>
        <v/>
      </c>
      <c r="AD44" s="31">
        <f>IF(AND($AB44=1,ISNUMBER($F44)),$F44,0)</f>
        <v/>
      </c>
      <c r="AE44" s="31">
        <f>IF(AND($AB44=1,ISNUMBER($G44)),$G44,0)</f>
        <v/>
      </c>
      <c r="AF44" s="31">
        <f>IF($AB44=1,SUMPRODUCT(($AC$32:$AC$81&gt;=$AC44)*$AD$32:$AD$81),"")</f>
        <v/>
      </c>
      <c r="AG44" s="31">
        <f>IF($AB44=1,SUMPRODUCT(($AC$32:$AC$81&gt;=$AC44)*$AE$32:$AE$81),"")</f>
        <v/>
      </c>
      <c r="AH44" s="31">
        <f>IF($AB44=1,SUMPRODUCT(($AC$32:$AC$81&gt;=$AC44)*(1-ISNUMBER($F$32:$F$81))),"")</f>
        <v/>
      </c>
      <c r="AI44" s="31">
        <f>IF($AB44=1,SUMPRODUCT(($AC$32:$AC$81&gt;=$AC44)*(1-ISNUMBER($G$32:$G$81))),"")</f>
        <v/>
      </c>
      <c r="AJ44" s="31">
        <f>IF(AND($AB44=1,$M44="Accept",ISNUMBER($O44)),SUMPRODUCT(($AC$32:$AC$81&gt;$AC44)*ISNUMBER($C$32:$C$81)*($C$32:$C$81&lt;=$O44)*((($M$32:$M$81="")+ISNUMBER($O$32:$O$81)*($O$32:$O$81&gt;$O44))&gt;0)),0)</f>
        <v/>
      </c>
      <c r="AK44" s="31">
        <f>IF($Q44="",0,IFERROR(IF(INDEX(Register!$D$6:$D$305,MATCH(TRIM($Q44),Register!$A$6:$A$305,0))="Active",1,0),0))</f>
        <v/>
      </c>
      <c r="AL44" s="31">
        <f>IF(AND($A44&lt;&gt;"",ISNUMBER($S44)),IF($D44="",1,IF(COUNTIF(Portfolio!$A$47:$A$56,$D44)=0,1,0)),0)</f>
        <v/>
      </c>
      <c r="AM44" s="31">
        <f>IF(AND($A44&lt;&gt;"",$M44&lt;&gt;"",NOT(ISNUMBER($S44))),1,0)</f>
        <v/>
      </c>
      <c r="AN44" s="31">
        <f>IF(AND($AB44=1,$M44="Accept"),IF(OR(AND(ISNUMBER($B$16),NOT(ISNUMBER($F44))),AND(ISNUMBER($B$17),NOT(ISNUMBER($G44)))),2,IF(AND(OR($U44="Doesn't fit",$V44="Doesn't fit"),$AK44=0),1,0)),0)</f>
        <v/>
      </c>
      <c r="AO44" s="31">
        <f>IF(OR($A44="",$M44&lt;&gt;"Accept"),0,IF($Y44=0,IF(OR($R44&lt;&gt;"",IFERROR(TODAY()-$O44,9999)&gt;IF(ISNUMBER($B$20),$B$20,14)),1,0),IF(OR(TRIM(INDEX(Register!$E$6:$E$305,$Y44)&amp;"")&lt;&gt;TRIM($E44&amp;""),TRIM(INDEX(Register!$G$6:$G$305,$Y44)&amp;"")&lt;&gt;TRIM($D44&amp;"")),2,0)))</f>
        <v/>
      </c>
      <c r="AP44" s="31">
        <f>IF(OR($A44="",$M44=""),0,IF(AND($M44&lt;&gt;"Accept",$M44&lt;&gt;"Defer",$M44&lt;&gt;"Decline"),2,IF(OR($N44="",NOT(ISNUMBER($O44))),1,IF(AND($P44="",OR($M44="Defer",$M44="Decline",$AJ44&gt;0)),1,0))))</f>
        <v/>
      </c>
      <c r="AQ44" s="31">
        <f>$AL44+$AM44+IF($AN44&gt;0,1,0)+IF($AO44&gt;0,1,0)+IF($AP44&gt;0,1,0)</f>
        <v/>
      </c>
    </row>
    <row r="45">
      <c r="A45" s="29" t="n"/>
      <c r="B45" s="29" t="n"/>
      <c r="C45" s="14" t="n"/>
      <c r="D45" s="29" t="n"/>
      <c r="E45" s="29" t="n"/>
      <c r="F45" s="19" t="n"/>
      <c r="G45" s="19" t="n"/>
      <c r="H45" s="14" t="n"/>
      <c r="I45" s="48" t="n"/>
      <c r="J45" s="48" t="n"/>
      <c r="K45" s="48" t="n"/>
      <c r="L45" s="48" t="n"/>
      <c r="M45" s="29" t="n"/>
      <c r="N45" s="29" t="n"/>
      <c r="O45" s="14" t="n"/>
      <c r="P45" s="26" t="n"/>
      <c r="Q45" s="29" t="n"/>
      <c r="R45" s="29" t="n"/>
      <c r="S45" s="21">
        <f>IF(OR($A45="",$B$11&lt;=0),"",IF(AND(OR($AR$7=0,ISNUMBER($I45)),OR($AR$8=0,ISNUMBER($J45)),OR($AR$9=0,ISNUMBER($K45)),OR($AR$10=0,ISNUMBER($L45))),ROUND((N($I45)*$AR$7+N($J45)*$AR$8+N($K45)*$AR$9+N($L45)*$AR$10)*20/$B$11,0),""))</f>
        <v/>
      </c>
      <c r="T45" s="21">
        <f>IF($AB45=1,SUMPRODUCT(--($AC$32:$AC$81&gt;$AC45))+1,"")</f>
        <v/>
      </c>
      <c r="U45" s="31">
        <f>IF($AB45=0,"",IF(OR(NOT(ISNUMBER($B$16)),$AH45&gt;0),"Not read",IF($AF45&lt;=$B$16,"Fits","Doesn't fit")))</f>
        <v/>
      </c>
      <c r="V45" s="31">
        <f>IF($AB45=0,"",IF(OR(NOT(ISNUMBER($B$17)),$AI45&gt;0),"Not read",IF($AG45&lt;=$B$17,"Fits","Doesn't fit")))</f>
        <v/>
      </c>
      <c r="W45" s="21">
        <f>IF(OR($A45="",NOT(ISNUMBER($C45)),$M45&lt;&gt;""),"",MAX(0,TODAY()-$C45))</f>
        <v/>
      </c>
      <c r="X45" s="31">
        <f>IF($A45="","",IF($AQ45=0,"○ Clear",IF($AL45=1,"△ No objective from Portfolio",IF($AM45=1,"△ Decided without a score",IF($AO45=1,"△ Not on the Register under this name",IF($AO45=2,"△ Owner or objective differs from the Register",IF($AN45=2,"△ Accepted with no cost or effort",IF($AN45=1,"△ Doesn't fit, and nothing gives way",IF($AP45=2,"△ Decision isn't Accept, Defer or Decline","△ Decision missing who, when or why")))))))&amp;IF($AQ45&gt;1," (+"&amp;($AQ45-1)&amp;" more)","")))</f>
        <v/>
      </c>
      <c r="Y45" s="31">
        <f>IF($A45="","",IFERROR(MATCH(IF($R45&lt;&gt;"",TRIM($R45),TRIM($A45)),Register!$A$6:$A$305,0),0))</f>
        <v/>
      </c>
      <c r="Z45" s="31">
        <f>IF(N($Y45)=0,"",INDEX(Register!$D$6:$D$305,$Y45))</f>
        <v/>
      </c>
      <c r="AA45" s="31">
        <f>IF(OR($Z45="Active",$Z45="Paused",$Z45="Completed",$Z45="Terminated"),1,0)</f>
        <v/>
      </c>
      <c r="AB45" s="31">
        <f>IF(AND($A45&lt;&gt;"",ISNUMBER($S45),OR($M45="",$M45="Accept"),$AA45=0),1,0)</f>
        <v/>
      </c>
      <c r="AC45" s="31">
        <f>IF($AB45=1,$S45+(1000-ROW())/100000,0)</f>
        <v/>
      </c>
      <c r="AD45" s="31">
        <f>IF(AND($AB45=1,ISNUMBER($F45)),$F45,0)</f>
        <v/>
      </c>
      <c r="AE45" s="31">
        <f>IF(AND($AB45=1,ISNUMBER($G45)),$G45,0)</f>
        <v/>
      </c>
      <c r="AF45" s="31">
        <f>IF($AB45=1,SUMPRODUCT(($AC$32:$AC$81&gt;=$AC45)*$AD$32:$AD$81),"")</f>
        <v/>
      </c>
      <c r="AG45" s="31">
        <f>IF($AB45=1,SUMPRODUCT(($AC$32:$AC$81&gt;=$AC45)*$AE$32:$AE$81),"")</f>
        <v/>
      </c>
      <c r="AH45" s="31">
        <f>IF($AB45=1,SUMPRODUCT(($AC$32:$AC$81&gt;=$AC45)*(1-ISNUMBER($F$32:$F$81))),"")</f>
        <v/>
      </c>
      <c r="AI45" s="31">
        <f>IF($AB45=1,SUMPRODUCT(($AC$32:$AC$81&gt;=$AC45)*(1-ISNUMBER($G$32:$G$81))),"")</f>
        <v/>
      </c>
      <c r="AJ45" s="31">
        <f>IF(AND($AB45=1,$M45="Accept",ISNUMBER($O45)),SUMPRODUCT(($AC$32:$AC$81&gt;$AC45)*ISNUMBER($C$32:$C$81)*($C$32:$C$81&lt;=$O45)*((($M$32:$M$81="")+ISNUMBER($O$32:$O$81)*($O$32:$O$81&gt;$O45))&gt;0)),0)</f>
        <v/>
      </c>
      <c r="AK45" s="31">
        <f>IF($Q45="",0,IFERROR(IF(INDEX(Register!$D$6:$D$305,MATCH(TRIM($Q45),Register!$A$6:$A$305,0))="Active",1,0),0))</f>
        <v/>
      </c>
      <c r="AL45" s="31">
        <f>IF(AND($A45&lt;&gt;"",ISNUMBER($S45)),IF($D45="",1,IF(COUNTIF(Portfolio!$A$47:$A$56,$D45)=0,1,0)),0)</f>
        <v/>
      </c>
      <c r="AM45" s="31">
        <f>IF(AND($A45&lt;&gt;"",$M45&lt;&gt;"",NOT(ISNUMBER($S45))),1,0)</f>
        <v/>
      </c>
      <c r="AN45" s="31">
        <f>IF(AND($AB45=1,$M45="Accept"),IF(OR(AND(ISNUMBER($B$16),NOT(ISNUMBER($F45))),AND(ISNUMBER($B$17),NOT(ISNUMBER($G45)))),2,IF(AND(OR($U45="Doesn't fit",$V45="Doesn't fit"),$AK45=0),1,0)),0)</f>
        <v/>
      </c>
      <c r="AO45" s="31">
        <f>IF(OR($A45="",$M45&lt;&gt;"Accept"),0,IF($Y45=0,IF(OR($R45&lt;&gt;"",IFERROR(TODAY()-$O45,9999)&gt;IF(ISNUMBER($B$20),$B$20,14)),1,0),IF(OR(TRIM(INDEX(Register!$E$6:$E$305,$Y45)&amp;"")&lt;&gt;TRIM($E45&amp;""),TRIM(INDEX(Register!$G$6:$G$305,$Y45)&amp;"")&lt;&gt;TRIM($D45&amp;"")),2,0)))</f>
        <v/>
      </c>
      <c r="AP45" s="31">
        <f>IF(OR($A45="",$M45=""),0,IF(AND($M45&lt;&gt;"Accept",$M45&lt;&gt;"Defer",$M45&lt;&gt;"Decline"),2,IF(OR($N45="",NOT(ISNUMBER($O45))),1,IF(AND($P45="",OR($M45="Defer",$M45="Decline",$AJ45&gt;0)),1,0))))</f>
        <v/>
      </c>
      <c r="AQ45" s="31">
        <f>$AL45+$AM45+IF($AN45&gt;0,1,0)+IF($AO45&gt;0,1,0)+IF($AP45&gt;0,1,0)</f>
        <v/>
      </c>
    </row>
    <row r="46">
      <c r="A46" s="29" t="n"/>
      <c r="B46" s="29" t="n"/>
      <c r="C46" s="14" t="n"/>
      <c r="D46" s="29" t="n"/>
      <c r="E46" s="29" t="n"/>
      <c r="F46" s="19" t="n"/>
      <c r="G46" s="19" t="n"/>
      <c r="H46" s="14" t="n"/>
      <c r="I46" s="48" t="n"/>
      <c r="J46" s="48" t="n"/>
      <c r="K46" s="48" t="n"/>
      <c r="L46" s="48" t="n"/>
      <c r="M46" s="29" t="n"/>
      <c r="N46" s="29" t="n"/>
      <c r="O46" s="14" t="n"/>
      <c r="P46" s="26" t="n"/>
      <c r="Q46" s="29" t="n"/>
      <c r="R46" s="29" t="n"/>
      <c r="S46" s="21">
        <f>IF(OR($A46="",$B$11&lt;=0),"",IF(AND(OR($AR$7=0,ISNUMBER($I46)),OR($AR$8=0,ISNUMBER($J46)),OR($AR$9=0,ISNUMBER($K46)),OR($AR$10=0,ISNUMBER($L46))),ROUND((N($I46)*$AR$7+N($J46)*$AR$8+N($K46)*$AR$9+N($L46)*$AR$10)*20/$B$11,0),""))</f>
        <v/>
      </c>
      <c r="T46" s="21">
        <f>IF($AB46=1,SUMPRODUCT(--($AC$32:$AC$81&gt;$AC46))+1,"")</f>
        <v/>
      </c>
      <c r="U46" s="31">
        <f>IF($AB46=0,"",IF(OR(NOT(ISNUMBER($B$16)),$AH46&gt;0),"Not read",IF($AF46&lt;=$B$16,"Fits","Doesn't fit")))</f>
        <v/>
      </c>
      <c r="V46" s="31">
        <f>IF($AB46=0,"",IF(OR(NOT(ISNUMBER($B$17)),$AI46&gt;0),"Not read",IF($AG46&lt;=$B$17,"Fits","Doesn't fit")))</f>
        <v/>
      </c>
      <c r="W46" s="21">
        <f>IF(OR($A46="",NOT(ISNUMBER($C46)),$M46&lt;&gt;""),"",MAX(0,TODAY()-$C46))</f>
        <v/>
      </c>
      <c r="X46" s="31">
        <f>IF($A46="","",IF($AQ46=0,"○ Clear",IF($AL46=1,"△ No objective from Portfolio",IF($AM46=1,"△ Decided without a score",IF($AO46=1,"△ Not on the Register under this name",IF($AO46=2,"△ Owner or objective differs from the Register",IF($AN46=2,"△ Accepted with no cost or effort",IF($AN46=1,"△ Doesn't fit, and nothing gives way",IF($AP46=2,"△ Decision isn't Accept, Defer or Decline","△ Decision missing who, when or why")))))))&amp;IF($AQ46&gt;1," (+"&amp;($AQ46-1)&amp;" more)","")))</f>
        <v/>
      </c>
      <c r="Y46" s="31">
        <f>IF($A46="","",IFERROR(MATCH(IF($R46&lt;&gt;"",TRIM($R46),TRIM($A46)),Register!$A$6:$A$305,0),0))</f>
        <v/>
      </c>
      <c r="Z46" s="31">
        <f>IF(N($Y46)=0,"",INDEX(Register!$D$6:$D$305,$Y46))</f>
        <v/>
      </c>
      <c r="AA46" s="31">
        <f>IF(OR($Z46="Active",$Z46="Paused",$Z46="Completed",$Z46="Terminated"),1,0)</f>
        <v/>
      </c>
      <c r="AB46" s="31">
        <f>IF(AND($A46&lt;&gt;"",ISNUMBER($S46),OR($M46="",$M46="Accept"),$AA46=0),1,0)</f>
        <v/>
      </c>
      <c r="AC46" s="31">
        <f>IF($AB46=1,$S46+(1000-ROW())/100000,0)</f>
        <v/>
      </c>
      <c r="AD46" s="31">
        <f>IF(AND($AB46=1,ISNUMBER($F46)),$F46,0)</f>
        <v/>
      </c>
      <c r="AE46" s="31">
        <f>IF(AND($AB46=1,ISNUMBER($G46)),$G46,0)</f>
        <v/>
      </c>
      <c r="AF46" s="31">
        <f>IF($AB46=1,SUMPRODUCT(($AC$32:$AC$81&gt;=$AC46)*$AD$32:$AD$81),"")</f>
        <v/>
      </c>
      <c r="AG46" s="31">
        <f>IF($AB46=1,SUMPRODUCT(($AC$32:$AC$81&gt;=$AC46)*$AE$32:$AE$81),"")</f>
        <v/>
      </c>
      <c r="AH46" s="31">
        <f>IF($AB46=1,SUMPRODUCT(($AC$32:$AC$81&gt;=$AC46)*(1-ISNUMBER($F$32:$F$81))),"")</f>
        <v/>
      </c>
      <c r="AI46" s="31">
        <f>IF($AB46=1,SUMPRODUCT(($AC$32:$AC$81&gt;=$AC46)*(1-ISNUMBER($G$32:$G$81))),"")</f>
        <v/>
      </c>
      <c r="AJ46" s="31">
        <f>IF(AND($AB46=1,$M46="Accept",ISNUMBER($O46)),SUMPRODUCT(($AC$32:$AC$81&gt;$AC46)*ISNUMBER($C$32:$C$81)*($C$32:$C$81&lt;=$O46)*((($M$32:$M$81="")+ISNUMBER($O$32:$O$81)*($O$32:$O$81&gt;$O46))&gt;0)),0)</f>
        <v/>
      </c>
      <c r="AK46" s="31">
        <f>IF($Q46="",0,IFERROR(IF(INDEX(Register!$D$6:$D$305,MATCH(TRIM($Q46),Register!$A$6:$A$305,0))="Active",1,0),0))</f>
        <v/>
      </c>
      <c r="AL46" s="31">
        <f>IF(AND($A46&lt;&gt;"",ISNUMBER($S46)),IF($D46="",1,IF(COUNTIF(Portfolio!$A$47:$A$56,$D46)=0,1,0)),0)</f>
        <v/>
      </c>
      <c r="AM46" s="31">
        <f>IF(AND($A46&lt;&gt;"",$M46&lt;&gt;"",NOT(ISNUMBER($S46))),1,0)</f>
        <v/>
      </c>
      <c r="AN46" s="31">
        <f>IF(AND($AB46=1,$M46="Accept"),IF(OR(AND(ISNUMBER($B$16),NOT(ISNUMBER($F46))),AND(ISNUMBER($B$17),NOT(ISNUMBER($G46)))),2,IF(AND(OR($U46="Doesn't fit",$V46="Doesn't fit"),$AK46=0),1,0)),0)</f>
        <v/>
      </c>
      <c r="AO46" s="31">
        <f>IF(OR($A46="",$M46&lt;&gt;"Accept"),0,IF($Y46=0,IF(OR($R46&lt;&gt;"",IFERROR(TODAY()-$O46,9999)&gt;IF(ISNUMBER($B$20),$B$20,14)),1,0),IF(OR(TRIM(INDEX(Register!$E$6:$E$305,$Y46)&amp;"")&lt;&gt;TRIM($E46&amp;""),TRIM(INDEX(Register!$G$6:$G$305,$Y46)&amp;"")&lt;&gt;TRIM($D46&amp;"")),2,0)))</f>
        <v/>
      </c>
      <c r="AP46" s="31">
        <f>IF(OR($A46="",$M46=""),0,IF(AND($M46&lt;&gt;"Accept",$M46&lt;&gt;"Defer",$M46&lt;&gt;"Decline"),2,IF(OR($N46="",NOT(ISNUMBER($O46))),1,IF(AND($P46="",OR($M46="Defer",$M46="Decline",$AJ46&gt;0)),1,0))))</f>
        <v/>
      </c>
      <c r="AQ46" s="31">
        <f>$AL46+$AM46+IF($AN46&gt;0,1,0)+IF($AO46&gt;0,1,0)+IF($AP46&gt;0,1,0)</f>
        <v/>
      </c>
    </row>
    <row r="47">
      <c r="A47" s="29" t="n"/>
      <c r="B47" s="29" t="n"/>
      <c r="C47" s="14" t="n"/>
      <c r="D47" s="29" t="n"/>
      <c r="E47" s="29" t="n"/>
      <c r="F47" s="19" t="n"/>
      <c r="G47" s="19" t="n"/>
      <c r="H47" s="14" t="n"/>
      <c r="I47" s="48" t="n"/>
      <c r="J47" s="48" t="n"/>
      <c r="K47" s="48" t="n"/>
      <c r="L47" s="48" t="n"/>
      <c r="M47" s="29" t="n"/>
      <c r="N47" s="29" t="n"/>
      <c r="O47" s="14" t="n"/>
      <c r="P47" s="26" t="n"/>
      <c r="Q47" s="29" t="n"/>
      <c r="R47" s="29" t="n"/>
      <c r="S47" s="21">
        <f>IF(OR($A47="",$B$11&lt;=0),"",IF(AND(OR($AR$7=0,ISNUMBER($I47)),OR($AR$8=0,ISNUMBER($J47)),OR($AR$9=0,ISNUMBER($K47)),OR($AR$10=0,ISNUMBER($L47))),ROUND((N($I47)*$AR$7+N($J47)*$AR$8+N($K47)*$AR$9+N($L47)*$AR$10)*20/$B$11,0),""))</f>
        <v/>
      </c>
      <c r="T47" s="21">
        <f>IF($AB47=1,SUMPRODUCT(--($AC$32:$AC$81&gt;$AC47))+1,"")</f>
        <v/>
      </c>
      <c r="U47" s="31">
        <f>IF($AB47=0,"",IF(OR(NOT(ISNUMBER($B$16)),$AH47&gt;0),"Not read",IF($AF47&lt;=$B$16,"Fits","Doesn't fit")))</f>
        <v/>
      </c>
      <c r="V47" s="31">
        <f>IF($AB47=0,"",IF(OR(NOT(ISNUMBER($B$17)),$AI47&gt;0),"Not read",IF($AG47&lt;=$B$17,"Fits","Doesn't fit")))</f>
        <v/>
      </c>
      <c r="W47" s="21">
        <f>IF(OR($A47="",NOT(ISNUMBER($C47)),$M47&lt;&gt;""),"",MAX(0,TODAY()-$C47))</f>
        <v/>
      </c>
      <c r="X47" s="31">
        <f>IF($A47="","",IF($AQ47=0,"○ Clear",IF($AL47=1,"△ No objective from Portfolio",IF($AM47=1,"△ Decided without a score",IF($AO47=1,"△ Not on the Register under this name",IF($AO47=2,"△ Owner or objective differs from the Register",IF($AN47=2,"△ Accepted with no cost or effort",IF($AN47=1,"△ Doesn't fit, and nothing gives way",IF($AP47=2,"△ Decision isn't Accept, Defer or Decline","△ Decision missing who, when or why")))))))&amp;IF($AQ47&gt;1," (+"&amp;($AQ47-1)&amp;" more)","")))</f>
        <v/>
      </c>
      <c r="Y47" s="31">
        <f>IF($A47="","",IFERROR(MATCH(IF($R47&lt;&gt;"",TRIM($R47),TRIM($A47)),Register!$A$6:$A$305,0),0))</f>
        <v/>
      </c>
      <c r="Z47" s="31">
        <f>IF(N($Y47)=0,"",INDEX(Register!$D$6:$D$305,$Y47))</f>
        <v/>
      </c>
      <c r="AA47" s="31">
        <f>IF(OR($Z47="Active",$Z47="Paused",$Z47="Completed",$Z47="Terminated"),1,0)</f>
        <v/>
      </c>
      <c r="AB47" s="31">
        <f>IF(AND($A47&lt;&gt;"",ISNUMBER($S47),OR($M47="",$M47="Accept"),$AA47=0),1,0)</f>
        <v/>
      </c>
      <c r="AC47" s="31">
        <f>IF($AB47=1,$S47+(1000-ROW())/100000,0)</f>
        <v/>
      </c>
      <c r="AD47" s="31">
        <f>IF(AND($AB47=1,ISNUMBER($F47)),$F47,0)</f>
        <v/>
      </c>
      <c r="AE47" s="31">
        <f>IF(AND($AB47=1,ISNUMBER($G47)),$G47,0)</f>
        <v/>
      </c>
      <c r="AF47" s="31">
        <f>IF($AB47=1,SUMPRODUCT(($AC$32:$AC$81&gt;=$AC47)*$AD$32:$AD$81),"")</f>
        <v/>
      </c>
      <c r="AG47" s="31">
        <f>IF($AB47=1,SUMPRODUCT(($AC$32:$AC$81&gt;=$AC47)*$AE$32:$AE$81),"")</f>
        <v/>
      </c>
      <c r="AH47" s="31">
        <f>IF($AB47=1,SUMPRODUCT(($AC$32:$AC$81&gt;=$AC47)*(1-ISNUMBER($F$32:$F$81))),"")</f>
        <v/>
      </c>
      <c r="AI47" s="31">
        <f>IF($AB47=1,SUMPRODUCT(($AC$32:$AC$81&gt;=$AC47)*(1-ISNUMBER($G$32:$G$81))),"")</f>
        <v/>
      </c>
      <c r="AJ47" s="31">
        <f>IF(AND($AB47=1,$M47="Accept",ISNUMBER($O47)),SUMPRODUCT(($AC$32:$AC$81&gt;$AC47)*ISNUMBER($C$32:$C$81)*($C$32:$C$81&lt;=$O47)*((($M$32:$M$81="")+ISNUMBER($O$32:$O$81)*($O$32:$O$81&gt;$O47))&gt;0)),0)</f>
        <v/>
      </c>
      <c r="AK47" s="31">
        <f>IF($Q47="",0,IFERROR(IF(INDEX(Register!$D$6:$D$305,MATCH(TRIM($Q47),Register!$A$6:$A$305,0))="Active",1,0),0))</f>
        <v/>
      </c>
      <c r="AL47" s="31">
        <f>IF(AND($A47&lt;&gt;"",ISNUMBER($S47)),IF($D47="",1,IF(COUNTIF(Portfolio!$A$47:$A$56,$D47)=0,1,0)),0)</f>
        <v/>
      </c>
      <c r="AM47" s="31">
        <f>IF(AND($A47&lt;&gt;"",$M47&lt;&gt;"",NOT(ISNUMBER($S47))),1,0)</f>
        <v/>
      </c>
      <c r="AN47" s="31">
        <f>IF(AND($AB47=1,$M47="Accept"),IF(OR(AND(ISNUMBER($B$16),NOT(ISNUMBER($F47))),AND(ISNUMBER($B$17),NOT(ISNUMBER($G47)))),2,IF(AND(OR($U47="Doesn't fit",$V47="Doesn't fit"),$AK47=0),1,0)),0)</f>
        <v/>
      </c>
      <c r="AO47" s="31">
        <f>IF(OR($A47="",$M47&lt;&gt;"Accept"),0,IF($Y47=0,IF(OR($R47&lt;&gt;"",IFERROR(TODAY()-$O47,9999)&gt;IF(ISNUMBER($B$20),$B$20,14)),1,0),IF(OR(TRIM(INDEX(Register!$E$6:$E$305,$Y47)&amp;"")&lt;&gt;TRIM($E47&amp;""),TRIM(INDEX(Register!$G$6:$G$305,$Y47)&amp;"")&lt;&gt;TRIM($D47&amp;"")),2,0)))</f>
        <v/>
      </c>
      <c r="AP47" s="31">
        <f>IF(OR($A47="",$M47=""),0,IF(AND($M47&lt;&gt;"Accept",$M47&lt;&gt;"Defer",$M47&lt;&gt;"Decline"),2,IF(OR($N47="",NOT(ISNUMBER($O47))),1,IF(AND($P47="",OR($M47="Defer",$M47="Decline",$AJ47&gt;0)),1,0))))</f>
        <v/>
      </c>
      <c r="AQ47" s="31">
        <f>$AL47+$AM47+IF($AN47&gt;0,1,0)+IF($AO47&gt;0,1,0)+IF($AP47&gt;0,1,0)</f>
        <v/>
      </c>
    </row>
    <row r="48">
      <c r="A48" s="29" t="n"/>
      <c r="B48" s="29" t="n"/>
      <c r="C48" s="14" t="n"/>
      <c r="D48" s="29" t="n"/>
      <c r="E48" s="29" t="n"/>
      <c r="F48" s="19" t="n"/>
      <c r="G48" s="19" t="n"/>
      <c r="H48" s="14" t="n"/>
      <c r="I48" s="48" t="n"/>
      <c r="J48" s="48" t="n"/>
      <c r="K48" s="48" t="n"/>
      <c r="L48" s="48" t="n"/>
      <c r="M48" s="29" t="n"/>
      <c r="N48" s="29" t="n"/>
      <c r="O48" s="14" t="n"/>
      <c r="P48" s="26" t="n"/>
      <c r="Q48" s="29" t="n"/>
      <c r="R48" s="29" t="n"/>
      <c r="S48" s="21">
        <f>IF(OR($A48="",$B$11&lt;=0),"",IF(AND(OR($AR$7=0,ISNUMBER($I48)),OR($AR$8=0,ISNUMBER($J48)),OR($AR$9=0,ISNUMBER($K48)),OR($AR$10=0,ISNUMBER($L48))),ROUND((N($I48)*$AR$7+N($J48)*$AR$8+N($K48)*$AR$9+N($L48)*$AR$10)*20/$B$11,0),""))</f>
        <v/>
      </c>
      <c r="T48" s="21">
        <f>IF($AB48=1,SUMPRODUCT(--($AC$32:$AC$81&gt;$AC48))+1,"")</f>
        <v/>
      </c>
      <c r="U48" s="31">
        <f>IF($AB48=0,"",IF(OR(NOT(ISNUMBER($B$16)),$AH48&gt;0),"Not read",IF($AF48&lt;=$B$16,"Fits","Doesn't fit")))</f>
        <v/>
      </c>
      <c r="V48" s="31">
        <f>IF($AB48=0,"",IF(OR(NOT(ISNUMBER($B$17)),$AI48&gt;0),"Not read",IF($AG48&lt;=$B$17,"Fits","Doesn't fit")))</f>
        <v/>
      </c>
      <c r="W48" s="21">
        <f>IF(OR($A48="",NOT(ISNUMBER($C48)),$M48&lt;&gt;""),"",MAX(0,TODAY()-$C48))</f>
        <v/>
      </c>
      <c r="X48" s="31">
        <f>IF($A48="","",IF($AQ48=0,"○ Clear",IF($AL48=1,"△ No objective from Portfolio",IF($AM48=1,"△ Decided without a score",IF($AO48=1,"△ Not on the Register under this name",IF($AO48=2,"△ Owner or objective differs from the Register",IF($AN48=2,"△ Accepted with no cost or effort",IF($AN48=1,"△ Doesn't fit, and nothing gives way",IF($AP48=2,"△ Decision isn't Accept, Defer or Decline","△ Decision missing who, when or why")))))))&amp;IF($AQ48&gt;1," (+"&amp;($AQ48-1)&amp;" more)","")))</f>
        <v/>
      </c>
      <c r="Y48" s="31">
        <f>IF($A48="","",IFERROR(MATCH(IF($R48&lt;&gt;"",TRIM($R48),TRIM($A48)),Register!$A$6:$A$305,0),0))</f>
        <v/>
      </c>
      <c r="Z48" s="31">
        <f>IF(N($Y48)=0,"",INDEX(Register!$D$6:$D$305,$Y48))</f>
        <v/>
      </c>
      <c r="AA48" s="31">
        <f>IF(OR($Z48="Active",$Z48="Paused",$Z48="Completed",$Z48="Terminated"),1,0)</f>
        <v/>
      </c>
      <c r="AB48" s="31">
        <f>IF(AND($A48&lt;&gt;"",ISNUMBER($S48),OR($M48="",$M48="Accept"),$AA48=0),1,0)</f>
        <v/>
      </c>
      <c r="AC48" s="31">
        <f>IF($AB48=1,$S48+(1000-ROW())/100000,0)</f>
        <v/>
      </c>
      <c r="AD48" s="31">
        <f>IF(AND($AB48=1,ISNUMBER($F48)),$F48,0)</f>
        <v/>
      </c>
      <c r="AE48" s="31">
        <f>IF(AND($AB48=1,ISNUMBER($G48)),$G48,0)</f>
        <v/>
      </c>
      <c r="AF48" s="31">
        <f>IF($AB48=1,SUMPRODUCT(($AC$32:$AC$81&gt;=$AC48)*$AD$32:$AD$81),"")</f>
        <v/>
      </c>
      <c r="AG48" s="31">
        <f>IF($AB48=1,SUMPRODUCT(($AC$32:$AC$81&gt;=$AC48)*$AE$32:$AE$81),"")</f>
        <v/>
      </c>
      <c r="AH48" s="31">
        <f>IF($AB48=1,SUMPRODUCT(($AC$32:$AC$81&gt;=$AC48)*(1-ISNUMBER($F$32:$F$81))),"")</f>
        <v/>
      </c>
      <c r="AI48" s="31">
        <f>IF($AB48=1,SUMPRODUCT(($AC$32:$AC$81&gt;=$AC48)*(1-ISNUMBER($G$32:$G$81))),"")</f>
        <v/>
      </c>
      <c r="AJ48" s="31">
        <f>IF(AND($AB48=1,$M48="Accept",ISNUMBER($O48)),SUMPRODUCT(($AC$32:$AC$81&gt;$AC48)*ISNUMBER($C$32:$C$81)*($C$32:$C$81&lt;=$O48)*((($M$32:$M$81="")+ISNUMBER($O$32:$O$81)*($O$32:$O$81&gt;$O48))&gt;0)),0)</f>
        <v/>
      </c>
      <c r="AK48" s="31">
        <f>IF($Q48="",0,IFERROR(IF(INDEX(Register!$D$6:$D$305,MATCH(TRIM($Q48),Register!$A$6:$A$305,0))="Active",1,0),0))</f>
        <v/>
      </c>
      <c r="AL48" s="31">
        <f>IF(AND($A48&lt;&gt;"",ISNUMBER($S48)),IF($D48="",1,IF(COUNTIF(Portfolio!$A$47:$A$56,$D48)=0,1,0)),0)</f>
        <v/>
      </c>
      <c r="AM48" s="31">
        <f>IF(AND($A48&lt;&gt;"",$M48&lt;&gt;"",NOT(ISNUMBER($S48))),1,0)</f>
        <v/>
      </c>
      <c r="AN48" s="31">
        <f>IF(AND($AB48=1,$M48="Accept"),IF(OR(AND(ISNUMBER($B$16),NOT(ISNUMBER($F48))),AND(ISNUMBER($B$17),NOT(ISNUMBER($G48)))),2,IF(AND(OR($U48="Doesn't fit",$V48="Doesn't fit"),$AK48=0),1,0)),0)</f>
        <v/>
      </c>
      <c r="AO48" s="31">
        <f>IF(OR($A48="",$M48&lt;&gt;"Accept"),0,IF($Y48=0,IF(OR($R48&lt;&gt;"",IFERROR(TODAY()-$O48,9999)&gt;IF(ISNUMBER($B$20),$B$20,14)),1,0),IF(OR(TRIM(INDEX(Register!$E$6:$E$305,$Y48)&amp;"")&lt;&gt;TRIM($E48&amp;""),TRIM(INDEX(Register!$G$6:$G$305,$Y48)&amp;"")&lt;&gt;TRIM($D48&amp;"")),2,0)))</f>
        <v/>
      </c>
      <c r="AP48" s="31">
        <f>IF(OR($A48="",$M48=""),0,IF(AND($M48&lt;&gt;"Accept",$M48&lt;&gt;"Defer",$M48&lt;&gt;"Decline"),2,IF(OR($N48="",NOT(ISNUMBER($O48))),1,IF(AND($P48="",OR($M48="Defer",$M48="Decline",$AJ48&gt;0)),1,0))))</f>
        <v/>
      </c>
      <c r="AQ48" s="31">
        <f>$AL48+$AM48+IF($AN48&gt;0,1,0)+IF($AO48&gt;0,1,0)+IF($AP48&gt;0,1,0)</f>
        <v/>
      </c>
    </row>
    <row r="49">
      <c r="A49" s="29" t="n"/>
      <c r="B49" s="29" t="n"/>
      <c r="C49" s="14" t="n"/>
      <c r="D49" s="29" t="n"/>
      <c r="E49" s="29" t="n"/>
      <c r="F49" s="19" t="n"/>
      <c r="G49" s="19" t="n"/>
      <c r="H49" s="14" t="n"/>
      <c r="I49" s="48" t="n"/>
      <c r="J49" s="48" t="n"/>
      <c r="K49" s="48" t="n"/>
      <c r="L49" s="48" t="n"/>
      <c r="M49" s="29" t="n"/>
      <c r="N49" s="29" t="n"/>
      <c r="O49" s="14" t="n"/>
      <c r="P49" s="26" t="n"/>
      <c r="Q49" s="29" t="n"/>
      <c r="R49" s="29" t="n"/>
      <c r="S49" s="21">
        <f>IF(OR($A49="",$B$11&lt;=0),"",IF(AND(OR($AR$7=0,ISNUMBER($I49)),OR($AR$8=0,ISNUMBER($J49)),OR($AR$9=0,ISNUMBER($K49)),OR($AR$10=0,ISNUMBER($L49))),ROUND((N($I49)*$AR$7+N($J49)*$AR$8+N($K49)*$AR$9+N($L49)*$AR$10)*20/$B$11,0),""))</f>
        <v/>
      </c>
      <c r="T49" s="21">
        <f>IF($AB49=1,SUMPRODUCT(--($AC$32:$AC$81&gt;$AC49))+1,"")</f>
        <v/>
      </c>
      <c r="U49" s="31">
        <f>IF($AB49=0,"",IF(OR(NOT(ISNUMBER($B$16)),$AH49&gt;0),"Not read",IF($AF49&lt;=$B$16,"Fits","Doesn't fit")))</f>
        <v/>
      </c>
      <c r="V49" s="31">
        <f>IF($AB49=0,"",IF(OR(NOT(ISNUMBER($B$17)),$AI49&gt;0),"Not read",IF($AG49&lt;=$B$17,"Fits","Doesn't fit")))</f>
        <v/>
      </c>
      <c r="W49" s="21">
        <f>IF(OR($A49="",NOT(ISNUMBER($C49)),$M49&lt;&gt;""),"",MAX(0,TODAY()-$C49))</f>
        <v/>
      </c>
      <c r="X49" s="31">
        <f>IF($A49="","",IF($AQ49=0,"○ Clear",IF($AL49=1,"△ No objective from Portfolio",IF($AM49=1,"△ Decided without a score",IF($AO49=1,"△ Not on the Register under this name",IF($AO49=2,"△ Owner or objective differs from the Register",IF($AN49=2,"△ Accepted with no cost or effort",IF($AN49=1,"△ Doesn't fit, and nothing gives way",IF($AP49=2,"△ Decision isn't Accept, Defer or Decline","△ Decision missing who, when or why")))))))&amp;IF($AQ49&gt;1," (+"&amp;($AQ49-1)&amp;" more)","")))</f>
        <v/>
      </c>
      <c r="Y49" s="31">
        <f>IF($A49="","",IFERROR(MATCH(IF($R49&lt;&gt;"",TRIM($R49),TRIM($A49)),Register!$A$6:$A$305,0),0))</f>
        <v/>
      </c>
      <c r="Z49" s="31">
        <f>IF(N($Y49)=0,"",INDEX(Register!$D$6:$D$305,$Y49))</f>
        <v/>
      </c>
      <c r="AA49" s="31">
        <f>IF(OR($Z49="Active",$Z49="Paused",$Z49="Completed",$Z49="Terminated"),1,0)</f>
        <v/>
      </c>
      <c r="AB49" s="31">
        <f>IF(AND($A49&lt;&gt;"",ISNUMBER($S49),OR($M49="",$M49="Accept"),$AA49=0),1,0)</f>
        <v/>
      </c>
      <c r="AC49" s="31">
        <f>IF($AB49=1,$S49+(1000-ROW())/100000,0)</f>
        <v/>
      </c>
      <c r="AD49" s="31">
        <f>IF(AND($AB49=1,ISNUMBER($F49)),$F49,0)</f>
        <v/>
      </c>
      <c r="AE49" s="31">
        <f>IF(AND($AB49=1,ISNUMBER($G49)),$G49,0)</f>
        <v/>
      </c>
      <c r="AF49" s="31">
        <f>IF($AB49=1,SUMPRODUCT(($AC$32:$AC$81&gt;=$AC49)*$AD$32:$AD$81),"")</f>
        <v/>
      </c>
      <c r="AG49" s="31">
        <f>IF($AB49=1,SUMPRODUCT(($AC$32:$AC$81&gt;=$AC49)*$AE$32:$AE$81),"")</f>
        <v/>
      </c>
      <c r="AH49" s="31">
        <f>IF($AB49=1,SUMPRODUCT(($AC$32:$AC$81&gt;=$AC49)*(1-ISNUMBER($F$32:$F$81))),"")</f>
        <v/>
      </c>
      <c r="AI49" s="31">
        <f>IF($AB49=1,SUMPRODUCT(($AC$32:$AC$81&gt;=$AC49)*(1-ISNUMBER($G$32:$G$81))),"")</f>
        <v/>
      </c>
      <c r="AJ49" s="31">
        <f>IF(AND($AB49=1,$M49="Accept",ISNUMBER($O49)),SUMPRODUCT(($AC$32:$AC$81&gt;$AC49)*ISNUMBER($C$32:$C$81)*($C$32:$C$81&lt;=$O49)*((($M$32:$M$81="")+ISNUMBER($O$32:$O$81)*($O$32:$O$81&gt;$O49))&gt;0)),0)</f>
        <v/>
      </c>
      <c r="AK49" s="31">
        <f>IF($Q49="",0,IFERROR(IF(INDEX(Register!$D$6:$D$305,MATCH(TRIM($Q49),Register!$A$6:$A$305,0))="Active",1,0),0))</f>
        <v/>
      </c>
      <c r="AL49" s="31">
        <f>IF(AND($A49&lt;&gt;"",ISNUMBER($S49)),IF($D49="",1,IF(COUNTIF(Portfolio!$A$47:$A$56,$D49)=0,1,0)),0)</f>
        <v/>
      </c>
      <c r="AM49" s="31">
        <f>IF(AND($A49&lt;&gt;"",$M49&lt;&gt;"",NOT(ISNUMBER($S49))),1,0)</f>
        <v/>
      </c>
      <c r="AN49" s="31">
        <f>IF(AND($AB49=1,$M49="Accept"),IF(OR(AND(ISNUMBER($B$16),NOT(ISNUMBER($F49))),AND(ISNUMBER($B$17),NOT(ISNUMBER($G49)))),2,IF(AND(OR($U49="Doesn't fit",$V49="Doesn't fit"),$AK49=0),1,0)),0)</f>
        <v/>
      </c>
      <c r="AO49" s="31">
        <f>IF(OR($A49="",$M49&lt;&gt;"Accept"),0,IF($Y49=0,IF(OR($R49&lt;&gt;"",IFERROR(TODAY()-$O49,9999)&gt;IF(ISNUMBER($B$20),$B$20,14)),1,0),IF(OR(TRIM(INDEX(Register!$E$6:$E$305,$Y49)&amp;"")&lt;&gt;TRIM($E49&amp;""),TRIM(INDEX(Register!$G$6:$G$305,$Y49)&amp;"")&lt;&gt;TRIM($D49&amp;"")),2,0)))</f>
        <v/>
      </c>
      <c r="AP49" s="31">
        <f>IF(OR($A49="",$M49=""),0,IF(AND($M49&lt;&gt;"Accept",$M49&lt;&gt;"Defer",$M49&lt;&gt;"Decline"),2,IF(OR($N49="",NOT(ISNUMBER($O49))),1,IF(AND($P49="",OR($M49="Defer",$M49="Decline",$AJ49&gt;0)),1,0))))</f>
        <v/>
      </c>
      <c r="AQ49" s="31">
        <f>$AL49+$AM49+IF($AN49&gt;0,1,0)+IF($AO49&gt;0,1,0)+IF($AP49&gt;0,1,0)</f>
        <v/>
      </c>
    </row>
    <row r="50">
      <c r="A50" s="29" t="n"/>
      <c r="B50" s="29" t="n"/>
      <c r="C50" s="14" t="n"/>
      <c r="D50" s="29" t="n"/>
      <c r="E50" s="29" t="n"/>
      <c r="F50" s="19" t="n"/>
      <c r="G50" s="19" t="n"/>
      <c r="H50" s="14" t="n"/>
      <c r="I50" s="48" t="n"/>
      <c r="J50" s="48" t="n"/>
      <c r="K50" s="48" t="n"/>
      <c r="L50" s="48" t="n"/>
      <c r="M50" s="29" t="n"/>
      <c r="N50" s="29" t="n"/>
      <c r="O50" s="14" t="n"/>
      <c r="P50" s="26" t="n"/>
      <c r="Q50" s="29" t="n"/>
      <c r="R50" s="29" t="n"/>
      <c r="S50" s="21">
        <f>IF(OR($A50="",$B$11&lt;=0),"",IF(AND(OR($AR$7=0,ISNUMBER($I50)),OR($AR$8=0,ISNUMBER($J50)),OR($AR$9=0,ISNUMBER($K50)),OR($AR$10=0,ISNUMBER($L50))),ROUND((N($I50)*$AR$7+N($J50)*$AR$8+N($K50)*$AR$9+N($L50)*$AR$10)*20/$B$11,0),""))</f>
        <v/>
      </c>
      <c r="T50" s="21">
        <f>IF($AB50=1,SUMPRODUCT(--($AC$32:$AC$81&gt;$AC50))+1,"")</f>
        <v/>
      </c>
      <c r="U50" s="31">
        <f>IF($AB50=0,"",IF(OR(NOT(ISNUMBER($B$16)),$AH50&gt;0),"Not read",IF($AF50&lt;=$B$16,"Fits","Doesn't fit")))</f>
        <v/>
      </c>
      <c r="V50" s="31">
        <f>IF($AB50=0,"",IF(OR(NOT(ISNUMBER($B$17)),$AI50&gt;0),"Not read",IF($AG50&lt;=$B$17,"Fits","Doesn't fit")))</f>
        <v/>
      </c>
      <c r="W50" s="21">
        <f>IF(OR($A50="",NOT(ISNUMBER($C50)),$M50&lt;&gt;""),"",MAX(0,TODAY()-$C50))</f>
        <v/>
      </c>
      <c r="X50" s="31">
        <f>IF($A50="","",IF($AQ50=0,"○ Clear",IF($AL50=1,"△ No objective from Portfolio",IF($AM50=1,"△ Decided without a score",IF($AO50=1,"△ Not on the Register under this name",IF($AO50=2,"△ Owner or objective differs from the Register",IF($AN50=2,"△ Accepted with no cost or effort",IF($AN50=1,"△ Doesn't fit, and nothing gives way",IF($AP50=2,"△ Decision isn't Accept, Defer or Decline","△ Decision missing who, when or why")))))))&amp;IF($AQ50&gt;1," (+"&amp;($AQ50-1)&amp;" more)","")))</f>
        <v/>
      </c>
      <c r="Y50" s="31">
        <f>IF($A50="","",IFERROR(MATCH(IF($R50&lt;&gt;"",TRIM($R50),TRIM($A50)),Register!$A$6:$A$305,0),0))</f>
        <v/>
      </c>
      <c r="Z50" s="31">
        <f>IF(N($Y50)=0,"",INDEX(Register!$D$6:$D$305,$Y50))</f>
        <v/>
      </c>
      <c r="AA50" s="31">
        <f>IF(OR($Z50="Active",$Z50="Paused",$Z50="Completed",$Z50="Terminated"),1,0)</f>
        <v/>
      </c>
      <c r="AB50" s="31">
        <f>IF(AND($A50&lt;&gt;"",ISNUMBER($S50),OR($M50="",$M50="Accept"),$AA50=0),1,0)</f>
        <v/>
      </c>
      <c r="AC50" s="31">
        <f>IF($AB50=1,$S50+(1000-ROW())/100000,0)</f>
        <v/>
      </c>
      <c r="AD50" s="31">
        <f>IF(AND($AB50=1,ISNUMBER($F50)),$F50,0)</f>
        <v/>
      </c>
      <c r="AE50" s="31">
        <f>IF(AND($AB50=1,ISNUMBER($G50)),$G50,0)</f>
        <v/>
      </c>
      <c r="AF50" s="31">
        <f>IF($AB50=1,SUMPRODUCT(($AC$32:$AC$81&gt;=$AC50)*$AD$32:$AD$81),"")</f>
        <v/>
      </c>
      <c r="AG50" s="31">
        <f>IF($AB50=1,SUMPRODUCT(($AC$32:$AC$81&gt;=$AC50)*$AE$32:$AE$81),"")</f>
        <v/>
      </c>
      <c r="AH50" s="31">
        <f>IF($AB50=1,SUMPRODUCT(($AC$32:$AC$81&gt;=$AC50)*(1-ISNUMBER($F$32:$F$81))),"")</f>
        <v/>
      </c>
      <c r="AI50" s="31">
        <f>IF($AB50=1,SUMPRODUCT(($AC$32:$AC$81&gt;=$AC50)*(1-ISNUMBER($G$32:$G$81))),"")</f>
        <v/>
      </c>
      <c r="AJ50" s="31">
        <f>IF(AND($AB50=1,$M50="Accept",ISNUMBER($O50)),SUMPRODUCT(($AC$32:$AC$81&gt;$AC50)*ISNUMBER($C$32:$C$81)*($C$32:$C$81&lt;=$O50)*((($M$32:$M$81="")+ISNUMBER($O$32:$O$81)*($O$32:$O$81&gt;$O50))&gt;0)),0)</f>
        <v/>
      </c>
      <c r="AK50" s="31">
        <f>IF($Q50="",0,IFERROR(IF(INDEX(Register!$D$6:$D$305,MATCH(TRIM($Q50),Register!$A$6:$A$305,0))="Active",1,0),0))</f>
        <v/>
      </c>
      <c r="AL50" s="31">
        <f>IF(AND($A50&lt;&gt;"",ISNUMBER($S50)),IF($D50="",1,IF(COUNTIF(Portfolio!$A$47:$A$56,$D50)=0,1,0)),0)</f>
        <v/>
      </c>
      <c r="AM50" s="31">
        <f>IF(AND($A50&lt;&gt;"",$M50&lt;&gt;"",NOT(ISNUMBER($S50))),1,0)</f>
        <v/>
      </c>
      <c r="AN50" s="31">
        <f>IF(AND($AB50=1,$M50="Accept"),IF(OR(AND(ISNUMBER($B$16),NOT(ISNUMBER($F50))),AND(ISNUMBER($B$17),NOT(ISNUMBER($G50)))),2,IF(AND(OR($U50="Doesn't fit",$V50="Doesn't fit"),$AK50=0),1,0)),0)</f>
        <v/>
      </c>
      <c r="AO50" s="31">
        <f>IF(OR($A50="",$M50&lt;&gt;"Accept"),0,IF($Y50=0,IF(OR($R50&lt;&gt;"",IFERROR(TODAY()-$O50,9999)&gt;IF(ISNUMBER($B$20),$B$20,14)),1,0),IF(OR(TRIM(INDEX(Register!$E$6:$E$305,$Y50)&amp;"")&lt;&gt;TRIM($E50&amp;""),TRIM(INDEX(Register!$G$6:$G$305,$Y50)&amp;"")&lt;&gt;TRIM($D50&amp;"")),2,0)))</f>
        <v/>
      </c>
      <c r="AP50" s="31">
        <f>IF(OR($A50="",$M50=""),0,IF(AND($M50&lt;&gt;"Accept",$M50&lt;&gt;"Defer",$M50&lt;&gt;"Decline"),2,IF(OR($N50="",NOT(ISNUMBER($O50))),1,IF(AND($P50="",OR($M50="Defer",$M50="Decline",$AJ50&gt;0)),1,0))))</f>
        <v/>
      </c>
      <c r="AQ50" s="31">
        <f>$AL50+$AM50+IF($AN50&gt;0,1,0)+IF($AO50&gt;0,1,0)+IF($AP50&gt;0,1,0)</f>
        <v/>
      </c>
    </row>
    <row r="51">
      <c r="A51" s="29" t="n"/>
      <c r="B51" s="29" t="n"/>
      <c r="C51" s="14" t="n"/>
      <c r="D51" s="29" t="n"/>
      <c r="E51" s="29" t="n"/>
      <c r="F51" s="19" t="n"/>
      <c r="G51" s="19" t="n"/>
      <c r="H51" s="14" t="n"/>
      <c r="I51" s="48" t="n"/>
      <c r="J51" s="48" t="n"/>
      <c r="K51" s="48" t="n"/>
      <c r="L51" s="48" t="n"/>
      <c r="M51" s="29" t="n"/>
      <c r="N51" s="29" t="n"/>
      <c r="O51" s="14" t="n"/>
      <c r="P51" s="26" t="n"/>
      <c r="Q51" s="29" t="n"/>
      <c r="R51" s="29" t="n"/>
      <c r="S51" s="21">
        <f>IF(OR($A51="",$B$11&lt;=0),"",IF(AND(OR($AR$7=0,ISNUMBER($I51)),OR($AR$8=0,ISNUMBER($J51)),OR($AR$9=0,ISNUMBER($K51)),OR($AR$10=0,ISNUMBER($L51))),ROUND((N($I51)*$AR$7+N($J51)*$AR$8+N($K51)*$AR$9+N($L51)*$AR$10)*20/$B$11,0),""))</f>
        <v/>
      </c>
      <c r="T51" s="21">
        <f>IF($AB51=1,SUMPRODUCT(--($AC$32:$AC$81&gt;$AC51))+1,"")</f>
        <v/>
      </c>
      <c r="U51" s="31">
        <f>IF($AB51=0,"",IF(OR(NOT(ISNUMBER($B$16)),$AH51&gt;0),"Not read",IF($AF51&lt;=$B$16,"Fits","Doesn't fit")))</f>
        <v/>
      </c>
      <c r="V51" s="31">
        <f>IF($AB51=0,"",IF(OR(NOT(ISNUMBER($B$17)),$AI51&gt;0),"Not read",IF($AG51&lt;=$B$17,"Fits","Doesn't fit")))</f>
        <v/>
      </c>
      <c r="W51" s="21">
        <f>IF(OR($A51="",NOT(ISNUMBER($C51)),$M51&lt;&gt;""),"",MAX(0,TODAY()-$C51))</f>
        <v/>
      </c>
      <c r="X51" s="31">
        <f>IF($A51="","",IF($AQ51=0,"○ Clear",IF($AL51=1,"△ No objective from Portfolio",IF($AM51=1,"△ Decided without a score",IF($AO51=1,"△ Not on the Register under this name",IF($AO51=2,"△ Owner or objective differs from the Register",IF($AN51=2,"△ Accepted with no cost or effort",IF($AN51=1,"△ Doesn't fit, and nothing gives way",IF($AP51=2,"△ Decision isn't Accept, Defer or Decline","△ Decision missing who, when or why")))))))&amp;IF($AQ51&gt;1," (+"&amp;($AQ51-1)&amp;" more)","")))</f>
        <v/>
      </c>
      <c r="Y51" s="31">
        <f>IF($A51="","",IFERROR(MATCH(IF($R51&lt;&gt;"",TRIM($R51),TRIM($A51)),Register!$A$6:$A$305,0),0))</f>
        <v/>
      </c>
      <c r="Z51" s="31">
        <f>IF(N($Y51)=0,"",INDEX(Register!$D$6:$D$305,$Y51))</f>
        <v/>
      </c>
      <c r="AA51" s="31">
        <f>IF(OR($Z51="Active",$Z51="Paused",$Z51="Completed",$Z51="Terminated"),1,0)</f>
        <v/>
      </c>
      <c r="AB51" s="31">
        <f>IF(AND($A51&lt;&gt;"",ISNUMBER($S51),OR($M51="",$M51="Accept"),$AA51=0),1,0)</f>
        <v/>
      </c>
      <c r="AC51" s="31">
        <f>IF($AB51=1,$S51+(1000-ROW())/100000,0)</f>
        <v/>
      </c>
      <c r="AD51" s="31">
        <f>IF(AND($AB51=1,ISNUMBER($F51)),$F51,0)</f>
        <v/>
      </c>
      <c r="AE51" s="31">
        <f>IF(AND($AB51=1,ISNUMBER($G51)),$G51,0)</f>
        <v/>
      </c>
      <c r="AF51" s="31">
        <f>IF($AB51=1,SUMPRODUCT(($AC$32:$AC$81&gt;=$AC51)*$AD$32:$AD$81),"")</f>
        <v/>
      </c>
      <c r="AG51" s="31">
        <f>IF($AB51=1,SUMPRODUCT(($AC$32:$AC$81&gt;=$AC51)*$AE$32:$AE$81),"")</f>
        <v/>
      </c>
      <c r="AH51" s="31">
        <f>IF($AB51=1,SUMPRODUCT(($AC$32:$AC$81&gt;=$AC51)*(1-ISNUMBER($F$32:$F$81))),"")</f>
        <v/>
      </c>
      <c r="AI51" s="31">
        <f>IF($AB51=1,SUMPRODUCT(($AC$32:$AC$81&gt;=$AC51)*(1-ISNUMBER($G$32:$G$81))),"")</f>
        <v/>
      </c>
      <c r="AJ51" s="31">
        <f>IF(AND($AB51=1,$M51="Accept",ISNUMBER($O51)),SUMPRODUCT(($AC$32:$AC$81&gt;$AC51)*ISNUMBER($C$32:$C$81)*($C$32:$C$81&lt;=$O51)*((($M$32:$M$81="")+ISNUMBER($O$32:$O$81)*($O$32:$O$81&gt;$O51))&gt;0)),0)</f>
        <v/>
      </c>
      <c r="AK51" s="31">
        <f>IF($Q51="",0,IFERROR(IF(INDEX(Register!$D$6:$D$305,MATCH(TRIM($Q51),Register!$A$6:$A$305,0))="Active",1,0),0))</f>
        <v/>
      </c>
      <c r="AL51" s="31">
        <f>IF(AND($A51&lt;&gt;"",ISNUMBER($S51)),IF($D51="",1,IF(COUNTIF(Portfolio!$A$47:$A$56,$D51)=0,1,0)),0)</f>
        <v/>
      </c>
      <c r="AM51" s="31">
        <f>IF(AND($A51&lt;&gt;"",$M51&lt;&gt;"",NOT(ISNUMBER($S51))),1,0)</f>
        <v/>
      </c>
      <c r="AN51" s="31">
        <f>IF(AND($AB51=1,$M51="Accept"),IF(OR(AND(ISNUMBER($B$16),NOT(ISNUMBER($F51))),AND(ISNUMBER($B$17),NOT(ISNUMBER($G51)))),2,IF(AND(OR($U51="Doesn't fit",$V51="Doesn't fit"),$AK51=0),1,0)),0)</f>
        <v/>
      </c>
      <c r="AO51" s="31">
        <f>IF(OR($A51="",$M51&lt;&gt;"Accept"),0,IF($Y51=0,IF(OR($R51&lt;&gt;"",IFERROR(TODAY()-$O51,9999)&gt;IF(ISNUMBER($B$20),$B$20,14)),1,0),IF(OR(TRIM(INDEX(Register!$E$6:$E$305,$Y51)&amp;"")&lt;&gt;TRIM($E51&amp;""),TRIM(INDEX(Register!$G$6:$G$305,$Y51)&amp;"")&lt;&gt;TRIM($D51&amp;"")),2,0)))</f>
        <v/>
      </c>
      <c r="AP51" s="31">
        <f>IF(OR($A51="",$M51=""),0,IF(AND($M51&lt;&gt;"Accept",$M51&lt;&gt;"Defer",$M51&lt;&gt;"Decline"),2,IF(OR($N51="",NOT(ISNUMBER($O51))),1,IF(AND($P51="",OR($M51="Defer",$M51="Decline",$AJ51&gt;0)),1,0))))</f>
        <v/>
      </c>
      <c r="AQ51" s="31">
        <f>$AL51+$AM51+IF($AN51&gt;0,1,0)+IF($AO51&gt;0,1,0)+IF($AP51&gt;0,1,0)</f>
        <v/>
      </c>
    </row>
    <row r="52">
      <c r="A52" s="29" t="n"/>
      <c r="B52" s="29" t="n"/>
      <c r="C52" s="14" t="n"/>
      <c r="D52" s="29" t="n"/>
      <c r="E52" s="29" t="n"/>
      <c r="F52" s="19" t="n"/>
      <c r="G52" s="19" t="n"/>
      <c r="H52" s="14" t="n"/>
      <c r="I52" s="48" t="n"/>
      <c r="J52" s="48" t="n"/>
      <c r="K52" s="48" t="n"/>
      <c r="L52" s="48" t="n"/>
      <c r="M52" s="29" t="n"/>
      <c r="N52" s="29" t="n"/>
      <c r="O52" s="14" t="n"/>
      <c r="P52" s="26" t="n"/>
      <c r="Q52" s="29" t="n"/>
      <c r="R52" s="29" t="n"/>
      <c r="S52" s="21">
        <f>IF(OR($A52="",$B$11&lt;=0),"",IF(AND(OR($AR$7=0,ISNUMBER($I52)),OR($AR$8=0,ISNUMBER($J52)),OR($AR$9=0,ISNUMBER($K52)),OR($AR$10=0,ISNUMBER($L52))),ROUND((N($I52)*$AR$7+N($J52)*$AR$8+N($K52)*$AR$9+N($L52)*$AR$10)*20/$B$11,0),""))</f>
        <v/>
      </c>
      <c r="T52" s="21">
        <f>IF($AB52=1,SUMPRODUCT(--($AC$32:$AC$81&gt;$AC52))+1,"")</f>
        <v/>
      </c>
      <c r="U52" s="31">
        <f>IF($AB52=0,"",IF(OR(NOT(ISNUMBER($B$16)),$AH52&gt;0),"Not read",IF($AF52&lt;=$B$16,"Fits","Doesn't fit")))</f>
        <v/>
      </c>
      <c r="V52" s="31">
        <f>IF($AB52=0,"",IF(OR(NOT(ISNUMBER($B$17)),$AI52&gt;0),"Not read",IF($AG52&lt;=$B$17,"Fits","Doesn't fit")))</f>
        <v/>
      </c>
      <c r="W52" s="21">
        <f>IF(OR($A52="",NOT(ISNUMBER($C52)),$M52&lt;&gt;""),"",MAX(0,TODAY()-$C52))</f>
        <v/>
      </c>
      <c r="X52" s="31">
        <f>IF($A52="","",IF($AQ52=0,"○ Clear",IF($AL52=1,"△ No objective from Portfolio",IF($AM52=1,"△ Decided without a score",IF($AO52=1,"△ Not on the Register under this name",IF($AO52=2,"△ Owner or objective differs from the Register",IF($AN52=2,"△ Accepted with no cost or effort",IF($AN52=1,"△ Doesn't fit, and nothing gives way",IF($AP52=2,"△ Decision isn't Accept, Defer or Decline","△ Decision missing who, when or why")))))))&amp;IF($AQ52&gt;1," (+"&amp;($AQ52-1)&amp;" more)","")))</f>
        <v/>
      </c>
      <c r="Y52" s="31">
        <f>IF($A52="","",IFERROR(MATCH(IF($R52&lt;&gt;"",TRIM($R52),TRIM($A52)),Register!$A$6:$A$305,0),0))</f>
        <v/>
      </c>
      <c r="Z52" s="31">
        <f>IF(N($Y52)=0,"",INDEX(Register!$D$6:$D$305,$Y52))</f>
        <v/>
      </c>
      <c r="AA52" s="31">
        <f>IF(OR($Z52="Active",$Z52="Paused",$Z52="Completed",$Z52="Terminated"),1,0)</f>
        <v/>
      </c>
      <c r="AB52" s="31">
        <f>IF(AND($A52&lt;&gt;"",ISNUMBER($S52),OR($M52="",$M52="Accept"),$AA52=0),1,0)</f>
        <v/>
      </c>
      <c r="AC52" s="31">
        <f>IF($AB52=1,$S52+(1000-ROW())/100000,0)</f>
        <v/>
      </c>
      <c r="AD52" s="31">
        <f>IF(AND($AB52=1,ISNUMBER($F52)),$F52,0)</f>
        <v/>
      </c>
      <c r="AE52" s="31">
        <f>IF(AND($AB52=1,ISNUMBER($G52)),$G52,0)</f>
        <v/>
      </c>
      <c r="AF52" s="31">
        <f>IF($AB52=1,SUMPRODUCT(($AC$32:$AC$81&gt;=$AC52)*$AD$32:$AD$81),"")</f>
        <v/>
      </c>
      <c r="AG52" s="31">
        <f>IF($AB52=1,SUMPRODUCT(($AC$32:$AC$81&gt;=$AC52)*$AE$32:$AE$81),"")</f>
        <v/>
      </c>
      <c r="AH52" s="31">
        <f>IF($AB52=1,SUMPRODUCT(($AC$32:$AC$81&gt;=$AC52)*(1-ISNUMBER($F$32:$F$81))),"")</f>
        <v/>
      </c>
      <c r="AI52" s="31">
        <f>IF($AB52=1,SUMPRODUCT(($AC$32:$AC$81&gt;=$AC52)*(1-ISNUMBER($G$32:$G$81))),"")</f>
        <v/>
      </c>
      <c r="AJ52" s="31">
        <f>IF(AND($AB52=1,$M52="Accept",ISNUMBER($O52)),SUMPRODUCT(($AC$32:$AC$81&gt;$AC52)*ISNUMBER($C$32:$C$81)*($C$32:$C$81&lt;=$O52)*((($M$32:$M$81="")+ISNUMBER($O$32:$O$81)*($O$32:$O$81&gt;$O52))&gt;0)),0)</f>
        <v/>
      </c>
      <c r="AK52" s="31">
        <f>IF($Q52="",0,IFERROR(IF(INDEX(Register!$D$6:$D$305,MATCH(TRIM($Q52),Register!$A$6:$A$305,0))="Active",1,0),0))</f>
        <v/>
      </c>
      <c r="AL52" s="31">
        <f>IF(AND($A52&lt;&gt;"",ISNUMBER($S52)),IF($D52="",1,IF(COUNTIF(Portfolio!$A$47:$A$56,$D52)=0,1,0)),0)</f>
        <v/>
      </c>
      <c r="AM52" s="31">
        <f>IF(AND($A52&lt;&gt;"",$M52&lt;&gt;"",NOT(ISNUMBER($S52))),1,0)</f>
        <v/>
      </c>
      <c r="AN52" s="31">
        <f>IF(AND($AB52=1,$M52="Accept"),IF(OR(AND(ISNUMBER($B$16),NOT(ISNUMBER($F52))),AND(ISNUMBER($B$17),NOT(ISNUMBER($G52)))),2,IF(AND(OR($U52="Doesn't fit",$V52="Doesn't fit"),$AK52=0),1,0)),0)</f>
        <v/>
      </c>
      <c r="AO52" s="31">
        <f>IF(OR($A52="",$M52&lt;&gt;"Accept"),0,IF($Y52=0,IF(OR($R52&lt;&gt;"",IFERROR(TODAY()-$O52,9999)&gt;IF(ISNUMBER($B$20),$B$20,14)),1,0),IF(OR(TRIM(INDEX(Register!$E$6:$E$305,$Y52)&amp;"")&lt;&gt;TRIM($E52&amp;""),TRIM(INDEX(Register!$G$6:$G$305,$Y52)&amp;"")&lt;&gt;TRIM($D52&amp;"")),2,0)))</f>
        <v/>
      </c>
      <c r="AP52" s="31">
        <f>IF(OR($A52="",$M52=""),0,IF(AND($M52&lt;&gt;"Accept",$M52&lt;&gt;"Defer",$M52&lt;&gt;"Decline"),2,IF(OR($N52="",NOT(ISNUMBER($O52))),1,IF(AND($P52="",OR($M52="Defer",$M52="Decline",$AJ52&gt;0)),1,0))))</f>
        <v/>
      </c>
      <c r="AQ52" s="31">
        <f>$AL52+$AM52+IF($AN52&gt;0,1,0)+IF($AO52&gt;0,1,0)+IF($AP52&gt;0,1,0)</f>
        <v/>
      </c>
    </row>
    <row r="53">
      <c r="A53" s="29" t="n"/>
      <c r="B53" s="29" t="n"/>
      <c r="C53" s="14" t="n"/>
      <c r="D53" s="29" t="n"/>
      <c r="E53" s="29" t="n"/>
      <c r="F53" s="19" t="n"/>
      <c r="G53" s="19" t="n"/>
      <c r="H53" s="14" t="n"/>
      <c r="I53" s="48" t="n"/>
      <c r="J53" s="48" t="n"/>
      <c r="K53" s="48" t="n"/>
      <c r="L53" s="48" t="n"/>
      <c r="M53" s="29" t="n"/>
      <c r="N53" s="29" t="n"/>
      <c r="O53" s="14" t="n"/>
      <c r="P53" s="26" t="n"/>
      <c r="Q53" s="29" t="n"/>
      <c r="R53" s="29" t="n"/>
      <c r="S53" s="21">
        <f>IF(OR($A53="",$B$11&lt;=0),"",IF(AND(OR($AR$7=0,ISNUMBER($I53)),OR($AR$8=0,ISNUMBER($J53)),OR($AR$9=0,ISNUMBER($K53)),OR($AR$10=0,ISNUMBER($L53))),ROUND((N($I53)*$AR$7+N($J53)*$AR$8+N($K53)*$AR$9+N($L53)*$AR$10)*20/$B$11,0),""))</f>
        <v/>
      </c>
      <c r="T53" s="21">
        <f>IF($AB53=1,SUMPRODUCT(--($AC$32:$AC$81&gt;$AC53))+1,"")</f>
        <v/>
      </c>
      <c r="U53" s="31">
        <f>IF($AB53=0,"",IF(OR(NOT(ISNUMBER($B$16)),$AH53&gt;0),"Not read",IF($AF53&lt;=$B$16,"Fits","Doesn't fit")))</f>
        <v/>
      </c>
      <c r="V53" s="31">
        <f>IF($AB53=0,"",IF(OR(NOT(ISNUMBER($B$17)),$AI53&gt;0),"Not read",IF($AG53&lt;=$B$17,"Fits","Doesn't fit")))</f>
        <v/>
      </c>
      <c r="W53" s="21">
        <f>IF(OR($A53="",NOT(ISNUMBER($C53)),$M53&lt;&gt;""),"",MAX(0,TODAY()-$C53))</f>
        <v/>
      </c>
      <c r="X53" s="31">
        <f>IF($A53="","",IF($AQ53=0,"○ Clear",IF($AL53=1,"△ No objective from Portfolio",IF($AM53=1,"△ Decided without a score",IF($AO53=1,"△ Not on the Register under this name",IF($AO53=2,"△ Owner or objective differs from the Register",IF($AN53=2,"△ Accepted with no cost or effort",IF($AN53=1,"△ Doesn't fit, and nothing gives way",IF($AP53=2,"△ Decision isn't Accept, Defer or Decline","△ Decision missing who, when or why")))))))&amp;IF($AQ53&gt;1," (+"&amp;($AQ53-1)&amp;" more)","")))</f>
        <v/>
      </c>
      <c r="Y53" s="31">
        <f>IF($A53="","",IFERROR(MATCH(IF($R53&lt;&gt;"",TRIM($R53),TRIM($A53)),Register!$A$6:$A$305,0),0))</f>
        <v/>
      </c>
      <c r="Z53" s="31">
        <f>IF(N($Y53)=0,"",INDEX(Register!$D$6:$D$305,$Y53))</f>
        <v/>
      </c>
      <c r="AA53" s="31">
        <f>IF(OR($Z53="Active",$Z53="Paused",$Z53="Completed",$Z53="Terminated"),1,0)</f>
        <v/>
      </c>
      <c r="AB53" s="31">
        <f>IF(AND($A53&lt;&gt;"",ISNUMBER($S53),OR($M53="",$M53="Accept"),$AA53=0),1,0)</f>
        <v/>
      </c>
      <c r="AC53" s="31">
        <f>IF($AB53=1,$S53+(1000-ROW())/100000,0)</f>
        <v/>
      </c>
      <c r="AD53" s="31">
        <f>IF(AND($AB53=1,ISNUMBER($F53)),$F53,0)</f>
        <v/>
      </c>
      <c r="AE53" s="31">
        <f>IF(AND($AB53=1,ISNUMBER($G53)),$G53,0)</f>
        <v/>
      </c>
      <c r="AF53" s="31">
        <f>IF($AB53=1,SUMPRODUCT(($AC$32:$AC$81&gt;=$AC53)*$AD$32:$AD$81),"")</f>
        <v/>
      </c>
      <c r="AG53" s="31">
        <f>IF($AB53=1,SUMPRODUCT(($AC$32:$AC$81&gt;=$AC53)*$AE$32:$AE$81),"")</f>
        <v/>
      </c>
      <c r="AH53" s="31">
        <f>IF($AB53=1,SUMPRODUCT(($AC$32:$AC$81&gt;=$AC53)*(1-ISNUMBER($F$32:$F$81))),"")</f>
        <v/>
      </c>
      <c r="AI53" s="31">
        <f>IF($AB53=1,SUMPRODUCT(($AC$32:$AC$81&gt;=$AC53)*(1-ISNUMBER($G$32:$G$81))),"")</f>
        <v/>
      </c>
      <c r="AJ53" s="31">
        <f>IF(AND($AB53=1,$M53="Accept",ISNUMBER($O53)),SUMPRODUCT(($AC$32:$AC$81&gt;$AC53)*ISNUMBER($C$32:$C$81)*($C$32:$C$81&lt;=$O53)*((($M$32:$M$81="")+ISNUMBER($O$32:$O$81)*($O$32:$O$81&gt;$O53))&gt;0)),0)</f>
        <v/>
      </c>
      <c r="AK53" s="31">
        <f>IF($Q53="",0,IFERROR(IF(INDEX(Register!$D$6:$D$305,MATCH(TRIM($Q53),Register!$A$6:$A$305,0))="Active",1,0),0))</f>
        <v/>
      </c>
      <c r="AL53" s="31">
        <f>IF(AND($A53&lt;&gt;"",ISNUMBER($S53)),IF($D53="",1,IF(COUNTIF(Portfolio!$A$47:$A$56,$D53)=0,1,0)),0)</f>
        <v/>
      </c>
      <c r="AM53" s="31">
        <f>IF(AND($A53&lt;&gt;"",$M53&lt;&gt;"",NOT(ISNUMBER($S53))),1,0)</f>
        <v/>
      </c>
      <c r="AN53" s="31">
        <f>IF(AND($AB53=1,$M53="Accept"),IF(OR(AND(ISNUMBER($B$16),NOT(ISNUMBER($F53))),AND(ISNUMBER($B$17),NOT(ISNUMBER($G53)))),2,IF(AND(OR($U53="Doesn't fit",$V53="Doesn't fit"),$AK53=0),1,0)),0)</f>
        <v/>
      </c>
      <c r="AO53" s="31">
        <f>IF(OR($A53="",$M53&lt;&gt;"Accept"),0,IF($Y53=0,IF(OR($R53&lt;&gt;"",IFERROR(TODAY()-$O53,9999)&gt;IF(ISNUMBER($B$20),$B$20,14)),1,0),IF(OR(TRIM(INDEX(Register!$E$6:$E$305,$Y53)&amp;"")&lt;&gt;TRIM($E53&amp;""),TRIM(INDEX(Register!$G$6:$G$305,$Y53)&amp;"")&lt;&gt;TRIM($D53&amp;"")),2,0)))</f>
        <v/>
      </c>
      <c r="AP53" s="31">
        <f>IF(OR($A53="",$M53=""),0,IF(AND($M53&lt;&gt;"Accept",$M53&lt;&gt;"Defer",$M53&lt;&gt;"Decline"),2,IF(OR($N53="",NOT(ISNUMBER($O53))),1,IF(AND($P53="",OR($M53="Defer",$M53="Decline",$AJ53&gt;0)),1,0))))</f>
        <v/>
      </c>
      <c r="AQ53" s="31">
        <f>$AL53+$AM53+IF($AN53&gt;0,1,0)+IF($AO53&gt;0,1,0)+IF($AP53&gt;0,1,0)</f>
        <v/>
      </c>
    </row>
    <row r="54">
      <c r="A54" s="29" t="n"/>
      <c r="B54" s="29" t="n"/>
      <c r="C54" s="14" t="n"/>
      <c r="D54" s="29" t="n"/>
      <c r="E54" s="29" t="n"/>
      <c r="F54" s="19" t="n"/>
      <c r="G54" s="19" t="n"/>
      <c r="H54" s="14" t="n"/>
      <c r="I54" s="48" t="n"/>
      <c r="J54" s="48" t="n"/>
      <c r="K54" s="48" t="n"/>
      <c r="L54" s="48" t="n"/>
      <c r="M54" s="29" t="n"/>
      <c r="N54" s="29" t="n"/>
      <c r="O54" s="14" t="n"/>
      <c r="P54" s="26" t="n"/>
      <c r="Q54" s="29" t="n"/>
      <c r="R54" s="29" t="n"/>
      <c r="S54" s="21">
        <f>IF(OR($A54="",$B$11&lt;=0),"",IF(AND(OR($AR$7=0,ISNUMBER($I54)),OR($AR$8=0,ISNUMBER($J54)),OR($AR$9=0,ISNUMBER($K54)),OR($AR$10=0,ISNUMBER($L54))),ROUND((N($I54)*$AR$7+N($J54)*$AR$8+N($K54)*$AR$9+N($L54)*$AR$10)*20/$B$11,0),""))</f>
        <v/>
      </c>
      <c r="T54" s="21">
        <f>IF($AB54=1,SUMPRODUCT(--($AC$32:$AC$81&gt;$AC54))+1,"")</f>
        <v/>
      </c>
      <c r="U54" s="31">
        <f>IF($AB54=0,"",IF(OR(NOT(ISNUMBER($B$16)),$AH54&gt;0),"Not read",IF($AF54&lt;=$B$16,"Fits","Doesn't fit")))</f>
        <v/>
      </c>
      <c r="V54" s="31">
        <f>IF($AB54=0,"",IF(OR(NOT(ISNUMBER($B$17)),$AI54&gt;0),"Not read",IF($AG54&lt;=$B$17,"Fits","Doesn't fit")))</f>
        <v/>
      </c>
      <c r="W54" s="21">
        <f>IF(OR($A54="",NOT(ISNUMBER($C54)),$M54&lt;&gt;""),"",MAX(0,TODAY()-$C54))</f>
        <v/>
      </c>
      <c r="X54" s="31">
        <f>IF($A54="","",IF($AQ54=0,"○ Clear",IF($AL54=1,"△ No objective from Portfolio",IF($AM54=1,"△ Decided without a score",IF($AO54=1,"△ Not on the Register under this name",IF($AO54=2,"△ Owner or objective differs from the Register",IF($AN54=2,"△ Accepted with no cost or effort",IF($AN54=1,"△ Doesn't fit, and nothing gives way",IF($AP54=2,"△ Decision isn't Accept, Defer or Decline","△ Decision missing who, when or why")))))))&amp;IF($AQ54&gt;1," (+"&amp;($AQ54-1)&amp;" more)","")))</f>
        <v/>
      </c>
      <c r="Y54" s="31">
        <f>IF($A54="","",IFERROR(MATCH(IF($R54&lt;&gt;"",TRIM($R54),TRIM($A54)),Register!$A$6:$A$305,0),0))</f>
        <v/>
      </c>
      <c r="Z54" s="31">
        <f>IF(N($Y54)=0,"",INDEX(Register!$D$6:$D$305,$Y54))</f>
        <v/>
      </c>
      <c r="AA54" s="31">
        <f>IF(OR($Z54="Active",$Z54="Paused",$Z54="Completed",$Z54="Terminated"),1,0)</f>
        <v/>
      </c>
      <c r="AB54" s="31">
        <f>IF(AND($A54&lt;&gt;"",ISNUMBER($S54),OR($M54="",$M54="Accept"),$AA54=0),1,0)</f>
        <v/>
      </c>
      <c r="AC54" s="31">
        <f>IF($AB54=1,$S54+(1000-ROW())/100000,0)</f>
        <v/>
      </c>
      <c r="AD54" s="31">
        <f>IF(AND($AB54=1,ISNUMBER($F54)),$F54,0)</f>
        <v/>
      </c>
      <c r="AE54" s="31">
        <f>IF(AND($AB54=1,ISNUMBER($G54)),$G54,0)</f>
        <v/>
      </c>
      <c r="AF54" s="31">
        <f>IF($AB54=1,SUMPRODUCT(($AC$32:$AC$81&gt;=$AC54)*$AD$32:$AD$81),"")</f>
        <v/>
      </c>
      <c r="AG54" s="31">
        <f>IF($AB54=1,SUMPRODUCT(($AC$32:$AC$81&gt;=$AC54)*$AE$32:$AE$81),"")</f>
        <v/>
      </c>
      <c r="AH54" s="31">
        <f>IF($AB54=1,SUMPRODUCT(($AC$32:$AC$81&gt;=$AC54)*(1-ISNUMBER($F$32:$F$81))),"")</f>
        <v/>
      </c>
      <c r="AI54" s="31">
        <f>IF($AB54=1,SUMPRODUCT(($AC$32:$AC$81&gt;=$AC54)*(1-ISNUMBER($G$32:$G$81))),"")</f>
        <v/>
      </c>
      <c r="AJ54" s="31">
        <f>IF(AND($AB54=1,$M54="Accept",ISNUMBER($O54)),SUMPRODUCT(($AC$32:$AC$81&gt;$AC54)*ISNUMBER($C$32:$C$81)*($C$32:$C$81&lt;=$O54)*((($M$32:$M$81="")+ISNUMBER($O$32:$O$81)*($O$32:$O$81&gt;$O54))&gt;0)),0)</f>
        <v/>
      </c>
      <c r="AK54" s="31">
        <f>IF($Q54="",0,IFERROR(IF(INDEX(Register!$D$6:$D$305,MATCH(TRIM($Q54),Register!$A$6:$A$305,0))="Active",1,0),0))</f>
        <v/>
      </c>
      <c r="AL54" s="31">
        <f>IF(AND($A54&lt;&gt;"",ISNUMBER($S54)),IF($D54="",1,IF(COUNTIF(Portfolio!$A$47:$A$56,$D54)=0,1,0)),0)</f>
        <v/>
      </c>
      <c r="AM54" s="31">
        <f>IF(AND($A54&lt;&gt;"",$M54&lt;&gt;"",NOT(ISNUMBER($S54))),1,0)</f>
        <v/>
      </c>
      <c r="AN54" s="31">
        <f>IF(AND($AB54=1,$M54="Accept"),IF(OR(AND(ISNUMBER($B$16),NOT(ISNUMBER($F54))),AND(ISNUMBER($B$17),NOT(ISNUMBER($G54)))),2,IF(AND(OR($U54="Doesn't fit",$V54="Doesn't fit"),$AK54=0),1,0)),0)</f>
        <v/>
      </c>
      <c r="AO54" s="31">
        <f>IF(OR($A54="",$M54&lt;&gt;"Accept"),0,IF($Y54=0,IF(OR($R54&lt;&gt;"",IFERROR(TODAY()-$O54,9999)&gt;IF(ISNUMBER($B$20),$B$20,14)),1,0),IF(OR(TRIM(INDEX(Register!$E$6:$E$305,$Y54)&amp;"")&lt;&gt;TRIM($E54&amp;""),TRIM(INDEX(Register!$G$6:$G$305,$Y54)&amp;"")&lt;&gt;TRIM($D54&amp;"")),2,0)))</f>
        <v/>
      </c>
      <c r="AP54" s="31">
        <f>IF(OR($A54="",$M54=""),0,IF(AND($M54&lt;&gt;"Accept",$M54&lt;&gt;"Defer",$M54&lt;&gt;"Decline"),2,IF(OR($N54="",NOT(ISNUMBER($O54))),1,IF(AND($P54="",OR($M54="Defer",$M54="Decline",$AJ54&gt;0)),1,0))))</f>
        <v/>
      </c>
      <c r="AQ54" s="31">
        <f>$AL54+$AM54+IF($AN54&gt;0,1,0)+IF($AO54&gt;0,1,0)+IF($AP54&gt;0,1,0)</f>
        <v/>
      </c>
    </row>
    <row r="55">
      <c r="A55" s="29" t="n"/>
      <c r="B55" s="29" t="n"/>
      <c r="C55" s="14" t="n"/>
      <c r="D55" s="29" t="n"/>
      <c r="E55" s="29" t="n"/>
      <c r="F55" s="19" t="n"/>
      <c r="G55" s="19" t="n"/>
      <c r="H55" s="14" t="n"/>
      <c r="I55" s="48" t="n"/>
      <c r="J55" s="48" t="n"/>
      <c r="K55" s="48" t="n"/>
      <c r="L55" s="48" t="n"/>
      <c r="M55" s="29" t="n"/>
      <c r="N55" s="29" t="n"/>
      <c r="O55" s="14" t="n"/>
      <c r="P55" s="26" t="n"/>
      <c r="Q55" s="29" t="n"/>
      <c r="R55" s="29" t="n"/>
      <c r="S55" s="21">
        <f>IF(OR($A55="",$B$11&lt;=0),"",IF(AND(OR($AR$7=0,ISNUMBER($I55)),OR($AR$8=0,ISNUMBER($J55)),OR($AR$9=0,ISNUMBER($K55)),OR($AR$10=0,ISNUMBER($L55))),ROUND((N($I55)*$AR$7+N($J55)*$AR$8+N($K55)*$AR$9+N($L55)*$AR$10)*20/$B$11,0),""))</f>
        <v/>
      </c>
      <c r="T55" s="21">
        <f>IF($AB55=1,SUMPRODUCT(--($AC$32:$AC$81&gt;$AC55))+1,"")</f>
        <v/>
      </c>
      <c r="U55" s="31">
        <f>IF($AB55=0,"",IF(OR(NOT(ISNUMBER($B$16)),$AH55&gt;0),"Not read",IF($AF55&lt;=$B$16,"Fits","Doesn't fit")))</f>
        <v/>
      </c>
      <c r="V55" s="31">
        <f>IF($AB55=0,"",IF(OR(NOT(ISNUMBER($B$17)),$AI55&gt;0),"Not read",IF($AG55&lt;=$B$17,"Fits","Doesn't fit")))</f>
        <v/>
      </c>
      <c r="W55" s="21">
        <f>IF(OR($A55="",NOT(ISNUMBER($C55)),$M55&lt;&gt;""),"",MAX(0,TODAY()-$C55))</f>
        <v/>
      </c>
      <c r="X55" s="31">
        <f>IF($A55="","",IF($AQ55=0,"○ Clear",IF($AL55=1,"△ No objective from Portfolio",IF($AM55=1,"△ Decided without a score",IF($AO55=1,"△ Not on the Register under this name",IF($AO55=2,"△ Owner or objective differs from the Register",IF($AN55=2,"△ Accepted with no cost or effort",IF($AN55=1,"△ Doesn't fit, and nothing gives way",IF($AP55=2,"△ Decision isn't Accept, Defer or Decline","△ Decision missing who, when or why")))))))&amp;IF($AQ55&gt;1," (+"&amp;($AQ55-1)&amp;" more)","")))</f>
        <v/>
      </c>
      <c r="Y55" s="31">
        <f>IF($A55="","",IFERROR(MATCH(IF($R55&lt;&gt;"",TRIM($R55),TRIM($A55)),Register!$A$6:$A$305,0),0))</f>
        <v/>
      </c>
      <c r="Z55" s="31">
        <f>IF(N($Y55)=0,"",INDEX(Register!$D$6:$D$305,$Y55))</f>
        <v/>
      </c>
      <c r="AA55" s="31">
        <f>IF(OR($Z55="Active",$Z55="Paused",$Z55="Completed",$Z55="Terminated"),1,0)</f>
        <v/>
      </c>
      <c r="AB55" s="31">
        <f>IF(AND($A55&lt;&gt;"",ISNUMBER($S55),OR($M55="",$M55="Accept"),$AA55=0),1,0)</f>
        <v/>
      </c>
      <c r="AC55" s="31">
        <f>IF($AB55=1,$S55+(1000-ROW())/100000,0)</f>
        <v/>
      </c>
      <c r="AD55" s="31">
        <f>IF(AND($AB55=1,ISNUMBER($F55)),$F55,0)</f>
        <v/>
      </c>
      <c r="AE55" s="31">
        <f>IF(AND($AB55=1,ISNUMBER($G55)),$G55,0)</f>
        <v/>
      </c>
      <c r="AF55" s="31">
        <f>IF($AB55=1,SUMPRODUCT(($AC$32:$AC$81&gt;=$AC55)*$AD$32:$AD$81),"")</f>
        <v/>
      </c>
      <c r="AG55" s="31">
        <f>IF($AB55=1,SUMPRODUCT(($AC$32:$AC$81&gt;=$AC55)*$AE$32:$AE$81),"")</f>
        <v/>
      </c>
      <c r="AH55" s="31">
        <f>IF($AB55=1,SUMPRODUCT(($AC$32:$AC$81&gt;=$AC55)*(1-ISNUMBER($F$32:$F$81))),"")</f>
        <v/>
      </c>
      <c r="AI55" s="31">
        <f>IF($AB55=1,SUMPRODUCT(($AC$32:$AC$81&gt;=$AC55)*(1-ISNUMBER($G$32:$G$81))),"")</f>
        <v/>
      </c>
      <c r="AJ55" s="31">
        <f>IF(AND($AB55=1,$M55="Accept",ISNUMBER($O55)),SUMPRODUCT(($AC$32:$AC$81&gt;$AC55)*ISNUMBER($C$32:$C$81)*($C$32:$C$81&lt;=$O55)*((($M$32:$M$81="")+ISNUMBER($O$32:$O$81)*($O$32:$O$81&gt;$O55))&gt;0)),0)</f>
        <v/>
      </c>
      <c r="AK55" s="31">
        <f>IF($Q55="",0,IFERROR(IF(INDEX(Register!$D$6:$D$305,MATCH(TRIM($Q55),Register!$A$6:$A$305,0))="Active",1,0),0))</f>
        <v/>
      </c>
      <c r="AL55" s="31">
        <f>IF(AND($A55&lt;&gt;"",ISNUMBER($S55)),IF($D55="",1,IF(COUNTIF(Portfolio!$A$47:$A$56,$D55)=0,1,0)),0)</f>
        <v/>
      </c>
      <c r="AM55" s="31">
        <f>IF(AND($A55&lt;&gt;"",$M55&lt;&gt;"",NOT(ISNUMBER($S55))),1,0)</f>
        <v/>
      </c>
      <c r="AN55" s="31">
        <f>IF(AND($AB55=1,$M55="Accept"),IF(OR(AND(ISNUMBER($B$16),NOT(ISNUMBER($F55))),AND(ISNUMBER($B$17),NOT(ISNUMBER($G55)))),2,IF(AND(OR($U55="Doesn't fit",$V55="Doesn't fit"),$AK55=0),1,0)),0)</f>
        <v/>
      </c>
      <c r="AO55" s="31">
        <f>IF(OR($A55="",$M55&lt;&gt;"Accept"),0,IF($Y55=0,IF(OR($R55&lt;&gt;"",IFERROR(TODAY()-$O55,9999)&gt;IF(ISNUMBER($B$20),$B$20,14)),1,0),IF(OR(TRIM(INDEX(Register!$E$6:$E$305,$Y55)&amp;"")&lt;&gt;TRIM($E55&amp;""),TRIM(INDEX(Register!$G$6:$G$305,$Y55)&amp;"")&lt;&gt;TRIM($D55&amp;"")),2,0)))</f>
        <v/>
      </c>
      <c r="AP55" s="31">
        <f>IF(OR($A55="",$M55=""),0,IF(AND($M55&lt;&gt;"Accept",$M55&lt;&gt;"Defer",$M55&lt;&gt;"Decline"),2,IF(OR($N55="",NOT(ISNUMBER($O55))),1,IF(AND($P55="",OR($M55="Defer",$M55="Decline",$AJ55&gt;0)),1,0))))</f>
        <v/>
      </c>
      <c r="AQ55" s="31">
        <f>$AL55+$AM55+IF($AN55&gt;0,1,0)+IF($AO55&gt;0,1,0)+IF($AP55&gt;0,1,0)</f>
        <v/>
      </c>
    </row>
    <row r="56">
      <c r="A56" s="29" t="n"/>
      <c r="B56" s="29" t="n"/>
      <c r="C56" s="14" t="n"/>
      <c r="D56" s="29" t="n"/>
      <c r="E56" s="29" t="n"/>
      <c r="F56" s="19" t="n"/>
      <c r="G56" s="19" t="n"/>
      <c r="H56" s="14" t="n"/>
      <c r="I56" s="48" t="n"/>
      <c r="J56" s="48" t="n"/>
      <c r="K56" s="48" t="n"/>
      <c r="L56" s="48" t="n"/>
      <c r="M56" s="29" t="n"/>
      <c r="N56" s="29" t="n"/>
      <c r="O56" s="14" t="n"/>
      <c r="P56" s="26" t="n"/>
      <c r="Q56" s="29" t="n"/>
      <c r="R56" s="29" t="n"/>
      <c r="S56" s="21">
        <f>IF(OR($A56="",$B$11&lt;=0),"",IF(AND(OR($AR$7=0,ISNUMBER($I56)),OR($AR$8=0,ISNUMBER($J56)),OR($AR$9=0,ISNUMBER($K56)),OR($AR$10=0,ISNUMBER($L56))),ROUND((N($I56)*$AR$7+N($J56)*$AR$8+N($K56)*$AR$9+N($L56)*$AR$10)*20/$B$11,0),""))</f>
        <v/>
      </c>
      <c r="T56" s="21">
        <f>IF($AB56=1,SUMPRODUCT(--($AC$32:$AC$81&gt;$AC56))+1,"")</f>
        <v/>
      </c>
      <c r="U56" s="31">
        <f>IF($AB56=0,"",IF(OR(NOT(ISNUMBER($B$16)),$AH56&gt;0),"Not read",IF($AF56&lt;=$B$16,"Fits","Doesn't fit")))</f>
        <v/>
      </c>
      <c r="V56" s="31">
        <f>IF($AB56=0,"",IF(OR(NOT(ISNUMBER($B$17)),$AI56&gt;0),"Not read",IF($AG56&lt;=$B$17,"Fits","Doesn't fit")))</f>
        <v/>
      </c>
      <c r="W56" s="21">
        <f>IF(OR($A56="",NOT(ISNUMBER($C56)),$M56&lt;&gt;""),"",MAX(0,TODAY()-$C56))</f>
        <v/>
      </c>
      <c r="X56" s="31">
        <f>IF($A56="","",IF($AQ56=0,"○ Clear",IF($AL56=1,"△ No objective from Portfolio",IF($AM56=1,"△ Decided without a score",IF($AO56=1,"△ Not on the Register under this name",IF($AO56=2,"△ Owner or objective differs from the Register",IF($AN56=2,"△ Accepted with no cost or effort",IF($AN56=1,"△ Doesn't fit, and nothing gives way",IF($AP56=2,"△ Decision isn't Accept, Defer or Decline","△ Decision missing who, when or why")))))))&amp;IF($AQ56&gt;1," (+"&amp;($AQ56-1)&amp;" more)","")))</f>
        <v/>
      </c>
      <c r="Y56" s="31">
        <f>IF($A56="","",IFERROR(MATCH(IF($R56&lt;&gt;"",TRIM($R56),TRIM($A56)),Register!$A$6:$A$305,0),0))</f>
        <v/>
      </c>
      <c r="Z56" s="31">
        <f>IF(N($Y56)=0,"",INDEX(Register!$D$6:$D$305,$Y56))</f>
        <v/>
      </c>
      <c r="AA56" s="31">
        <f>IF(OR($Z56="Active",$Z56="Paused",$Z56="Completed",$Z56="Terminated"),1,0)</f>
        <v/>
      </c>
      <c r="AB56" s="31">
        <f>IF(AND($A56&lt;&gt;"",ISNUMBER($S56),OR($M56="",$M56="Accept"),$AA56=0),1,0)</f>
        <v/>
      </c>
      <c r="AC56" s="31">
        <f>IF($AB56=1,$S56+(1000-ROW())/100000,0)</f>
        <v/>
      </c>
      <c r="AD56" s="31">
        <f>IF(AND($AB56=1,ISNUMBER($F56)),$F56,0)</f>
        <v/>
      </c>
      <c r="AE56" s="31">
        <f>IF(AND($AB56=1,ISNUMBER($G56)),$G56,0)</f>
        <v/>
      </c>
      <c r="AF56" s="31">
        <f>IF($AB56=1,SUMPRODUCT(($AC$32:$AC$81&gt;=$AC56)*$AD$32:$AD$81),"")</f>
        <v/>
      </c>
      <c r="AG56" s="31">
        <f>IF($AB56=1,SUMPRODUCT(($AC$32:$AC$81&gt;=$AC56)*$AE$32:$AE$81),"")</f>
        <v/>
      </c>
      <c r="AH56" s="31">
        <f>IF($AB56=1,SUMPRODUCT(($AC$32:$AC$81&gt;=$AC56)*(1-ISNUMBER($F$32:$F$81))),"")</f>
        <v/>
      </c>
      <c r="AI56" s="31">
        <f>IF($AB56=1,SUMPRODUCT(($AC$32:$AC$81&gt;=$AC56)*(1-ISNUMBER($G$32:$G$81))),"")</f>
        <v/>
      </c>
      <c r="AJ56" s="31">
        <f>IF(AND($AB56=1,$M56="Accept",ISNUMBER($O56)),SUMPRODUCT(($AC$32:$AC$81&gt;$AC56)*ISNUMBER($C$32:$C$81)*($C$32:$C$81&lt;=$O56)*((($M$32:$M$81="")+ISNUMBER($O$32:$O$81)*($O$32:$O$81&gt;$O56))&gt;0)),0)</f>
        <v/>
      </c>
      <c r="AK56" s="31">
        <f>IF($Q56="",0,IFERROR(IF(INDEX(Register!$D$6:$D$305,MATCH(TRIM($Q56),Register!$A$6:$A$305,0))="Active",1,0),0))</f>
        <v/>
      </c>
      <c r="AL56" s="31">
        <f>IF(AND($A56&lt;&gt;"",ISNUMBER($S56)),IF($D56="",1,IF(COUNTIF(Portfolio!$A$47:$A$56,$D56)=0,1,0)),0)</f>
        <v/>
      </c>
      <c r="AM56" s="31">
        <f>IF(AND($A56&lt;&gt;"",$M56&lt;&gt;"",NOT(ISNUMBER($S56))),1,0)</f>
        <v/>
      </c>
      <c r="AN56" s="31">
        <f>IF(AND($AB56=1,$M56="Accept"),IF(OR(AND(ISNUMBER($B$16),NOT(ISNUMBER($F56))),AND(ISNUMBER($B$17),NOT(ISNUMBER($G56)))),2,IF(AND(OR($U56="Doesn't fit",$V56="Doesn't fit"),$AK56=0),1,0)),0)</f>
        <v/>
      </c>
      <c r="AO56" s="31">
        <f>IF(OR($A56="",$M56&lt;&gt;"Accept"),0,IF($Y56=0,IF(OR($R56&lt;&gt;"",IFERROR(TODAY()-$O56,9999)&gt;IF(ISNUMBER($B$20),$B$20,14)),1,0),IF(OR(TRIM(INDEX(Register!$E$6:$E$305,$Y56)&amp;"")&lt;&gt;TRIM($E56&amp;""),TRIM(INDEX(Register!$G$6:$G$305,$Y56)&amp;"")&lt;&gt;TRIM($D56&amp;"")),2,0)))</f>
        <v/>
      </c>
      <c r="AP56" s="31">
        <f>IF(OR($A56="",$M56=""),0,IF(AND($M56&lt;&gt;"Accept",$M56&lt;&gt;"Defer",$M56&lt;&gt;"Decline"),2,IF(OR($N56="",NOT(ISNUMBER($O56))),1,IF(AND($P56="",OR($M56="Defer",$M56="Decline",$AJ56&gt;0)),1,0))))</f>
        <v/>
      </c>
      <c r="AQ56" s="31">
        <f>$AL56+$AM56+IF($AN56&gt;0,1,0)+IF($AO56&gt;0,1,0)+IF($AP56&gt;0,1,0)</f>
        <v/>
      </c>
    </row>
    <row r="57">
      <c r="A57" s="29" t="n"/>
      <c r="B57" s="29" t="n"/>
      <c r="C57" s="14" t="n"/>
      <c r="D57" s="29" t="n"/>
      <c r="E57" s="29" t="n"/>
      <c r="F57" s="19" t="n"/>
      <c r="G57" s="19" t="n"/>
      <c r="H57" s="14" t="n"/>
      <c r="I57" s="48" t="n"/>
      <c r="J57" s="48" t="n"/>
      <c r="K57" s="48" t="n"/>
      <c r="L57" s="48" t="n"/>
      <c r="M57" s="29" t="n"/>
      <c r="N57" s="29" t="n"/>
      <c r="O57" s="14" t="n"/>
      <c r="P57" s="26" t="n"/>
      <c r="Q57" s="29" t="n"/>
      <c r="R57" s="29" t="n"/>
      <c r="S57" s="21">
        <f>IF(OR($A57="",$B$11&lt;=0),"",IF(AND(OR($AR$7=0,ISNUMBER($I57)),OR($AR$8=0,ISNUMBER($J57)),OR($AR$9=0,ISNUMBER($K57)),OR($AR$10=0,ISNUMBER($L57))),ROUND((N($I57)*$AR$7+N($J57)*$AR$8+N($K57)*$AR$9+N($L57)*$AR$10)*20/$B$11,0),""))</f>
        <v/>
      </c>
      <c r="T57" s="21">
        <f>IF($AB57=1,SUMPRODUCT(--($AC$32:$AC$81&gt;$AC57))+1,"")</f>
        <v/>
      </c>
      <c r="U57" s="31">
        <f>IF($AB57=0,"",IF(OR(NOT(ISNUMBER($B$16)),$AH57&gt;0),"Not read",IF($AF57&lt;=$B$16,"Fits","Doesn't fit")))</f>
        <v/>
      </c>
      <c r="V57" s="31">
        <f>IF($AB57=0,"",IF(OR(NOT(ISNUMBER($B$17)),$AI57&gt;0),"Not read",IF($AG57&lt;=$B$17,"Fits","Doesn't fit")))</f>
        <v/>
      </c>
      <c r="W57" s="21">
        <f>IF(OR($A57="",NOT(ISNUMBER($C57)),$M57&lt;&gt;""),"",MAX(0,TODAY()-$C57))</f>
        <v/>
      </c>
      <c r="X57" s="31">
        <f>IF($A57="","",IF($AQ57=0,"○ Clear",IF($AL57=1,"△ No objective from Portfolio",IF($AM57=1,"△ Decided without a score",IF($AO57=1,"△ Not on the Register under this name",IF($AO57=2,"△ Owner or objective differs from the Register",IF($AN57=2,"△ Accepted with no cost or effort",IF($AN57=1,"△ Doesn't fit, and nothing gives way",IF($AP57=2,"△ Decision isn't Accept, Defer or Decline","△ Decision missing who, when or why")))))))&amp;IF($AQ57&gt;1," (+"&amp;($AQ57-1)&amp;" more)","")))</f>
        <v/>
      </c>
      <c r="Y57" s="31">
        <f>IF($A57="","",IFERROR(MATCH(IF($R57&lt;&gt;"",TRIM($R57),TRIM($A57)),Register!$A$6:$A$305,0),0))</f>
        <v/>
      </c>
      <c r="Z57" s="31">
        <f>IF(N($Y57)=0,"",INDEX(Register!$D$6:$D$305,$Y57))</f>
        <v/>
      </c>
      <c r="AA57" s="31">
        <f>IF(OR($Z57="Active",$Z57="Paused",$Z57="Completed",$Z57="Terminated"),1,0)</f>
        <v/>
      </c>
      <c r="AB57" s="31">
        <f>IF(AND($A57&lt;&gt;"",ISNUMBER($S57),OR($M57="",$M57="Accept"),$AA57=0),1,0)</f>
        <v/>
      </c>
      <c r="AC57" s="31">
        <f>IF($AB57=1,$S57+(1000-ROW())/100000,0)</f>
        <v/>
      </c>
      <c r="AD57" s="31">
        <f>IF(AND($AB57=1,ISNUMBER($F57)),$F57,0)</f>
        <v/>
      </c>
      <c r="AE57" s="31">
        <f>IF(AND($AB57=1,ISNUMBER($G57)),$G57,0)</f>
        <v/>
      </c>
      <c r="AF57" s="31">
        <f>IF($AB57=1,SUMPRODUCT(($AC$32:$AC$81&gt;=$AC57)*$AD$32:$AD$81),"")</f>
        <v/>
      </c>
      <c r="AG57" s="31">
        <f>IF($AB57=1,SUMPRODUCT(($AC$32:$AC$81&gt;=$AC57)*$AE$32:$AE$81),"")</f>
        <v/>
      </c>
      <c r="AH57" s="31">
        <f>IF($AB57=1,SUMPRODUCT(($AC$32:$AC$81&gt;=$AC57)*(1-ISNUMBER($F$32:$F$81))),"")</f>
        <v/>
      </c>
      <c r="AI57" s="31">
        <f>IF($AB57=1,SUMPRODUCT(($AC$32:$AC$81&gt;=$AC57)*(1-ISNUMBER($G$32:$G$81))),"")</f>
        <v/>
      </c>
      <c r="AJ57" s="31">
        <f>IF(AND($AB57=1,$M57="Accept",ISNUMBER($O57)),SUMPRODUCT(($AC$32:$AC$81&gt;$AC57)*ISNUMBER($C$32:$C$81)*($C$32:$C$81&lt;=$O57)*((($M$32:$M$81="")+ISNUMBER($O$32:$O$81)*($O$32:$O$81&gt;$O57))&gt;0)),0)</f>
        <v/>
      </c>
      <c r="AK57" s="31">
        <f>IF($Q57="",0,IFERROR(IF(INDEX(Register!$D$6:$D$305,MATCH(TRIM($Q57),Register!$A$6:$A$305,0))="Active",1,0),0))</f>
        <v/>
      </c>
      <c r="AL57" s="31">
        <f>IF(AND($A57&lt;&gt;"",ISNUMBER($S57)),IF($D57="",1,IF(COUNTIF(Portfolio!$A$47:$A$56,$D57)=0,1,0)),0)</f>
        <v/>
      </c>
      <c r="AM57" s="31">
        <f>IF(AND($A57&lt;&gt;"",$M57&lt;&gt;"",NOT(ISNUMBER($S57))),1,0)</f>
        <v/>
      </c>
      <c r="AN57" s="31">
        <f>IF(AND($AB57=1,$M57="Accept"),IF(OR(AND(ISNUMBER($B$16),NOT(ISNUMBER($F57))),AND(ISNUMBER($B$17),NOT(ISNUMBER($G57)))),2,IF(AND(OR($U57="Doesn't fit",$V57="Doesn't fit"),$AK57=0),1,0)),0)</f>
        <v/>
      </c>
      <c r="AO57" s="31">
        <f>IF(OR($A57="",$M57&lt;&gt;"Accept"),0,IF($Y57=0,IF(OR($R57&lt;&gt;"",IFERROR(TODAY()-$O57,9999)&gt;IF(ISNUMBER($B$20),$B$20,14)),1,0),IF(OR(TRIM(INDEX(Register!$E$6:$E$305,$Y57)&amp;"")&lt;&gt;TRIM($E57&amp;""),TRIM(INDEX(Register!$G$6:$G$305,$Y57)&amp;"")&lt;&gt;TRIM($D57&amp;"")),2,0)))</f>
        <v/>
      </c>
      <c r="AP57" s="31">
        <f>IF(OR($A57="",$M57=""),0,IF(AND($M57&lt;&gt;"Accept",$M57&lt;&gt;"Defer",$M57&lt;&gt;"Decline"),2,IF(OR($N57="",NOT(ISNUMBER($O57))),1,IF(AND($P57="",OR($M57="Defer",$M57="Decline",$AJ57&gt;0)),1,0))))</f>
        <v/>
      </c>
      <c r="AQ57" s="31">
        <f>$AL57+$AM57+IF($AN57&gt;0,1,0)+IF($AO57&gt;0,1,0)+IF($AP57&gt;0,1,0)</f>
        <v/>
      </c>
    </row>
    <row r="58">
      <c r="A58" s="29" t="n"/>
      <c r="B58" s="29" t="n"/>
      <c r="C58" s="14" t="n"/>
      <c r="D58" s="29" t="n"/>
      <c r="E58" s="29" t="n"/>
      <c r="F58" s="19" t="n"/>
      <c r="G58" s="19" t="n"/>
      <c r="H58" s="14" t="n"/>
      <c r="I58" s="48" t="n"/>
      <c r="J58" s="48" t="n"/>
      <c r="K58" s="48" t="n"/>
      <c r="L58" s="48" t="n"/>
      <c r="M58" s="29" t="n"/>
      <c r="N58" s="29" t="n"/>
      <c r="O58" s="14" t="n"/>
      <c r="P58" s="26" t="n"/>
      <c r="Q58" s="29" t="n"/>
      <c r="R58" s="29" t="n"/>
      <c r="S58" s="21">
        <f>IF(OR($A58="",$B$11&lt;=0),"",IF(AND(OR($AR$7=0,ISNUMBER($I58)),OR($AR$8=0,ISNUMBER($J58)),OR($AR$9=0,ISNUMBER($K58)),OR($AR$10=0,ISNUMBER($L58))),ROUND((N($I58)*$AR$7+N($J58)*$AR$8+N($K58)*$AR$9+N($L58)*$AR$10)*20/$B$11,0),""))</f>
        <v/>
      </c>
      <c r="T58" s="21">
        <f>IF($AB58=1,SUMPRODUCT(--($AC$32:$AC$81&gt;$AC58))+1,"")</f>
        <v/>
      </c>
      <c r="U58" s="31">
        <f>IF($AB58=0,"",IF(OR(NOT(ISNUMBER($B$16)),$AH58&gt;0),"Not read",IF($AF58&lt;=$B$16,"Fits","Doesn't fit")))</f>
        <v/>
      </c>
      <c r="V58" s="31">
        <f>IF($AB58=0,"",IF(OR(NOT(ISNUMBER($B$17)),$AI58&gt;0),"Not read",IF($AG58&lt;=$B$17,"Fits","Doesn't fit")))</f>
        <v/>
      </c>
      <c r="W58" s="21">
        <f>IF(OR($A58="",NOT(ISNUMBER($C58)),$M58&lt;&gt;""),"",MAX(0,TODAY()-$C58))</f>
        <v/>
      </c>
      <c r="X58" s="31">
        <f>IF($A58="","",IF($AQ58=0,"○ Clear",IF($AL58=1,"△ No objective from Portfolio",IF($AM58=1,"△ Decided without a score",IF($AO58=1,"△ Not on the Register under this name",IF($AO58=2,"△ Owner or objective differs from the Register",IF($AN58=2,"△ Accepted with no cost or effort",IF($AN58=1,"△ Doesn't fit, and nothing gives way",IF($AP58=2,"△ Decision isn't Accept, Defer or Decline","△ Decision missing who, when or why")))))))&amp;IF($AQ58&gt;1," (+"&amp;($AQ58-1)&amp;" more)","")))</f>
        <v/>
      </c>
      <c r="Y58" s="31">
        <f>IF($A58="","",IFERROR(MATCH(IF($R58&lt;&gt;"",TRIM($R58),TRIM($A58)),Register!$A$6:$A$305,0),0))</f>
        <v/>
      </c>
      <c r="Z58" s="31">
        <f>IF(N($Y58)=0,"",INDEX(Register!$D$6:$D$305,$Y58))</f>
        <v/>
      </c>
      <c r="AA58" s="31">
        <f>IF(OR($Z58="Active",$Z58="Paused",$Z58="Completed",$Z58="Terminated"),1,0)</f>
        <v/>
      </c>
      <c r="AB58" s="31">
        <f>IF(AND($A58&lt;&gt;"",ISNUMBER($S58),OR($M58="",$M58="Accept"),$AA58=0),1,0)</f>
        <v/>
      </c>
      <c r="AC58" s="31">
        <f>IF($AB58=1,$S58+(1000-ROW())/100000,0)</f>
        <v/>
      </c>
      <c r="AD58" s="31">
        <f>IF(AND($AB58=1,ISNUMBER($F58)),$F58,0)</f>
        <v/>
      </c>
      <c r="AE58" s="31">
        <f>IF(AND($AB58=1,ISNUMBER($G58)),$G58,0)</f>
        <v/>
      </c>
      <c r="AF58" s="31">
        <f>IF($AB58=1,SUMPRODUCT(($AC$32:$AC$81&gt;=$AC58)*$AD$32:$AD$81),"")</f>
        <v/>
      </c>
      <c r="AG58" s="31">
        <f>IF($AB58=1,SUMPRODUCT(($AC$32:$AC$81&gt;=$AC58)*$AE$32:$AE$81),"")</f>
        <v/>
      </c>
      <c r="AH58" s="31">
        <f>IF($AB58=1,SUMPRODUCT(($AC$32:$AC$81&gt;=$AC58)*(1-ISNUMBER($F$32:$F$81))),"")</f>
        <v/>
      </c>
      <c r="AI58" s="31">
        <f>IF($AB58=1,SUMPRODUCT(($AC$32:$AC$81&gt;=$AC58)*(1-ISNUMBER($G$32:$G$81))),"")</f>
        <v/>
      </c>
      <c r="AJ58" s="31">
        <f>IF(AND($AB58=1,$M58="Accept",ISNUMBER($O58)),SUMPRODUCT(($AC$32:$AC$81&gt;$AC58)*ISNUMBER($C$32:$C$81)*($C$32:$C$81&lt;=$O58)*((($M$32:$M$81="")+ISNUMBER($O$32:$O$81)*($O$32:$O$81&gt;$O58))&gt;0)),0)</f>
        <v/>
      </c>
      <c r="AK58" s="31">
        <f>IF($Q58="",0,IFERROR(IF(INDEX(Register!$D$6:$D$305,MATCH(TRIM($Q58),Register!$A$6:$A$305,0))="Active",1,0),0))</f>
        <v/>
      </c>
      <c r="AL58" s="31">
        <f>IF(AND($A58&lt;&gt;"",ISNUMBER($S58)),IF($D58="",1,IF(COUNTIF(Portfolio!$A$47:$A$56,$D58)=0,1,0)),0)</f>
        <v/>
      </c>
      <c r="AM58" s="31">
        <f>IF(AND($A58&lt;&gt;"",$M58&lt;&gt;"",NOT(ISNUMBER($S58))),1,0)</f>
        <v/>
      </c>
      <c r="AN58" s="31">
        <f>IF(AND($AB58=1,$M58="Accept"),IF(OR(AND(ISNUMBER($B$16),NOT(ISNUMBER($F58))),AND(ISNUMBER($B$17),NOT(ISNUMBER($G58)))),2,IF(AND(OR($U58="Doesn't fit",$V58="Doesn't fit"),$AK58=0),1,0)),0)</f>
        <v/>
      </c>
      <c r="AO58" s="31">
        <f>IF(OR($A58="",$M58&lt;&gt;"Accept"),0,IF($Y58=0,IF(OR($R58&lt;&gt;"",IFERROR(TODAY()-$O58,9999)&gt;IF(ISNUMBER($B$20),$B$20,14)),1,0),IF(OR(TRIM(INDEX(Register!$E$6:$E$305,$Y58)&amp;"")&lt;&gt;TRIM($E58&amp;""),TRIM(INDEX(Register!$G$6:$G$305,$Y58)&amp;"")&lt;&gt;TRIM($D58&amp;"")),2,0)))</f>
        <v/>
      </c>
      <c r="AP58" s="31">
        <f>IF(OR($A58="",$M58=""),0,IF(AND($M58&lt;&gt;"Accept",$M58&lt;&gt;"Defer",$M58&lt;&gt;"Decline"),2,IF(OR($N58="",NOT(ISNUMBER($O58))),1,IF(AND($P58="",OR($M58="Defer",$M58="Decline",$AJ58&gt;0)),1,0))))</f>
        <v/>
      </c>
      <c r="AQ58" s="31">
        <f>$AL58+$AM58+IF($AN58&gt;0,1,0)+IF($AO58&gt;0,1,0)+IF($AP58&gt;0,1,0)</f>
        <v/>
      </c>
    </row>
    <row r="59">
      <c r="A59" s="29" t="n"/>
      <c r="B59" s="29" t="n"/>
      <c r="C59" s="14" t="n"/>
      <c r="D59" s="29" t="n"/>
      <c r="E59" s="29" t="n"/>
      <c r="F59" s="19" t="n"/>
      <c r="G59" s="19" t="n"/>
      <c r="H59" s="14" t="n"/>
      <c r="I59" s="48" t="n"/>
      <c r="J59" s="48" t="n"/>
      <c r="K59" s="48" t="n"/>
      <c r="L59" s="48" t="n"/>
      <c r="M59" s="29" t="n"/>
      <c r="N59" s="29" t="n"/>
      <c r="O59" s="14" t="n"/>
      <c r="P59" s="26" t="n"/>
      <c r="Q59" s="29" t="n"/>
      <c r="R59" s="29" t="n"/>
      <c r="S59" s="21">
        <f>IF(OR($A59="",$B$11&lt;=0),"",IF(AND(OR($AR$7=0,ISNUMBER($I59)),OR($AR$8=0,ISNUMBER($J59)),OR($AR$9=0,ISNUMBER($K59)),OR($AR$10=0,ISNUMBER($L59))),ROUND((N($I59)*$AR$7+N($J59)*$AR$8+N($K59)*$AR$9+N($L59)*$AR$10)*20/$B$11,0),""))</f>
        <v/>
      </c>
      <c r="T59" s="21">
        <f>IF($AB59=1,SUMPRODUCT(--($AC$32:$AC$81&gt;$AC59))+1,"")</f>
        <v/>
      </c>
      <c r="U59" s="31">
        <f>IF($AB59=0,"",IF(OR(NOT(ISNUMBER($B$16)),$AH59&gt;0),"Not read",IF($AF59&lt;=$B$16,"Fits","Doesn't fit")))</f>
        <v/>
      </c>
      <c r="V59" s="31">
        <f>IF($AB59=0,"",IF(OR(NOT(ISNUMBER($B$17)),$AI59&gt;0),"Not read",IF($AG59&lt;=$B$17,"Fits","Doesn't fit")))</f>
        <v/>
      </c>
      <c r="W59" s="21">
        <f>IF(OR($A59="",NOT(ISNUMBER($C59)),$M59&lt;&gt;""),"",MAX(0,TODAY()-$C59))</f>
        <v/>
      </c>
      <c r="X59" s="31">
        <f>IF($A59="","",IF($AQ59=0,"○ Clear",IF($AL59=1,"△ No objective from Portfolio",IF($AM59=1,"△ Decided without a score",IF($AO59=1,"△ Not on the Register under this name",IF($AO59=2,"△ Owner or objective differs from the Register",IF($AN59=2,"△ Accepted with no cost or effort",IF($AN59=1,"△ Doesn't fit, and nothing gives way",IF($AP59=2,"△ Decision isn't Accept, Defer or Decline","△ Decision missing who, when or why")))))))&amp;IF($AQ59&gt;1," (+"&amp;($AQ59-1)&amp;" more)","")))</f>
        <v/>
      </c>
      <c r="Y59" s="31">
        <f>IF($A59="","",IFERROR(MATCH(IF($R59&lt;&gt;"",TRIM($R59),TRIM($A59)),Register!$A$6:$A$305,0),0))</f>
        <v/>
      </c>
      <c r="Z59" s="31">
        <f>IF(N($Y59)=0,"",INDEX(Register!$D$6:$D$305,$Y59))</f>
        <v/>
      </c>
      <c r="AA59" s="31">
        <f>IF(OR($Z59="Active",$Z59="Paused",$Z59="Completed",$Z59="Terminated"),1,0)</f>
        <v/>
      </c>
      <c r="AB59" s="31">
        <f>IF(AND($A59&lt;&gt;"",ISNUMBER($S59),OR($M59="",$M59="Accept"),$AA59=0),1,0)</f>
        <v/>
      </c>
      <c r="AC59" s="31">
        <f>IF($AB59=1,$S59+(1000-ROW())/100000,0)</f>
        <v/>
      </c>
      <c r="AD59" s="31">
        <f>IF(AND($AB59=1,ISNUMBER($F59)),$F59,0)</f>
        <v/>
      </c>
      <c r="AE59" s="31">
        <f>IF(AND($AB59=1,ISNUMBER($G59)),$G59,0)</f>
        <v/>
      </c>
      <c r="AF59" s="31">
        <f>IF($AB59=1,SUMPRODUCT(($AC$32:$AC$81&gt;=$AC59)*$AD$32:$AD$81),"")</f>
        <v/>
      </c>
      <c r="AG59" s="31">
        <f>IF($AB59=1,SUMPRODUCT(($AC$32:$AC$81&gt;=$AC59)*$AE$32:$AE$81),"")</f>
        <v/>
      </c>
      <c r="AH59" s="31">
        <f>IF($AB59=1,SUMPRODUCT(($AC$32:$AC$81&gt;=$AC59)*(1-ISNUMBER($F$32:$F$81))),"")</f>
        <v/>
      </c>
      <c r="AI59" s="31">
        <f>IF($AB59=1,SUMPRODUCT(($AC$32:$AC$81&gt;=$AC59)*(1-ISNUMBER($G$32:$G$81))),"")</f>
        <v/>
      </c>
      <c r="AJ59" s="31">
        <f>IF(AND($AB59=1,$M59="Accept",ISNUMBER($O59)),SUMPRODUCT(($AC$32:$AC$81&gt;$AC59)*ISNUMBER($C$32:$C$81)*($C$32:$C$81&lt;=$O59)*((($M$32:$M$81="")+ISNUMBER($O$32:$O$81)*($O$32:$O$81&gt;$O59))&gt;0)),0)</f>
        <v/>
      </c>
      <c r="AK59" s="31">
        <f>IF($Q59="",0,IFERROR(IF(INDEX(Register!$D$6:$D$305,MATCH(TRIM($Q59),Register!$A$6:$A$305,0))="Active",1,0),0))</f>
        <v/>
      </c>
      <c r="AL59" s="31">
        <f>IF(AND($A59&lt;&gt;"",ISNUMBER($S59)),IF($D59="",1,IF(COUNTIF(Portfolio!$A$47:$A$56,$D59)=0,1,0)),0)</f>
        <v/>
      </c>
      <c r="AM59" s="31">
        <f>IF(AND($A59&lt;&gt;"",$M59&lt;&gt;"",NOT(ISNUMBER($S59))),1,0)</f>
        <v/>
      </c>
      <c r="AN59" s="31">
        <f>IF(AND($AB59=1,$M59="Accept"),IF(OR(AND(ISNUMBER($B$16),NOT(ISNUMBER($F59))),AND(ISNUMBER($B$17),NOT(ISNUMBER($G59)))),2,IF(AND(OR($U59="Doesn't fit",$V59="Doesn't fit"),$AK59=0),1,0)),0)</f>
        <v/>
      </c>
      <c r="AO59" s="31">
        <f>IF(OR($A59="",$M59&lt;&gt;"Accept"),0,IF($Y59=0,IF(OR($R59&lt;&gt;"",IFERROR(TODAY()-$O59,9999)&gt;IF(ISNUMBER($B$20),$B$20,14)),1,0),IF(OR(TRIM(INDEX(Register!$E$6:$E$305,$Y59)&amp;"")&lt;&gt;TRIM($E59&amp;""),TRIM(INDEX(Register!$G$6:$G$305,$Y59)&amp;"")&lt;&gt;TRIM($D59&amp;"")),2,0)))</f>
        <v/>
      </c>
      <c r="AP59" s="31">
        <f>IF(OR($A59="",$M59=""),0,IF(AND($M59&lt;&gt;"Accept",$M59&lt;&gt;"Defer",$M59&lt;&gt;"Decline"),2,IF(OR($N59="",NOT(ISNUMBER($O59))),1,IF(AND($P59="",OR($M59="Defer",$M59="Decline",$AJ59&gt;0)),1,0))))</f>
        <v/>
      </c>
      <c r="AQ59" s="31">
        <f>$AL59+$AM59+IF($AN59&gt;0,1,0)+IF($AO59&gt;0,1,0)+IF($AP59&gt;0,1,0)</f>
        <v/>
      </c>
    </row>
    <row r="60">
      <c r="A60" s="29" t="n"/>
      <c r="B60" s="29" t="n"/>
      <c r="C60" s="14" t="n"/>
      <c r="D60" s="29" t="n"/>
      <c r="E60" s="29" t="n"/>
      <c r="F60" s="19" t="n"/>
      <c r="G60" s="19" t="n"/>
      <c r="H60" s="14" t="n"/>
      <c r="I60" s="48" t="n"/>
      <c r="J60" s="48" t="n"/>
      <c r="K60" s="48" t="n"/>
      <c r="L60" s="48" t="n"/>
      <c r="M60" s="29" t="n"/>
      <c r="N60" s="29" t="n"/>
      <c r="O60" s="14" t="n"/>
      <c r="P60" s="26" t="n"/>
      <c r="Q60" s="29" t="n"/>
      <c r="R60" s="29" t="n"/>
      <c r="S60" s="21">
        <f>IF(OR($A60="",$B$11&lt;=0),"",IF(AND(OR($AR$7=0,ISNUMBER($I60)),OR($AR$8=0,ISNUMBER($J60)),OR($AR$9=0,ISNUMBER($K60)),OR($AR$10=0,ISNUMBER($L60))),ROUND((N($I60)*$AR$7+N($J60)*$AR$8+N($K60)*$AR$9+N($L60)*$AR$10)*20/$B$11,0),""))</f>
        <v/>
      </c>
      <c r="T60" s="21">
        <f>IF($AB60=1,SUMPRODUCT(--($AC$32:$AC$81&gt;$AC60))+1,"")</f>
        <v/>
      </c>
      <c r="U60" s="31">
        <f>IF($AB60=0,"",IF(OR(NOT(ISNUMBER($B$16)),$AH60&gt;0),"Not read",IF($AF60&lt;=$B$16,"Fits","Doesn't fit")))</f>
        <v/>
      </c>
      <c r="V60" s="31">
        <f>IF($AB60=0,"",IF(OR(NOT(ISNUMBER($B$17)),$AI60&gt;0),"Not read",IF($AG60&lt;=$B$17,"Fits","Doesn't fit")))</f>
        <v/>
      </c>
      <c r="W60" s="21">
        <f>IF(OR($A60="",NOT(ISNUMBER($C60)),$M60&lt;&gt;""),"",MAX(0,TODAY()-$C60))</f>
        <v/>
      </c>
      <c r="X60" s="31">
        <f>IF($A60="","",IF($AQ60=0,"○ Clear",IF($AL60=1,"△ No objective from Portfolio",IF($AM60=1,"△ Decided without a score",IF($AO60=1,"△ Not on the Register under this name",IF($AO60=2,"△ Owner or objective differs from the Register",IF($AN60=2,"△ Accepted with no cost or effort",IF($AN60=1,"△ Doesn't fit, and nothing gives way",IF($AP60=2,"△ Decision isn't Accept, Defer or Decline","△ Decision missing who, when or why")))))))&amp;IF($AQ60&gt;1," (+"&amp;($AQ60-1)&amp;" more)","")))</f>
        <v/>
      </c>
      <c r="Y60" s="31">
        <f>IF($A60="","",IFERROR(MATCH(IF($R60&lt;&gt;"",TRIM($R60),TRIM($A60)),Register!$A$6:$A$305,0),0))</f>
        <v/>
      </c>
      <c r="Z60" s="31">
        <f>IF(N($Y60)=0,"",INDEX(Register!$D$6:$D$305,$Y60))</f>
        <v/>
      </c>
      <c r="AA60" s="31">
        <f>IF(OR($Z60="Active",$Z60="Paused",$Z60="Completed",$Z60="Terminated"),1,0)</f>
        <v/>
      </c>
      <c r="AB60" s="31">
        <f>IF(AND($A60&lt;&gt;"",ISNUMBER($S60),OR($M60="",$M60="Accept"),$AA60=0),1,0)</f>
        <v/>
      </c>
      <c r="AC60" s="31">
        <f>IF($AB60=1,$S60+(1000-ROW())/100000,0)</f>
        <v/>
      </c>
      <c r="AD60" s="31">
        <f>IF(AND($AB60=1,ISNUMBER($F60)),$F60,0)</f>
        <v/>
      </c>
      <c r="AE60" s="31">
        <f>IF(AND($AB60=1,ISNUMBER($G60)),$G60,0)</f>
        <v/>
      </c>
      <c r="AF60" s="31">
        <f>IF($AB60=1,SUMPRODUCT(($AC$32:$AC$81&gt;=$AC60)*$AD$32:$AD$81),"")</f>
        <v/>
      </c>
      <c r="AG60" s="31">
        <f>IF($AB60=1,SUMPRODUCT(($AC$32:$AC$81&gt;=$AC60)*$AE$32:$AE$81),"")</f>
        <v/>
      </c>
      <c r="AH60" s="31">
        <f>IF($AB60=1,SUMPRODUCT(($AC$32:$AC$81&gt;=$AC60)*(1-ISNUMBER($F$32:$F$81))),"")</f>
        <v/>
      </c>
      <c r="AI60" s="31">
        <f>IF($AB60=1,SUMPRODUCT(($AC$32:$AC$81&gt;=$AC60)*(1-ISNUMBER($G$32:$G$81))),"")</f>
        <v/>
      </c>
      <c r="AJ60" s="31">
        <f>IF(AND($AB60=1,$M60="Accept",ISNUMBER($O60)),SUMPRODUCT(($AC$32:$AC$81&gt;$AC60)*ISNUMBER($C$32:$C$81)*($C$32:$C$81&lt;=$O60)*((($M$32:$M$81="")+ISNUMBER($O$32:$O$81)*($O$32:$O$81&gt;$O60))&gt;0)),0)</f>
        <v/>
      </c>
      <c r="AK60" s="31">
        <f>IF($Q60="",0,IFERROR(IF(INDEX(Register!$D$6:$D$305,MATCH(TRIM($Q60),Register!$A$6:$A$305,0))="Active",1,0),0))</f>
        <v/>
      </c>
      <c r="AL60" s="31">
        <f>IF(AND($A60&lt;&gt;"",ISNUMBER($S60)),IF($D60="",1,IF(COUNTIF(Portfolio!$A$47:$A$56,$D60)=0,1,0)),0)</f>
        <v/>
      </c>
      <c r="AM60" s="31">
        <f>IF(AND($A60&lt;&gt;"",$M60&lt;&gt;"",NOT(ISNUMBER($S60))),1,0)</f>
        <v/>
      </c>
      <c r="AN60" s="31">
        <f>IF(AND($AB60=1,$M60="Accept"),IF(OR(AND(ISNUMBER($B$16),NOT(ISNUMBER($F60))),AND(ISNUMBER($B$17),NOT(ISNUMBER($G60)))),2,IF(AND(OR($U60="Doesn't fit",$V60="Doesn't fit"),$AK60=0),1,0)),0)</f>
        <v/>
      </c>
      <c r="AO60" s="31">
        <f>IF(OR($A60="",$M60&lt;&gt;"Accept"),0,IF($Y60=0,IF(OR($R60&lt;&gt;"",IFERROR(TODAY()-$O60,9999)&gt;IF(ISNUMBER($B$20),$B$20,14)),1,0),IF(OR(TRIM(INDEX(Register!$E$6:$E$305,$Y60)&amp;"")&lt;&gt;TRIM($E60&amp;""),TRIM(INDEX(Register!$G$6:$G$305,$Y60)&amp;"")&lt;&gt;TRIM($D60&amp;"")),2,0)))</f>
        <v/>
      </c>
      <c r="AP60" s="31">
        <f>IF(OR($A60="",$M60=""),0,IF(AND($M60&lt;&gt;"Accept",$M60&lt;&gt;"Defer",$M60&lt;&gt;"Decline"),2,IF(OR($N60="",NOT(ISNUMBER($O60))),1,IF(AND($P60="",OR($M60="Defer",$M60="Decline",$AJ60&gt;0)),1,0))))</f>
        <v/>
      </c>
      <c r="AQ60" s="31">
        <f>$AL60+$AM60+IF($AN60&gt;0,1,0)+IF($AO60&gt;0,1,0)+IF($AP60&gt;0,1,0)</f>
        <v/>
      </c>
    </row>
    <row r="61">
      <c r="A61" s="29" t="n"/>
      <c r="B61" s="29" t="n"/>
      <c r="C61" s="14" t="n"/>
      <c r="D61" s="29" t="n"/>
      <c r="E61" s="29" t="n"/>
      <c r="F61" s="19" t="n"/>
      <c r="G61" s="19" t="n"/>
      <c r="H61" s="14" t="n"/>
      <c r="I61" s="48" t="n"/>
      <c r="J61" s="48" t="n"/>
      <c r="K61" s="48" t="n"/>
      <c r="L61" s="48" t="n"/>
      <c r="M61" s="29" t="n"/>
      <c r="N61" s="29" t="n"/>
      <c r="O61" s="14" t="n"/>
      <c r="P61" s="26" t="n"/>
      <c r="Q61" s="29" t="n"/>
      <c r="R61" s="29" t="n"/>
      <c r="S61" s="21">
        <f>IF(OR($A61="",$B$11&lt;=0),"",IF(AND(OR($AR$7=0,ISNUMBER($I61)),OR($AR$8=0,ISNUMBER($J61)),OR($AR$9=0,ISNUMBER($K61)),OR($AR$10=0,ISNUMBER($L61))),ROUND((N($I61)*$AR$7+N($J61)*$AR$8+N($K61)*$AR$9+N($L61)*$AR$10)*20/$B$11,0),""))</f>
        <v/>
      </c>
      <c r="T61" s="21">
        <f>IF($AB61=1,SUMPRODUCT(--($AC$32:$AC$81&gt;$AC61))+1,"")</f>
        <v/>
      </c>
      <c r="U61" s="31">
        <f>IF($AB61=0,"",IF(OR(NOT(ISNUMBER($B$16)),$AH61&gt;0),"Not read",IF($AF61&lt;=$B$16,"Fits","Doesn't fit")))</f>
        <v/>
      </c>
      <c r="V61" s="31">
        <f>IF($AB61=0,"",IF(OR(NOT(ISNUMBER($B$17)),$AI61&gt;0),"Not read",IF($AG61&lt;=$B$17,"Fits","Doesn't fit")))</f>
        <v/>
      </c>
      <c r="W61" s="21">
        <f>IF(OR($A61="",NOT(ISNUMBER($C61)),$M61&lt;&gt;""),"",MAX(0,TODAY()-$C61))</f>
        <v/>
      </c>
      <c r="X61" s="31">
        <f>IF($A61="","",IF($AQ61=0,"○ Clear",IF($AL61=1,"△ No objective from Portfolio",IF($AM61=1,"△ Decided without a score",IF($AO61=1,"△ Not on the Register under this name",IF($AO61=2,"△ Owner or objective differs from the Register",IF($AN61=2,"△ Accepted with no cost or effort",IF($AN61=1,"△ Doesn't fit, and nothing gives way",IF($AP61=2,"△ Decision isn't Accept, Defer or Decline","△ Decision missing who, when or why")))))))&amp;IF($AQ61&gt;1," (+"&amp;($AQ61-1)&amp;" more)","")))</f>
        <v/>
      </c>
      <c r="Y61" s="31">
        <f>IF($A61="","",IFERROR(MATCH(IF($R61&lt;&gt;"",TRIM($R61),TRIM($A61)),Register!$A$6:$A$305,0),0))</f>
        <v/>
      </c>
      <c r="Z61" s="31">
        <f>IF(N($Y61)=0,"",INDEX(Register!$D$6:$D$305,$Y61))</f>
        <v/>
      </c>
      <c r="AA61" s="31">
        <f>IF(OR($Z61="Active",$Z61="Paused",$Z61="Completed",$Z61="Terminated"),1,0)</f>
        <v/>
      </c>
      <c r="AB61" s="31">
        <f>IF(AND($A61&lt;&gt;"",ISNUMBER($S61),OR($M61="",$M61="Accept"),$AA61=0),1,0)</f>
        <v/>
      </c>
      <c r="AC61" s="31">
        <f>IF($AB61=1,$S61+(1000-ROW())/100000,0)</f>
        <v/>
      </c>
      <c r="AD61" s="31">
        <f>IF(AND($AB61=1,ISNUMBER($F61)),$F61,0)</f>
        <v/>
      </c>
      <c r="AE61" s="31">
        <f>IF(AND($AB61=1,ISNUMBER($G61)),$G61,0)</f>
        <v/>
      </c>
      <c r="AF61" s="31">
        <f>IF($AB61=1,SUMPRODUCT(($AC$32:$AC$81&gt;=$AC61)*$AD$32:$AD$81),"")</f>
        <v/>
      </c>
      <c r="AG61" s="31">
        <f>IF($AB61=1,SUMPRODUCT(($AC$32:$AC$81&gt;=$AC61)*$AE$32:$AE$81),"")</f>
        <v/>
      </c>
      <c r="AH61" s="31">
        <f>IF($AB61=1,SUMPRODUCT(($AC$32:$AC$81&gt;=$AC61)*(1-ISNUMBER($F$32:$F$81))),"")</f>
        <v/>
      </c>
      <c r="AI61" s="31">
        <f>IF($AB61=1,SUMPRODUCT(($AC$32:$AC$81&gt;=$AC61)*(1-ISNUMBER($G$32:$G$81))),"")</f>
        <v/>
      </c>
      <c r="AJ61" s="31">
        <f>IF(AND($AB61=1,$M61="Accept",ISNUMBER($O61)),SUMPRODUCT(($AC$32:$AC$81&gt;$AC61)*ISNUMBER($C$32:$C$81)*($C$32:$C$81&lt;=$O61)*((($M$32:$M$81="")+ISNUMBER($O$32:$O$81)*($O$32:$O$81&gt;$O61))&gt;0)),0)</f>
        <v/>
      </c>
      <c r="AK61" s="31">
        <f>IF($Q61="",0,IFERROR(IF(INDEX(Register!$D$6:$D$305,MATCH(TRIM($Q61),Register!$A$6:$A$305,0))="Active",1,0),0))</f>
        <v/>
      </c>
      <c r="AL61" s="31">
        <f>IF(AND($A61&lt;&gt;"",ISNUMBER($S61)),IF($D61="",1,IF(COUNTIF(Portfolio!$A$47:$A$56,$D61)=0,1,0)),0)</f>
        <v/>
      </c>
      <c r="AM61" s="31">
        <f>IF(AND($A61&lt;&gt;"",$M61&lt;&gt;"",NOT(ISNUMBER($S61))),1,0)</f>
        <v/>
      </c>
      <c r="AN61" s="31">
        <f>IF(AND($AB61=1,$M61="Accept"),IF(OR(AND(ISNUMBER($B$16),NOT(ISNUMBER($F61))),AND(ISNUMBER($B$17),NOT(ISNUMBER($G61)))),2,IF(AND(OR($U61="Doesn't fit",$V61="Doesn't fit"),$AK61=0),1,0)),0)</f>
        <v/>
      </c>
      <c r="AO61" s="31">
        <f>IF(OR($A61="",$M61&lt;&gt;"Accept"),0,IF($Y61=0,IF(OR($R61&lt;&gt;"",IFERROR(TODAY()-$O61,9999)&gt;IF(ISNUMBER($B$20),$B$20,14)),1,0),IF(OR(TRIM(INDEX(Register!$E$6:$E$305,$Y61)&amp;"")&lt;&gt;TRIM($E61&amp;""),TRIM(INDEX(Register!$G$6:$G$305,$Y61)&amp;"")&lt;&gt;TRIM($D61&amp;"")),2,0)))</f>
        <v/>
      </c>
      <c r="AP61" s="31">
        <f>IF(OR($A61="",$M61=""),0,IF(AND($M61&lt;&gt;"Accept",$M61&lt;&gt;"Defer",$M61&lt;&gt;"Decline"),2,IF(OR($N61="",NOT(ISNUMBER($O61))),1,IF(AND($P61="",OR($M61="Defer",$M61="Decline",$AJ61&gt;0)),1,0))))</f>
        <v/>
      </c>
      <c r="AQ61" s="31">
        <f>$AL61+$AM61+IF($AN61&gt;0,1,0)+IF($AO61&gt;0,1,0)+IF($AP61&gt;0,1,0)</f>
        <v/>
      </c>
    </row>
    <row r="62">
      <c r="A62" s="29" t="n"/>
      <c r="B62" s="29" t="n"/>
      <c r="C62" s="14" t="n"/>
      <c r="D62" s="29" t="n"/>
      <c r="E62" s="29" t="n"/>
      <c r="F62" s="19" t="n"/>
      <c r="G62" s="19" t="n"/>
      <c r="H62" s="14" t="n"/>
      <c r="I62" s="48" t="n"/>
      <c r="J62" s="48" t="n"/>
      <c r="K62" s="48" t="n"/>
      <c r="L62" s="48" t="n"/>
      <c r="M62" s="29" t="n"/>
      <c r="N62" s="29" t="n"/>
      <c r="O62" s="14" t="n"/>
      <c r="P62" s="26" t="n"/>
      <c r="Q62" s="29" t="n"/>
      <c r="R62" s="29" t="n"/>
      <c r="S62" s="21">
        <f>IF(OR($A62="",$B$11&lt;=0),"",IF(AND(OR($AR$7=0,ISNUMBER($I62)),OR($AR$8=0,ISNUMBER($J62)),OR($AR$9=0,ISNUMBER($K62)),OR($AR$10=0,ISNUMBER($L62))),ROUND((N($I62)*$AR$7+N($J62)*$AR$8+N($K62)*$AR$9+N($L62)*$AR$10)*20/$B$11,0),""))</f>
        <v/>
      </c>
      <c r="T62" s="21">
        <f>IF($AB62=1,SUMPRODUCT(--($AC$32:$AC$81&gt;$AC62))+1,"")</f>
        <v/>
      </c>
      <c r="U62" s="31">
        <f>IF($AB62=0,"",IF(OR(NOT(ISNUMBER($B$16)),$AH62&gt;0),"Not read",IF($AF62&lt;=$B$16,"Fits","Doesn't fit")))</f>
        <v/>
      </c>
      <c r="V62" s="31">
        <f>IF($AB62=0,"",IF(OR(NOT(ISNUMBER($B$17)),$AI62&gt;0),"Not read",IF($AG62&lt;=$B$17,"Fits","Doesn't fit")))</f>
        <v/>
      </c>
      <c r="W62" s="21">
        <f>IF(OR($A62="",NOT(ISNUMBER($C62)),$M62&lt;&gt;""),"",MAX(0,TODAY()-$C62))</f>
        <v/>
      </c>
      <c r="X62" s="31">
        <f>IF($A62="","",IF($AQ62=0,"○ Clear",IF($AL62=1,"△ No objective from Portfolio",IF($AM62=1,"△ Decided without a score",IF($AO62=1,"△ Not on the Register under this name",IF($AO62=2,"△ Owner or objective differs from the Register",IF($AN62=2,"△ Accepted with no cost or effort",IF($AN62=1,"△ Doesn't fit, and nothing gives way",IF($AP62=2,"△ Decision isn't Accept, Defer or Decline","△ Decision missing who, when or why")))))))&amp;IF($AQ62&gt;1," (+"&amp;($AQ62-1)&amp;" more)","")))</f>
        <v/>
      </c>
      <c r="Y62" s="31">
        <f>IF($A62="","",IFERROR(MATCH(IF($R62&lt;&gt;"",TRIM($R62),TRIM($A62)),Register!$A$6:$A$305,0),0))</f>
        <v/>
      </c>
      <c r="Z62" s="31">
        <f>IF(N($Y62)=0,"",INDEX(Register!$D$6:$D$305,$Y62))</f>
        <v/>
      </c>
      <c r="AA62" s="31">
        <f>IF(OR($Z62="Active",$Z62="Paused",$Z62="Completed",$Z62="Terminated"),1,0)</f>
        <v/>
      </c>
      <c r="AB62" s="31">
        <f>IF(AND($A62&lt;&gt;"",ISNUMBER($S62),OR($M62="",$M62="Accept"),$AA62=0),1,0)</f>
        <v/>
      </c>
      <c r="AC62" s="31">
        <f>IF($AB62=1,$S62+(1000-ROW())/100000,0)</f>
        <v/>
      </c>
      <c r="AD62" s="31">
        <f>IF(AND($AB62=1,ISNUMBER($F62)),$F62,0)</f>
        <v/>
      </c>
      <c r="AE62" s="31">
        <f>IF(AND($AB62=1,ISNUMBER($G62)),$G62,0)</f>
        <v/>
      </c>
      <c r="AF62" s="31">
        <f>IF($AB62=1,SUMPRODUCT(($AC$32:$AC$81&gt;=$AC62)*$AD$32:$AD$81),"")</f>
        <v/>
      </c>
      <c r="AG62" s="31">
        <f>IF($AB62=1,SUMPRODUCT(($AC$32:$AC$81&gt;=$AC62)*$AE$32:$AE$81),"")</f>
        <v/>
      </c>
      <c r="AH62" s="31">
        <f>IF($AB62=1,SUMPRODUCT(($AC$32:$AC$81&gt;=$AC62)*(1-ISNUMBER($F$32:$F$81))),"")</f>
        <v/>
      </c>
      <c r="AI62" s="31">
        <f>IF($AB62=1,SUMPRODUCT(($AC$32:$AC$81&gt;=$AC62)*(1-ISNUMBER($G$32:$G$81))),"")</f>
        <v/>
      </c>
      <c r="AJ62" s="31">
        <f>IF(AND($AB62=1,$M62="Accept",ISNUMBER($O62)),SUMPRODUCT(($AC$32:$AC$81&gt;$AC62)*ISNUMBER($C$32:$C$81)*($C$32:$C$81&lt;=$O62)*((($M$32:$M$81="")+ISNUMBER($O$32:$O$81)*($O$32:$O$81&gt;$O62))&gt;0)),0)</f>
        <v/>
      </c>
      <c r="AK62" s="31">
        <f>IF($Q62="",0,IFERROR(IF(INDEX(Register!$D$6:$D$305,MATCH(TRIM($Q62),Register!$A$6:$A$305,0))="Active",1,0),0))</f>
        <v/>
      </c>
      <c r="AL62" s="31">
        <f>IF(AND($A62&lt;&gt;"",ISNUMBER($S62)),IF($D62="",1,IF(COUNTIF(Portfolio!$A$47:$A$56,$D62)=0,1,0)),0)</f>
        <v/>
      </c>
      <c r="AM62" s="31">
        <f>IF(AND($A62&lt;&gt;"",$M62&lt;&gt;"",NOT(ISNUMBER($S62))),1,0)</f>
        <v/>
      </c>
      <c r="AN62" s="31">
        <f>IF(AND($AB62=1,$M62="Accept"),IF(OR(AND(ISNUMBER($B$16),NOT(ISNUMBER($F62))),AND(ISNUMBER($B$17),NOT(ISNUMBER($G62)))),2,IF(AND(OR($U62="Doesn't fit",$V62="Doesn't fit"),$AK62=0),1,0)),0)</f>
        <v/>
      </c>
      <c r="AO62" s="31">
        <f>IF(OR($A62="",$M62&lt;&gt;"Accept"),0,IF($Y62=0,IF(OR($R62&lt;&gt;"",IFERROR(TODAY()-$O62,9999)&gt;IF(ISNUMBER($B$20),$B$20,14)),1,0),IF(OR(TRIM(INDEX(Register!$E$6:$E$305,$Y62)&amp;"")&lt;&gt;TRIM($E62&amp;""),TRIM(INDEX(Register!$G$6:$G$305,$Y62)&amp;"")&lt;&gt;TRIM($D62&amp;"")),2,0)))</f>
        <v/>
      </c>
      <c r="AP62" s="31">
        <f>IF(OR($A62="",$M62=""),0,IF(AND($M62&lt;&gt;"Accept",$M62&lt;&gt;"Defer",$M62&lt;&gt;"Decline"),2,IF(OR($N62="",NOT(ISNUMBER($O62))),1,IF(AND($P62="",OR($M62="Defer",$M62="Decline",$AJ62&gt;0)),1,0))))</f>
        <v/>
      </c>
      <c r="AQ62" s="31">
        <f>$AL62+$AM62+IF($AN62&gt;0,1,0)+IF($AO62&gt;0,1,0)+IF($AP62&gt;0,1,0)</f>
        <v/>
      </c>
    </row>
    <row r="63">
      <c r="A63" s="29" t="n"/>
      <c r="B63" s="29" t="n"/>
      <c r="C63" s="14" t="n"/>
      <c r="D63" s="29" t="n"/>
      <c r="E63" s="29" t="n"/>
      <c r="F63" s="19" t="n"/>
      <c r="G63" s="19" t="n"/>
      <c r="H63" s="14" t="n"/>
      <c r="I63" s="48" t="n"/>
      <c r="J63" s="48" t="n"/>
      <c r="K63" s="48" t="n"/>
      <c r="L63" s="48" t="n"/>
      <c r="M63" s="29" t="n"/>
      <c r="N63" s="29" t="n"/>
      <c r="O63" s="14" t="n"/>
      <c r="P63" s="26" t="n"/>
      <c r="Q63" s="29" t="n"/>
      <c r="R63" s="29" t="n"/>
      <c r="S63" s="21">
        <f>IF(OR($A63="",$B$11&lt;=0),"",IF(AND(OR($AR$7=0,ISNUMBER($I63)),OR($AR$8=0,ISNUMBER($J63)),OR($AR$9=0,ISNUMBER($K63)),OR($AR$10=0,ISNUMBER($L63))),ROUND((N($I63)*$AR$7+N($J63)*$AR$8+N($K63)*$AR$9+N($L63)*$AR$10)*20/$B$11,0),""))</f>
        <v/>
      </c>
      <c r="T63" s="21">
        <f>IF($AB63=1,SUMPRODUCT(--($AC$32:$AC$81&gt;$AC63))+1,"")</f>
        <v/>
      </c>
      <c r="U63" s="31">
        <f>IF($AB63=0,"",IF(OR(NOT(ISNUMBER($B$16)),$AH63&gt;0),"Not read",IF($AF63&lt;=$B$16,"Fits","Doesn't fit")))</f>
        <v/>
      </c>
      <c r="V63" s="31">
        <f>IF($AB63=0,"",IF(OR(NOT(ISNUMBER($B$17)),$AI63&gt;0),"Not read",IF($AG63&lt;=$B$17,"Fits","Doesn't fit")))</f>
        <v/>
      </c>
      <c r="W63" s="21">
        <f>IF(OR($A63="",NOT(ISNUMBER($C63)),$M63&lt;&gt;""),"",MAX(0,TODAY()-$C63))</f>
        <v/>
      </c>
      <c r="X63" s="31">
        <f>IF($A63="","",IF($AQ63=0,"○ Clear",IF($AL63=1,"△ No objective from Portfolio",IF($AM63=1,"△ Decided without a score",IF($AO63=1,"△ Not on the Register under this name",IF($AO63=2,"△ Owner or objective differs from the Register",IF($AN63=2,"△ Accepted with no cost or effort",IF($AN63=1,"△ Doesn't fit, and nothing gives way",IF($AP63=2,"△ Decision isn't Accept, Defer or Decline","△ Decision missing who, when or why")))))))&amp;IF($AQ63&gt;1," (+"&amp;($AQ63-1)&amp;" more)","")))</f>
        <v/>
      </c>
      <c r="Y63" s="31">
        <f>IF($A63="","",IFERROR(MATCH(IF($R63&lt;&gt;"",TRIM($R63),TRIM($A63)),Register!$A$6:$A$305,0),0))</f>
        <v/>
      </c>
      <c r="Z63" s="31">
        <f>IF(N($Y63)=0,"",INDEX(Register!$D$6:$D$305,$Y63))</f>
        <v/>
      </c>
      <c r="AA63" s="31">
        <f>IF(OR($Z63="Active",$Z63="Paused",$Z63="Completed",$Z63="Terminated"),1,0)</f>
        <v/>
      </c>
      <c r="AB63" s="31">
        <f>IF(AND($A63&lt;&gt;"",ISNUMBER($S63),OR($M63="",$M63="Accept"),$AA63=0),1,0)</f>
        <v/>
      </c>
      <c r="AC63" s="31">
        <f>IF($AB63=1,$S63+(1000-ROW())/100000,0)</f>
        <v/>
      </c>
      <c r="AD63" s="31">
        <f>IF(AND($AB63=1,ISNUMBER($F63)),$F63,0)</f>
        <v/>
      </c>
      <c r="AE63" s="31">
        <f>IF(AND($AB63=1,ISNUMBER($G63)),$G63,0)</f>
        <v/>
      </c>
      <c r="AF63" s="31">
        <f>IF($AB63=1,SUMPRODUCT(($AC$32:$AC$81&gt;=$AC63)*$AD$32:$AD$81),"")</f>
        <v/>
      </c>
      <c r="AG63" s="31">
        <f>IF($AB63=1,SUMPRODUCT(($AC$32:$AC$81&gt;=$AC63)*$AE$32:$AE$81),"")</f>
        <v/>
      </c>
      <c r="AH63" s="31">
        <f>IF($AB63=1,SUMPRODUCT(($AC$32:$AC$81&gt;=$AC63)*(1-ISNUMBER($F$32:$F$81))),"")</f>
        <v/>
      </c>
      <c r="AI63" s="31">
        <f>IF($AB63=1,SUMPRODUCT(($AC$32:$AC$81&gt;=$AC63)*(1-ISNUMBER($G$32:$G$81))),"")</f>
        <v/>
      </c>
      <c r="AJ63" s="31">
        <f>IF(AND($AB63=1,$M63="Accept",ISNUMBER($O63)),SUMPRODUCT(($AC$32:$AC$81&gt;$AC63)*ISNUMBER($C$32:$C$81)*($C$32:$C$81&lt;=$O63)*((($M$32:$M$81="")+ISNUMBER($O$32:$O$81)*($O$32:$O$81&gt;$O63))&gt;0)),0)</f>
        <v/>
      </c>
      <c r="AK63" s="31">
        <f>IF($Q63="",0,IFERROR(IF(INDEX(Register!$D$6:$D$305,MATCH(TRIM($Q63),Register!$A$6:$A$305,0))="Active",1,0),0))</f>
        <v/>
      </c>
      <c r="AL63" s="31">
        <f>IF(AND($A63&lt;&gt;"",ISNUMBER($S63)),IF($D63="",1,IF(COUNTIF(Portfolio!$A$47:$A$56,$D63)=0,1,0)),0)</f>
        <v/>
      </c>
      <c r="AM63" s="31">
        <f>IF(AND($A63&lt;&gt;"",$M63&lt;&gt;"",NOT(ISNUMBER($S63))),1,0)</f>
        <v/>
      </c>
      <c r="AN63" s="31">
        <f>IF(AND($AB63=1,$M63="Accept"),IF(OR(AND(ISNUMBER($B$16),NOT(ISNUMBER($F63))),AND(ISNUMBER($B$17),NOT(ISNUMBER($G63)))),2,IF(AND(OR($U63="Doesn't fit",$V63="Doesn't fit"),$AK63=0),1,0)),0)</f>
        <v/>
      </c>
      <c r="AO63" s="31">
        <f>IF(OR($A63="",$M63&lt;&gt;"Accept"),0,IF($Y63=0,IF(OR($R63&lt;&gt;"",IFERROR(TODAY()-$O63,9999)&gt;IF(ISNUMBER($B$20),$B$20,14)),1,0),IF(OR(TRIM(INDEX(Register!$E$6:$E$305,$Y63)&amp;"")&lt;&gt;TRIM($E63&amp;""),TRIM(INDEX(Register!$G$6:$G$305,$Y63)&amp;"")&lt;&gt;TRIM($D63&amp;"")),2,0)))</f>
        <v/>
      </c>
      <c r="AP63" s="31">
        <f>IF(OR($A63="",$M63=""),0,IF(AND($M63&lt;&gt;"Accept",$M63&lt;&gt;"Defer",$M63&lt;&gt;"Decline"),2,IF(OR($N63="",NOT(ISNUMBER($O63))),1,IF(AND($P63="",OR($M63="Defer",$M63="Decline",$AJ63&gt;0)),1,0))))</f>
        <v/>
      </c>
      <c r="AQ63" s="31">
        <f>$AL63+$AM63+IF($AN63&gt;0,1,0)+IF($AO63&gt;0,1,0)+IF($AP63&gt;0,1,0)</f>
        <v/>
      </c>
    </row>
    <row r="64">
      <c r="A64" s="29" t="n"/>
      <c r="B64" s="29" t="n"/>
      <c r="C64" s="14" t="n"/>
      <c r="D64" s="29" t="n"/>
      <c r="E64" s="29" t="n"/>
      <c r="F64" s="19" t="n"/>
      <c r="G64" s="19" t="n"/>
      <c r="H64" s="14" t="n"/>
      <c r="I64" s="48" t="n"/>
      <c r="J64" s="48" t="n"/>
      <c r="K64" s="48" t="n"/>
      <c r="L64" s="48" t="n"/>
      <c r="M64" s="29" t="n"/>
      <c r="N64" s="29" t="n"/>
      <c r="O64" s="14" t="n"/>
      <c r="P64" s="26" t="n"/>
      <c r="Q64" s="29" t="n"/>
      <c r="R64" s="29" t="n"/>
      <c r="S64" s="21">
        <f>IF(OR($A64="",$B$11&lt;=0),"",IF(AND(OR($AR$7=0,ISNUMBER($I64)),OR($AR$8=0,ISNUMBER($J64)),OR($AR$9=0,ISNUMBER($K64)),OR($AR$10=0,ISNUMBER($L64))),ROUND((N($I64)*$AR$7+N($J64)*$AR$8+N($K64)*$AR$9+N($L64)*$AR$10)*20/$B$11,0),""))</f>
        <v/>
      </c>
      <c r="T64" s="21">
        <f>IF($AB64=1,SUMPRODUCT(--($AC$32:$AC$81&gt;$AC64))+1,"")</f>
        <v/>
      </c>
      <c r="U64" s="31">
        <f>IF($AB64=0,"",IF(OR(NOT(ISNUMBER($B$16)),$AH64&gt;0),"Not read",IF($AF64&lt;=$B$16,"Fits","Doesn't fit")))</f>
        <v/>
      </c>
      <c r="V64" s="31">
        <f>IF($AB64=0,"",IF(OR(NOT(ISNUMBER($B$17)),$AI64&gt;0),"Not read",IF($AG64&lt;=$B$17,"Fits","Doesn't fit")))</f>
        <v/>
      </c>
      <c r="W64" s="21">
        <f>IF(OR($A64="",NOT(ISNUMBER($C64)),$M64&lt;&gt;""),"",MAX(0,TODAY()-$C64))</f>
        <v/>
      </c>
      <c r="X64" s="31">
        <f>IF($A64="","",IF($AQ64=0,"○ Clear",IF($AL64=1,"△ No objective from Portfolio",IF($AM64=1,"△ Decided without a score",IF($AO64=1,"△ Not on the Register under this name",IF($AO64=2,"△ Owner or objective differs from the Register",IF($AN64=2,"△ Accepted with no cost or effort",IF($AN64=1,"△ Doesn't fit, and nothing gives way",IF($AP64=2,"△ Decision isn't Accept, Defer or Decline","△ Decision missing who, when or why")))))))&amp;IF($AQ64&gt;1," (+"&amp;($AQ64-1)&amp;" more)","")))</f>
        <v/>
      </c>
      <c r="Y64" s="31">
        <f>IF($A64="","",IFERROR(MATCH(IF($R64&lt;&gt;"",TRIM($R64),TRIM($A64)),Register!$A$6:$A$305,0),0))</f>
        <v/>
      </c>
      <c r="Z64" s="31">
        <f>IF(N($Y64)=0,"",INDEX(Register!$D$6:$D$305,$Y64))</f>
        <v/>
      </c>
      <c r="AA64" s="31">
        <f>IF(OR($Z64="Active",$Z64="Paused",$Z64="Completed",$Z64="Terminated"),1,0)</f>
        <v/>
      </c>
      <c r="AB64" s="31">
        <f>IF(AND($A64&lt;&gt;"",ISNUMBER($S64),OR($M64="",$M64="Accept"),$AA64=0),1,0)</f>
        <v/>
      </c>
      <c r="AC64" s="31">
        <f>IF($AB64=1,$S64+(1000-ROW())/100000,0)</f>
        <v/>
      </c>
      <c r="AD64" s="31">
        <f>IF(AND($AB64=1,ISNUMBER($F64)),$F64,0)</f>
        <v/>
      </c>
      <c r="AE64" s="31">
        <f>IF(AND($AB64=1,ISNUMBER($G64)),$G64,0)</f>
        <v/>
      </c>
      <c r="AF64" s="31">
        <f>IF($AB64=1,SUMPRODUCT(($AC$32:$AC$81&gt;=$AC64)*$AD$32:$AD$81),"")</f>
        <v/>
      </c>
      <c r="AG64" s="31">
        <f>IF($AB64=1,SUMPRODUCT(($AC$32:$AC$81&gt;=$AC64)*$AE$32:$AE$81),"")</f>
        <v/>
      </c>
      <c r="AH64" s="31">
        <f>IF($AB64=1,SUMPRODUCT(($AC$32:$AC$81&gt;=$AC64)*(1-ISNUMBER($F$32:$F$81))),"")</f>
        <v/>
      </c>
      <c r="AI64" s="31">
        <f>IF($AB64=1,SUMPRODUCT(($AC$32:$AC$81&gt;=$AC64)*(1-ISNUMBER($G$32:$G$81))),"")</f>
        <v/>
      </c>
      <c r="AJ64" s="31">
        <f>IF(AND($AB64=1,$M64="Accept",ISNUMBER($O64)),SUMPRODUCT(($AC$32:$AC$81&gt;$AC64)*ISNUMBER($C$32:$C$81)*($C$32:$C$81&lt;=$O64)*((($M$32:$M$81="")+ISNUMBER($O$32:$O$81)*($O$32:$O$81&gt;$O64))&gt;0)),0)</f>
        <v/>
      </c>
      <c r="AK64" s="31">
        <f>IF($Q64="",0,IFERROR(IF(INDEX(Register!$D$6:$D$305,MATCH(TRIM($Q64),Register!$A$6:$A$305,0))="Active",1,0),0))</f>
        <v/>
      </c>
      <c r="AL64" s="31">
        <f>IF(AND($A64&lt;&gt;"",ISNUMBER($S64)),IF($D64="",1,IF(COUNTIF(Portfolio!$A$47:$A$56,$D64)=0,1,0)),0)</f>
        <v/>
      </c>
      <c r="AM64" s="31">
        <f>IF(AND($A64&lt;&gt;"",$M64&lt;&gt;"",NOT(ISNUMBER($S64))),1,0)</f>
        <v/>
      </c>
      <c r="AN64" s="31">
        <f>IF(AND($AB64=1,$M64="Accept"),IF(OR(AND(ISNUMBER($B$16),NOT(ISNUMBER($F64))),AND(ISNUMBER($B$17),NOT(ISNUMBER($G64)))),2,IF(AND(OR($U64="Doesn't fit",$V64="Doesn't fit"),$AK64=0),1,0)),0)</f>
        <v/>
      </c>
      <c r="AO64" s="31">
        <f>IF(OR($A64="",$M64&lt;&gt;"Accept"),0,IF($Y64=0,IF(OR($R64&lt;&gt;"",IFERROR(TODAY()-$O64,9999)&gt;IF(ISNUMBER($B$20),$B$20,14)),1,0),IF(OR(TRIM(INDEX(Register!$E$6:$E$305,$Y64)&amp;"")&lt;&gt;TRIM($E64&amp;""),TRIM(INDEX(Register!$G$6:$G$305,$Y64)&amp;"")&lt;&gt;TRIM($D64&amp;"")),2,0)))</f>
        <v/>
      </c>
      <c r="AP64" s="31">
        <f>IF(OR($A64="",$M64=""),0,IF(AND($M64&lt;&gt;"Accept",$M64&lt;&gt;"Defer",$M64&lt;&gt;"Decline"),2,IF(OR($N64="",NOT(ISNUMBER($O64))),1,IF(AND($P64="",OR($M64="Defer",$M64="Decline",$AJ64&gt;0)),1,0))))</f>
        <v/>
      </c>
      <c r="AQ64" s="31">
        <f>$AL64+$AM64+IF($AN64&gt;0,1,0)+IF($AO64&gt;0,1,0)+IF($AP64&gt;0,1,0)</f>
        <v/>
      </c>
    </row>
    <row r="65">
      <c r="A65" s="29" t="n"/>
      <c r="B65" s="29" t="n"/>
      <c r="C65" s="14" t="n"/>
      <c r="D65" s="29" t="n"/>
      <c r="E65" s="29" t="n"/>
      <c r="F65" s="19" t="n"/>
      <c r="G65" s="19" t="n"/>
      <c r="H65" s="14" t="n"/>
      <c r="I65" s="48" t="n"/>
      <c r="J65" s="48" t="n"/>
      <c r="K65" s="48" t="n"/>
      <c r="L65" s="48" t="n"/>
      <c r="M65" s="29" t="n"/>
      <c r="N65" s="29" t="n"/>
      <c r="O65" s="14" t="n"/>
      <c r="P65" s="26" t="n"/>
      <c r="Q65" s="29" t="n"/>
      <c r="R65" s="29" t="n"/>
      <c r="S65" s="21">
        <f>IF(OR($A65="",$B$11&lt;=0),"",IF(AND(OR($AR$7=0,ISNUMBER($I65)),OR($AR$8=0,ISNUMBER($J65)),OR($AR$9=0,ISNUMBER($K65)),OR($AR$10=0,ISNUMBER($L65))),ROUND((N($I65)*$AR$7+N($J65)*$AR$8+N($K65)*$AR$9+N($L65)*$AR$10)*20/$B$11,0),""))</f>
        <v/>
      </c>
      <c r="T65" s="21">
        <f>IF($AB65=1,SUMPRODUCT(--($AC$32:$AC$81&gt;$AC65))+1,"")</f>
        <v/>
      </c>
      <c r="U65" s="31">
        <f>IF($AB65=0,"",IF(OR(NOT(ISNUMBER($B$16)),$AH65&gt;0),"Not read",IF($AF65&lt;=$B$16,"Fits","Doesn't fit")))</f>
        <v/>
      </c>
      <c r="V65" s="31">
        <f>IF($AB65=0,"",IF(OR(NOT(ISNUMBER($B$17)),$AI65&gt;0),"Not read",IF($AG65&lt;=$B$17,"Fits","Doesn't fit")))</f>
        <v/>
      </c>
      <c r="W65" s="21">
        <f>IF(OR($A65="",NOT(ISNUMBER($C65)),$M65&lt;&gt;""),"",MAX(0,TODAY()-$C65))</f>
        <v/>
      </c>
      <c r="X65" s="31">
        <f>IF($A65="","",IF($AQ65=0,"○ Clear",IF($AL65=1,"△ No objective from Portfolio",IF($AM65=1,"△ Decided without a score",IF($AO65=1,"△ Not on the Register under this name",IF($AO65=2,"△ Owner or objective differs from the Register",IF($AN65=2,"△ Accepted with no cost or effort",IF($AN65=1,"△ Doesn't fit, and nothing gives way",IF($AP65=2,"△ Decision isn't Accept, Defer or Decline","△ Decision missing who, when or why")))))))&amp;IF($AQ65&gt;1," (+"&amp;($AQ65-1)&amp;" more)","")))</f>
        <v/>
      </c>
      <c r="Y65" s="31">
        <f>IF($A65="","",IFERROR(MATCH(IF($R65&lt;&gt;"",TRIM($R65),TRIM($A65)),Register!$A$6:$A$305,0),0))</f>
        <v/>
      </c>
      <c r="Z65" s="31">
        <f>IF(N($Y65)=0,"",INDEX(Register!$D$6:$D$305,$Y65))</f>
        <v/>
      </c>
      <c r="AA65" s="31">
        <f>IF(OR($Z65="Active",$Z65="Paused",$Z65="Completed",$Z65="Terminated"),1,0)</f>
        <v/>
      </c>
      <c r="AB65" s="31">
        <f>IF(AND($A65&lt;&gt;"",ISNUMBER($S65),OR($M65="",$M65="Accept"),$AA65=0),1,0)</f>
        <v/>
      </c>
      <c r="AC65" s="31">
        <f>IF($AB65=1,$S65+(1000-ROW())/100000,0)</f>
        <v/>
      </c>
      <c r="AD65" s="31">
        <f>IF(AND($AB65=1,ISNUMBER($F65)),$F65,0)</f>
        <v/>
      </c>
      <c r="AE65" s="31">
        <f>IF(AND($AB65=1,ISNUMBER($G65)),$G65,0)</f>
        <v/>
      </c>
      <c r="AF65" s="31">
        <f>IF($AB65=1,SUMPRODUCT(($AC$32:$AC$81&gt;=$AC65)*$AD$32:$AD$81),"")</f>
        <v/>
      </c>
      <c r="AG65" s="31">
        <f>IF($AB65=1,SUMPRODUCT(($AC$32:$AC$81&gt;=$AC65)*$AE$32:$AE$81),"")</f>
        <v/>
      </c>
      <c r="AH65" s="31">
        <f>IF($AB65=1,SUMPRODUCT(($AC$32:$AC$81&gt;=$AC65)*(1-ISNUMBER($F$32:$F$81))),"")</f>
        <v/>
      </c>
      <c r="AI65" s="31">
        <f>IF($AB65=1,SUMPRODUCT(($AC$32:$AC$81&gt;=$AC65)*(1-ISNUMBER($G$32:$G$81))),"")</f>
        <v/>
      </c>
      <c r="AJ65" s="31">
        <f>IF(AND($AB65=1,$M65="Accept",ISNUMBER($O65)),SUMPRODUCT(($AC$32:$AC$81&gt;$AC65)*ISNUMBER($C$32:$C$81)*($C$32:$C$81&lt;=$O65)*((($M$32:$M$81="")+ISNUMBER($O$32:$O$81)*($O$32:$O$81&gt;$O65))&gt;0)),0)</f>
        <v/>
      </c>
      <c r="AK65" s="31">
        <f>IF($Q65="",0,IFERROR(IF(INDEX(Register!$D$6:$D$305,MATCH(TRIM($Q65),Register!$A$6:$A$305,0))="Active",1,0),0))</f>
        <v/>
      </c>
      <c r="AL65" s="31">
        <f>IF(AND($A65&lt;&gt;"",ISNUMBER($S65)),IF($D65="",1,IF(COUNTIF(Portfolio!$A$47:$A$56,$D65)=0,1,0)),0)</f>
        <v/>
      </c>
      <c r="AM65" s="31">
        <f>IF(AND($A65&lt;&gt;"",$M65&lt;&gt;"",NOT(ISNUMBER($S65))),1,0)</f>
        <v/>
      </c>
      <c r="AN65" s="31">
        <f>IF(AND($AB65=1,$M65="Accept"),IF(OR(AND(ISNUMBER($B$16),NOT(ISNUMBER($F65))),AND(ISNUMBER($B$17),NOT(ISNUMBER($G65)))),2,IF(AND(OR($U65="Doesn't fit",$V65="Doesn't fit"),$AK65=0),1,0)),0)</f>
        <v/>
      </c>
      <c r="AO65" s="31">
        <f>IF(OR($A65="",$M65&lt;&gt;"Accept"),0,IF($Y65=0,IF(OR($R65&lt;&gt;"",IFERROR(TODAY()-$O65,9999)&gt;IF(ISNUMBER($B$20),$B$20,14)),1,0),IF(OR(TRIM(INDEX(Register!$E$6:$E$305,$Y65)&amp;"")&lt;&gt;TRIM($E65&amp;""),TRIM(INDEX(Register!$G$6:$G$305,$Y65)&amp;"")&lt;&gt;TRIM($D65&amp;"")),2,0)))</f>
        <v/>
      </c>
      <c r="AP65" s="31">
        <f>IF(OR($A65="",$M65=""),0,IF(AND($M65&lt;&gt;"Accept",$M65&lt;&gt;"Defer",$M65&lt;&gt;"Decline"),2,IF(OR($N65="",NOT(ISNUMBER($O65))),1,IF(AND($P65="",OR($M65="Defer",$M65="Decline",$AJ65&gt;0)),1,0))))</f>
        <v/>
      </c>
      <c r="AQ65" s="31">
        <f>$AL65+$AM65+IF($AN65&gt;0,1,0)+IF($AO65&gt;0,1,0)+IF($AP65&gt;0,1,0)</f>
        <v/>
      </c>
    </row>
    <row r="66">
      <c r="A66" s="29" t="n"/>
      <c r="B66" s="29" t="n"/>
      <c r="C66" s="14" t="n"/>
      <c r="D66" s="29" t="n"/>
      <c r="E66" s="29" t="n"/>
      <c r="F66" s="19" t="n"/>
      <c r="G66" s="19" t="n"/>
      <c r="H66" s="14" t="n"/>
      <c r="I66" s="48" t="n"/>
      <c r="J66" s="48" t="n"/>
      <c r="K66" s="48" t="n"/>
      <c r="L66" s="48" t="n"/>
      <c r="M66" s="29" t="n"/>
      <c r="N66" s="29" t="n"/>
      <c r="O66" s="14" t="n"/>
      <c r="P66" s="26" t="n"/>
      <c r="Q66" s="29" t="n"/>
      <c r="R66" s="29" t="n"/>
      <c r="S66" s="21">
        <f>IF(OR($A66="",$B$11&lt;=0),"",IF(AND(OR($AR$7=0,ISNUMBER($I66)),OR($AR$8=0,ISNUMBER($J66)),OR($AR$9=0,ISNUMBER($K66)),OR($AR$10=0,ISNUMBER($L66))),ROUND((N($I66)*$AR$7+N($J66)*$AR$8+N($K66)*$AR$9+N($L66)*$AR$10)*20/$B$11,0),""))</f>
        <v/>
      </c>
      <c r="T66" s="21">
        <f>IF($AB66=1,SUMPRODUCT(--($AC$32:$AC$81&gt;$AC66))+1,"")</f>
        <v/>
      </c>
      <c r="U66" s="31">
        <f>IF($AB66=0,"",IF(OR(NOT(ISNUMBER($B$16)),$AH66&gt;0),"Not read",IF($AF66&lt;=$B$16,"Fits","Doesn't fit")))</f>
        <v/>
      </c>
      <c r="V66" s="31">
        <f>IF($AB66=0,"",IF(OR(NOT(ISNUMBER($B$17)),$AI66&gt;0),"Not read",IF($AG66&lt;=$B$17,"Fits","Doesn't fit")))</f>
        <v/>
      </c>
      <c r="W66" s="21">
        <f>IF(OR($A66="",NOT(ISNUMBER($C66)),$M66&lt;&gt;""),"",MAX(0,TODAY()-$C66))</f>
        <v/>
      </c>
      <c r="X66" s="31">
        <f>IF($A66="","",IF($AQ66=0,"○ Clear",IF($AL66=1,"△ No objective from Portfolio",IF($AM66=1,"△ Decided without a score",IF($AO66=1,"△ Not on the Register under this name",IF($AO66=2,"△ Owner or objective differs from the Register",IF($AN66=2,"△ Accepted with no cost or effort",IF($AN66=1,"△ Doesn't fit, and nothing gives way",IF($AP66=2,"△ Decision isn't Accept, Defer or Decline","△ Decision missing who, when or why")))))))&amp;IF($AQ66&gt;1," (+"&amp;($AQ66-1)&amp;" more)","")))</f>
        <v/>
      </c>
      <c r="Y66" s="31">
        <f>IF($A66="","",IFERROR(MATCH(IF($R66&lt;&gt;"",TRIM($R66),TRIM($A66)),Register!$A$6:$A$305,0),0))</f>
        <v/>
      </c>
      <c r="Z66" s="31">
        <f>IF(N($Y66)=0,"",INDEX(Register!$D$6:$D$305,$Y66))</f>
        <v/>
      </c>
      <c r="AA66" s="31">
        <f>IF(OR($Z66="Active",$Z66="Paused",$Z66="Completed",$Z66="Terminated"),1,0)</f>
        <v/>
      </c>
      <c r="AB66" s="31">
        <f>IF(AND($A66&lt;&gt;"",ISNUMBER($S66),OR($M66="",$M66="Accept"),$AA66=0),1,0)</f>
        <v/>
      </c>
      <c r="AC66" s="31">
        <f>IF($AB66=1,$S66+(1000-ROW())/100000,0)</f>
        <v/>
      </c>
      <c r="AD66" s="31">
        <f>IF(AND($AB66=1,ISNUMBER($F66)),$F66,0)</f>
        <v/>
      </c>
      <c r="AE66" s="31">
        <f>IF(AND($AB66=1,ISNUMBER($G66)),$G66,0)</f>
        <v/>
      </c>
      <c r="AF66" s="31">
        <f>IF($AB66=1,SUMPRODUCT(($AC$32:$AC$81&gt;=$AC66)*$AD$32:$AD$81),"")</f>
        <v/>
      </c>
      <c r="AG66" s="31">
        <f>IF($AB66=1,SUMPRODUCT(($AC$32:$AC$81&gt;=$AC66)*$AE$32:$AE$81),"")</f>
        <v/>
      </c>
      <c r="AH66" s="31">
        <f>IF($AB66=1,SUMPRODUCT(($AC$32:$AC$81&gt;=$AC66)*(1-ISNUMBER($F$32:$F$81))),"")</f>
        <v/>
      </c>
      <c r="AI66" s="31">
        <f>IF($AB66=1,SUMPRODUCT(($AC$32:$AC$81&gt;=$AC66)*(1-ISNUMBER($G$32:$G$81))),"")</f>
        <v/>
      </c>
      <c r="AJ66" s="31">
        <f>IF(AND($AB66=1,$M66="Accept",ISNUMBER($O66)),SUMPRODUCT(($AC$32:$AC$81&gt;$AC66)*ISNUMBER($C$32:$C$81)*($C$32:$C$81&lt;=$O66)*((($M$32:$M$81="")+ISNUMBER($O$32:$O$81)*($O$32:$O$81&gt;$O66))&gt;0)),0)</f>
        <v/>
      </c>
      <c r="AK66" s="31">
        <f>IF($Q66="",0,IFERROR(IF(INDEX(Register!$D$6:$D$305,MATCH(TRIM($Q66),Register!$A$6:$A$305,0))="Active",1,0),0))</f>
        <v/>
      </c>
      <c r="AL66" s="31">
        <f>IF(AND($A66&lt;&gt;"",ISNUMBER($S66)),IF($D66="",1,IF(COUNTIF(Portfolio!$A$47:$A$56,$D66)=0,1,0)),0)</f>
        <v/>
      </c>
      <c r="AM66" s="31">
        <f>IF(AND($A66&lt;&gt;"",$M66&lt;&gt;"",NOT(ISNUMBER($S66))),1,0)</f>
        <v/>
      </c>
      <c r="AN66" s="31">
        <f>IF(AND($AB66=1,$M66="Accept"),IF(OR(AND(ISNUMBER($B$16),NOT(ISNUMBER($F66))),AND(ISNUMBER($B$17),NOT(ISNUMBER($G66)))),2,IF(AND(OR($U66="Doesn't fit",$V66="Doesn't fit"),$AK66=0),1,0)),0)</f>
        <v/>
      </c>
      <c r="AO66" s="31">
        <f>IF(OR($A66="",$M66&lt;&gt;"Accept"),0,IF($Y66=0,IF(OR($R66&lt;&gt;"",IFERROR(TODAY()-$O66,9999)&gt;IF(ISNUMBER($B$20),$B$20,14)),1,0),IF(OR(TRIM(INDEX(Register!$E$6:$E$305,$Y66)&amp;"")&lt;&gt;TRIM($E66&amp;""),TRIM(INDEX(Register!$G$6:$G$305,$Y66)&amp;"")&lt;&gt;TRIM($D66&amp;"")),2,0)))</f>
        <v/>
      </c>
      <c r="AP66" s="31">
        <f>IF(OR($A66="",$M66=""),0,IF(AND($M66&lt;&gt;"Accept",$M66&lt;&gt;"Defer",$M66&lt;&gt;"Decline"),2,IF(OR($N66="",NOT(ISNUMBER($O66))),1,IF(AND($P66="",OR($M66="Defer",$M66="Decline",$AJ66&gt;0)),1,0))))</f>
        <v/>
      </c>
      <c r="AQ66" s="31">
        <f>$AL66+$AM66+IF($AN66&gt;0,1,0)+IF($AO66&gt;0,1,0)+IF($AP66&gt;0,1,0)</f>
        <v/>
      </c>
    </row>
    <row r="67">
      <c r="A67" s="29" t="n"/>
      <c r="B67" s="29" t="n"/>
      <c r="C67" s="14" t="n"/>
      <c r="D67" s="29" t="n"/>
      <c r="E67" s="29" t="n"/>
      <c r="F67" s="19" t="n"/>
      <c r="G67" s="19" t="n"/>
      <c r="H67" s="14" t="n"/>
      <c r="I67" s="48" t="n"/>
      <c r="J67" s="48" t="n"/>
      <c r="K67" s="48" t="n"/>
      <c r="L67" s="48" t="n"/>
      <c r="M67" s="29" t="n"/>
      <c r="N67" s="29" t="n"/>
      <c r="O67" s="14" t="n"/>
      <c r="P67" s="26" t="n"/>
      <c r="Q67" s="29" t="n"/>
      <c r="R67" s="29" t="n"/>
      <c r="S67" s="21">
        <f>IF(OR($A67="",$B$11&lt;=0),"",IF(AND(OR($AR$7=0,ISNUMBER($I67)),OR($AR$8=0,ISNUMBER($J67)),OR($AR$9=0,ISNUMBER($K67)),OR($AR$10=0,ISNUMBER($L67))),ROUND((N($I67)*$AR$7+N($J67)*$AR$8+N($K67)*$AR$9+N($L67)*$AR$10)*20/$B$11,0),""))</f>
        <v/>
      </c>
      <c r="T67" s="21">
        <f>IF($AB67=1,SUMPRODUCT(--($AC$32:$AC$81&gt;$AC67))+1,"")</f>
        <v/>
      </c>
      <c r="U67" s="31">
        <f>IF($AB67=0,"",IF(OR(NOT(ISNUMBER($B$16)),$AH67&gt;0),"Not read",IF($AF67&lt;=$B$16,"Fits","Doesn't fit")))</f>
        <v/>
      </c>
      <c r="V67" s="31">
        <f>IF($AB67=0,"",IF(OR(NOT(ISNUMBER($B$17)),$AI67&gt;0),"Not read",IF($AG67&lt;=$B$17,"Fits","Doesn't fit")))</f>
        <v/>
      </c>
      <c r="W67" s="21">
        <f>IF(OR($A67="",NOT(ISNUMBER($C67)),$M67&lt;&gt;""),"",MAX(0,TODAY()-$C67))</f>
        <v/>
      </c>
      <c r="X67" s="31">
        <f>IF($A67="","",IF($AQ67=0,"○ Clear",IF($AL67=1,"△ No objective from Portfolio",IF($AM67=1,"△ Decided without a score",IF($AO67=1,"△ Not on the Register under this name",IF($AO67=2,"△ Owner or objective differs from the Register",IF($AN67=2,"△ Accepted with no cost or effort",IF($AN67=1,"△ Doesn't fit, and nothing gives way",IF($AP67=2,"△ Decision isn't Accept, Defer or Decline","△ Decision missing who, when or why")))))))&amp;IF($AQ67&gt;1," (+"&amp;($AQ67-1)&amp;" more)","")))</f>
        <v/>
      </c>
      <c r="Y67" s="31">
        <f>IF($A67="","",IFERROR(MATCH(IF($R67&lt;&gt;"",TRIM($R67),TRIM($A67)),Register!$A$6:$A$305,0),0))</f>
        <v/>
      </c>
      <c r="Z67" s="31">
        <f>IF(N($Y67)=0,"",INDEX(Register!$D$6:$D$305,$Y67))</f>
        <v/>
      </c>
      <c r="AA67" s="31">
        <f>IF(OR($Z67="Active",$Z67="Paused",$Z67="Completed",$Z67="Terminated"),1,0)</f>
        <v/>
      </c>
      <c r="AB67" s="31">
        <f>IF(AND($A67&lt;&gt;"",ISNUMBER($S67),OR($M67="",$M67="Accept"),$AA67=0),1,0)</f>
        <v/>
      </c>
      <c r="AC67" s="31">
        <f>IF($AB67=1,$S67+(1000-ROW())/100000,0)</f>
        <v/>
      </c>
      <c r="AD67" s="31">
        <f>IF(AND($AB67=1,ISNUMBER($F67)),$F67,0)</f>
        <v/>
      </c>
      <c r="AE67" s="31">
        <f>IF(AND($AB67=1,ISNUMBER($G67)),$G67,0)</f>
        <v/>
      </c>
      <c r="AF67" s="31">
        <f>IF($AB67=1,SUMPRODUCT(($AC$32:$AC$81&gt;=$AC67)*$AD$32:$AD$81),"")</f>
        <v/>
      </c>
      <c r="AG67" s="31">
        <f>IF($AB67=1,SUMPRODUCT(($AC$32:$AC$81&gt;=$AC67)*$AE$32:$AE$81),"")</f>
        <v/>
      </c>
      <c r="AH67" s="31">
        <f>IF($AB67=1,SUMPRODUCT(($AC$32:$AC$81&gt;=$AC67)*(1-ISNUMBER($F$32:$F$81))),"")</f>
        <v/>
      </c>
      <c r="AI67" s="31">
        <f>IF($AB67=1,SUMPRODUCT(($AC$32:$AC$81&gt;=$AC67)*(1-ISNUMBER($G$32:$G$81))),"")</f>
        <v/>
      </c>
      <c r="AJ67" s="31">
        <f>IF(AND($AB67=1,$M67="Accept",ISNUMBER($O67)),SUMPRODUCT(($AC$32:$AC$81&gt;$AC67)*ISNUMBER($C$32:$C$81)*($C$32:$C$81&lt;=$O67)*((($M$32:$M$81="")+ISNUMBER($O$32:$O$81)*($O$32:$O$81&gt;$O67))&gt;0)),0)</f>
        <v/>
      </c>
      <c r="AK67" s="31">
        <f>IF($Q67="",0,IFERROR(IF(INDEX(Register!$D$6:$D$305,MATCH(TRIM($Q67),Register!$A$6:$A$305,0))="Active",1,0),0))</f>
        <v/>
      </c>
      <c r="AL67" s="31">
        <f>IF(AND($A67&lt;&gt;"",ISNUMBER($S67)),IF($D67="",1,IF(COUNTIF(Portfolio!$A$47:$A$56,$D67)=0,1,0)),0)</f>
        <v/>
      </c>
      <c r="AM67" s="31">
        <f>IF(AND($A67&lt;&gt;"",$M67&lt;&gt;"",NOT(ISNUMBER($S67))),1,0)</f>
        <v/>
      </c>
      <c r="AN67" s="31">
        <f>IF(AND($AB67=1,$M67="Accept"),IF(OR(AND(ISNUMBER($B$16),NOT(ISNUMBER($F67))),AND(ISNUMBER($B$17),NOT(ISNUMBER($G67)))),2,IF(AND(OR($U67="Doesn't fit",$V67="Doesn't fit"),$AK67=0),1,0)),0)</f>
        <v/>
      </c>
      <c r="AO67" s="31">
        <f>IF(OR($A67="",$M67&lt;&gt;"Accept"),0,IF($Y67=0,IF(OR($R67&lt;&gt;"",IFERROR(TODAY()-$O67,9999)&gt;IF(ISNUMBER($B$20),$B$20,14)),1,0),IF(OR(TRIM(INDEX(Register!$E$6:$E$305,$Y67)&amp;"")&lt;&gt;TRIM($E67&amp;""),TRIM(INDEX(Register!$G$6:$G$305,$Y67)&amp;"")&lt;&gt;TRIM($D67&amp;"")),2,0)))</f>
        <v/>
      </c>
      <c r="AP67" s="31">
        <f>IF(OR($A67="",$M67=""),0,IF(AND($M67&lt;&gt;"Accept",$M67&lt;&gt;"Defer",$M67&lt;&gt;"Decline"),2,IF(OR($N67="",NOT(ISNUMBER($O67))),1,IF(AND($P67="",OR($M67="Defer",$M67="Decline",$AJ67&gt;0)),1,0))))</f>
        <v/>
      </c>
      <c r="AQ67" s="31">
        <f>$AL67+$AM67+IF($AN67&gt;0,1,0)+IF($AO67&gt;0,1,0)+IF($AP67&gt;0,1,0)</f>
        <v/>
      </c>
    </row>
    <row r="68">
      <c r="A68" s="29" t="n"/>
      <c r="B68" s="29" t="n"/>
      <c r="C68" s="14" t="n"/>
      <c r="D68" s="29" t="n"/>
      <c r="E68" s="29" t="n"/>
      <c r="F68" s="19" t="n"/>
      <c r="G68" s="19" t="n"/>
      <c r="H68" s="14" t="n"/>
      <c r="I68" s="48" t="n"/>
      <c r="J68" s="48" t="n"/>
      <c r="K68" s="48" t="n"/>
      <c r="L68" s="48" t="n"/>
      <c r="M68" s="29" t="n"/>
      <c r="N68" s="29" t="n"/>
      <c r="O68" s="14" t="n"/>
      <c r="P68" s="26" t="n"/>
      <c r="Q68" s="29" t="n"/>
      <c r="R68" s="29" t="n"/>
      <c r="S68" s="21">
        <f>IF(OR($A68="",$B$11&lt;=0),"",IF(AND(OR($AR$7=0,ISNUMBER($I68)),OR($AR$8=0,ISNUMBER($J68)),OR($AR$9=0,ISNUMBER($K68)),OR($AR$10=0,ISNUMBER($L68))),ROUND((N($I68)*$AR$7+N($J68)*$AR$8+N($K68)*$AR$9+N($L68)*$AR$10)*20/$B$11,0),""))</f>
        <v/>
      </c>
      <c r="T68" s="21">
        <f>IF($AB68=1,SUMPRODUCT(--($AC$32:$AC$81&gt;$AC68))+1,"")</f>
        <v/>
      </c>
      <c r="U68" s="31">
        <f>IF($AB68=0,"",IF(OR(NOT(ISNUMBER($B$16)),$AH68&gt;0),"Not read",IF($AF68&lt;=$B$16,"Fits","Doesn't fit")))</f>
        <v/>
      </c>
      <c r="V68" s="31">
        <f>IF($AB68=0,"",IF(OR(NOT(ISNUMBER($B$17)),$AI68&gt;0),"Not read",IF($AG68&lt;=$B$17,"Fits","Doesn't fit")))</f>
        <v/>
      </c>
      <c r="W68" s="21">
        <f>IF(OR($A68="",NOT(ISNUMBER($C68)),$M68&lt;&gt;""),"",MAX(0,TODAY()-$C68))</f>
        <v/>
      </c>
      <c r="X68" s="31">
        <f>IF($A68="","",IF($AQ68=0,"○ Clear",IF($AL68=1,"△ No objective from Portfolio",IF($AM68=1,"△ Decided without a score",IF($AO68=1,"△ Not on the Register under this name",IF($AO68=2,"△ Owner or objective differs from the Register",IF($AN68=2,"△ Accepted with no cost or effort",IF($AN68=1,"△ Doesn't fit, and nothing gives way",IF($AP68=2,"△ Decision isn't Accept, Defer or Decline","△ Decision missing who, when or why")))))))&amp;IF($AQ68&gt;1," (+"&amp;($AQ68-1)&amp;" more)","")))</f>
        <v/>
      </c>
      <c r="Y68" s="31">
        <f>IF($A68="","",IFERROR(MATCH(IF($R68&lt;&gt;"",TRIM($R68),TRIM($A68)),Register!$A$6:$A$305,0),0))</f>
        <v/>
      </c>
      <c r="Z68" s="31">
        <f>IF(N($Y68)=0,"",INDEX(Register!$D$6:$D$305,$Y68))</f>
        <v/>
      </c>
      <c r="AA68" s="31">
        <f>IF(OR($Z68="Active",$Z68="Paused",$Z68="Completed",$Z68="Terminated"),1,0)</f>
        <v/>
      </c>
      <c r="AB68" s="31">
        <f>IF(AND($A68&lt;&gt;"",ISNUMBER($S68),OR($M68="",$M68="Accept"),$AA68=0),1,0)</f>
        <v/>
      </c>
      <c r="AC68" s="31">
        <f>IF($AB68=1,$S68+(1000-ROW())/100000,0)</f>
        <v/>
      </c>
      <c r="AD68" s="31">
        <f>IF(AND($AB68=1,ISNUMBER($F68)),$F68,0)</f>
        <v/>
      </c>
      <c r="AE68" s="31">
        <f>IF(AND($AB68=1,ISNUMBER($G68)),$G68,0)</f>
        <v/>
      </c>
      <c r="AF68" s="31">
        <f>IF($AB68=1,SUMPRODUCT(($AC$32:$AC$81&gt;=$AC68)*$AD$32:$AD$81),"")</f>
        <v/>
      </c>
      <c r="AG68" s="31">
        <f>IF($AB68=1,SUMPRODUCT(($AC$32:$AC$81&gt;=$AC68)*$AE$32:$AE$81),"")</f>
        <v/>
      </c>
      <c r="AH68" s="31">
        <f>IF($AB68=1,SUMPRODUCT(($AC$32:$AC$81&gt;=$AC68)*(1-ISNUMBER($F$32:$F$81))),"")</f>
        <v/>
      </c>
      <c r="AI68" s="31">
        <f>IF($AB68=1,SUMPRODUCT(($AC$32:$AC$81&gt;=$AC68)*(1-ISNUMBER($G$32:$G$81))),"")</f>
        <v/>
      </c>
      <c r="AJ68" s="31">
        <f>IF(AND($AB68=1,$M68="Accept",ISNUMBER($O68)),SUMPRODUCT(($AC$32:$AC$81&gt;$AC68)*ISNUMBER($C$32:$C$81)*($C$32:$C$81&lt;=$O68)*((($M$32:$M$81="")+ISNUMBER($O$32:$O$81)*($O$32:$O$81&gt;$O68))&gt;0)),0)</f>
        <v/>
      </c>
      <c r="AK68" s="31">
        <f>IF($Q68="",0,IFERROR(IF(INDEX(Register!$D$6:$D$305,MATCH(TRIM($Q68),Register!$A$6:$A$305,0))="Active",1,0),0))</f>
        <v/>
      </c>
      <c r="AL68" s="31">
        <f>IF(AND($A68&lt;&gt;"",ISNUMBER($S68)),IF($D68="",1,IF(COUNTIF(Portfolio!$A$47:$A$56,$D68)=0,1,0)),0)</f>
        <v/>
      </c>
      <c r="AM68" s="31">
        <f>IF(AND($A68&lt;&gt;"",$M68&lt;&gt;"",NOT(ISNUMBER($S68))),1,0)</f>
        <v/>
      </c>
      <c r="AN68" s="31">
        <f>IF(AND($AB68=1,$M68="Accept"),IF(OR(AND(ISNUMBER($B$16),NOT(ISNUMBER($F68))),AND(ISNUMBER($B$17),NOT(ISNUMBER($G68)))),2,IF(AND(OR($U68="Doesn't fit",$V68="Doesn't fit"),$AK68=0),1,0)),0)</f>
        <v/>
      </c>
      <c r="AO68" s="31">
        <f>IF(OR($A68="",$M68&lt;&gt;"Accept"),0,IF($Y68=0,IF(OR($R68&lt;&gt;"",IFERROR(TODAY()-$O68,9999)&gt;IF(ISNUMBER($B$20),$B$20,14)),1,0),IF(OR(TRIM(INDEX(Register!$E$6:$E$305,$Y68)&amp;"")&lt;&gt;TRIM($E68&amp;""),TRIM(INDEX(Register!$G$6:$G$305,$Y68)&amp;"")&lt;&gt;TRIM($D68&amp;"")),2,0)))</f>
        <v/>
      </c>
      <c r="AP68" s="31">
        <f>IF(OR($A68="",$M68=""),0,IF(AND($M68&lt;&gt;"Accept",$M68&lt;&gt;"Defer",$M68&lt;&gt;"Decline"),2,IF(OR($N68="",NOT(ISNUMBER($O68))),1,IF(AND($P68="",OR($M68="Defer",$M68="Decline",$AJ68&gt;0)),1,0))))</f>
        <v/>
      </c>
      <c r="AQ68" s="31">
        <f>$AL68+$AM68+IF($AN68&gt;0,1,0)+IF($AO68&gt;0,1,0)+IF($AP68&gt;0,1,0)</f>
        <v/>
      </c>
    </row>
    <row r="69">
      <c r="A69" s="29" t="n"/>
      <c r="B69" s="29" t="n"/>
      <c r="C69" s="14" t="n"/>
      <c r="D69" s="29" t="n"/>
      <c r="E69" s="29" t="n"/>
      <c r="F69" s="19" t="n"/>
      <c r="G69" s="19" t="n"/>
      <c r="H69" s="14" t="n"/>
      <c r="I69" s="48" t="n"/>
      <c r="J69" s="48" t="n"/>
      <c r="K69" s="48" t="n"/>
      <c r="L69" s="48" t="n"/>
      <c r="M69" s="29" t="n"/>
      <c r="N69" s="29" t="n"/>
      <c r="O69" s="14" t="n"/>
      <c r="P69" s="26" t="n"/>
      <c r="Q69" s="29" t="n"/>
      <c r="R69" s="29" t="n"/>
      <c r="S69" s="21">
        <f>IF(OR($A69="",$B$11&lt;=0),"",IF(AND(OR($AR$7=0,ISNUMBER($I69)),OR($AR$8=0,ISNUMBER($J69)),OR($AR$9=0,ISNUMBER($K69)),OR($AR$10=0,ISNUMBER($L69))),ROUND((N($I69)*$AR$7+N($J69)*$AR$8+N($K69)*$AR$9+N($L69)*$AR$10)*20/$B$11,0),""))</f>
        <v/>
      </c>
      <c r="T69" s="21">
        <f>IF($AB69=1,SUMPRODUCT(--($AC$32:$AC$81&gt;$AC69))+1,"")</f>
        <v/>
      </c>
      <c r="U69" s="31">
        <f>IF($AB69=0,"",IF(OR(NOT(ISNUMBER($B$16)),$AH69&gt;0),"Not read",IF($AF69&lt;=$B$16,"Fits","Doesn't fit")))</f>
        <v/>
      </c>
      <c r="V69" s="31">
        <f>IF($AB69=0,"",IF(OR(NOT(ISNUMBER($B$17)),$AI69&gt;0),"Not read",IF($AG69&lt;=$B$17,"Fits","Doesn't fit")))</f>
        <v/>
      </c>
      <c r="W69" s="21">
        <f>IF(OR($A69="",NOT(ISNUMBER($C69)),$M69&lt;&gt;""),"",MAX(0,TODAY()-$C69))</f>
        <v/>
      </c>
      <c r="X69" s="31">
        <f>IF($A69="","",IF($AQ69=0,"○ Clear",IF($AL69=1,"△ No objective from Portfolio",IF($AM69=1,"△ Decided without a score",IF($AO69=1,"△ Not on the Register under this name",IF($AO69=2,"△ Owner or objective differs from the Register",IF($AN69=2,"△ Accepted with no cost or effort",IF($AN69=1,"△ Doesn't fit, and nothing gives way",IF($AP69=2,"△ Decision isn't Accept, Defer or Decline","△ Decision missing who, when or why")))))))&amp;IF($AQ69&gt;1," (+"&amp;($AQ69-1)&amp;" more)","")))</f>
        <v/>
      </c>
      <c r="Y69" s="31">
        <f>IF($A69="","",IFERROR(MATCH(IF($R69&lt;&gt;"",TRIM($R69),TRIM($A69)),Register!$A$6:$A$305,0),0))</f>
        <v/>
      </c>
      <c r="Z69" s="31">
        <f>IF(N($Y69)=0,"",INDEX(Register!$D$6:$D$305,$Y69))</f>
        <v/>
      </c>
      <c r="AA69" s="31">
        <f>IF(OR($Z69="Active",$Z69="Paused",$Z69="Completed",$Z69="Terminated"),1,0)</f>
        <v/>
      </c>
      <c r="AB69" s="31">
        <f>IF(AND($A69&lt;&gt;"",ISNUMBER($S69),OR($M69="",$M69="Accept"),$AA69=0),1,0)</f>
        <v/>
      </c>
      <c r="AC69" s="31">
        <f>IF($AB69=1,$S69+(1000-ROW())/100000,0)</f>
        <v/>
      </c>
      <c r="AD69" s="31">
        <f>IF(AND($AB69=1,ISNUMBER($F69)),$F69,0)</f>
        <v/>
      </c>
      <c r="AE69" s="31">
        <f>IF(AND($AB69=1,ISNUMBER($G69)),$G69,0)</f>
        <v/>
      </c>
      <c r="AF69" s="31">
        <f>IF($AB69=1,SUMPRODUCT(($AC$32:$AC$81&gt;=$AC69)*$AD$32:$AD$81),"")</f>
        <v/>
      </c>
      <c r="AG69" s="31">
        <f>IF($AB69=1,SUMPRODUCT(($AC$32:$AC$81&gt;=$AC69)*$AE$32:$AE$81),"")</f>
        <v/>
      </c>
      <c r="AH69" s="31">
        <f>IF($AB69=1,SUMPRODUCT(($AC$32:$AC$81&gt;=$AC69)*(1-ISNUMBER($F$32:$F$81))),"")</f>
        <v/>
      </c>
      <c r="AI69" s="31">
        <f>IF($AB69=1,SUMPRODUCT(($AC$32:$AC$81&gt;=$AC69)*(1-ISNUMBER($G$32:$G$81))),"")</f>
        <v/>
      </c>
      <c r="AJ69" s="31">
        <f>IF(AND($AB69=1,$M69="Accept",ISNUMBER($O69)),SUMPRODUCT(($AC$32:$AC$81&gt;$AC69)*ISNUMBER($C$32:$C$81)*($C$32:$C$81&lt;=$O69)*((($M$32:$M$81="")+ISNUMBER($O$32:$O$81)*($O$32:$O$81&gt;$O69))&gt;0)),0)</f>
        <v/>
      </c>
      <c r="AK69" s="31">
        <f>IF($Q69="",0,IFERROR(IF(INDEX(Register!$D$6:$D$305,MATCH(TRIM($Q69),Register!$A$6:$A$305,0))="Active",1,0),0))</f>
        <v/>
      </c>
      <c r="AL69" s="31">
        <f>IF(AND($A69&lt;&gt;"",ISNUMBER($S69)),IF($D69="",1,IF(COUNTIF(Portfolio!$A$47:$A$56,$D69)=0,1,0)),0)</f>
        <v/>
      </c>
      <c r="AM69" s="31">
        <f>IF(AND($A69&lt;&gt;"",$M69&lt;&gt;"",NOT(ISNUMBER($S69))),1,0)</f>
        <v/>
      </c>
      <c r="AN69" s="31">
        <f>IF(AND($AB69=1,$M69="Accept"),IF(OR(AND(ISNUMBER($B$16),NOT(ISNUMBER($F69))),AND(ISNUMBER($B$17),NOT(ISNUMBER($G69)))),2,IF(AND(OR($U69="Doesn't fit",$V69="Doesn't fit"),$AK69=0),1,0)),0)</f>
        <v/>
      </c>
      <c r="AO69" s="31">
        <f>IF(OR($A69="",$M69&lt;&gt;"Accept"),0,IF($Y69=0,IF(OR($R69&lt;&gt;"",IFERROR(TODAY()-$O69,9999)&gt;IF(ISNUMBER($B$20),$B$20,14)),1,0),IF(OR(TRIM(INDEX(Register!$E$6:$E$305,$Y69)&amp;"")&lt;&gt;TRIM($E69&amp;""),TRIM(INDEX(Register!$G$6:$G$305,$Y69)&amp;"")&lt;&gt;TRIM($D69&amp;"")),2,0)))</f>
        <v/>
      </c>
      <c r="AP69" s="31">
        <f>IF(OR($A69="",$M69=""),0,IF(AND($M69&lt;&gt;"Accept",$M69&lt;&gt;"Defer",$M69&lt;&gt;"Decline"),2,IF(OR($N69="",NOT(ISNUMBER($O69))),1,IF(AND($P69="",OR($M69="Defer",$M69="Decline",$AJ69&gt;0)),1,0))))</f>
        <v/>
      </c>
      <c r="AQ69" s="31">
        <f>$AL69+$AM69+IF($AN69&gt;0,1,0)+IF($AO69&gt;0,1,0)+IF($AP69&gt;0,1,0)</f>
        <v/>
      </c>
    </row>
    <row r="70">
      <c r="A70" s="29" t="n"/>
      <c r="B70" s="29" t="n"/>
      <c r="C70" s="14" t="n"/>
      <c r="D70" s="29" t="n"/>
      <c r="E70" s="29" t="n"/>
      <c r="F70" s="19" t="n"/>
      <c r="G70" s="19" t="n"/>
      <c r="H70" s="14" t="n"/>
      <c r="I70" s="48" t="n"/>
      <c r="J70" s="48" t="n"/>
      <c r="K70" s="48" t="n"/>
      <c r="L70" s="48" t="n"/>
      <c r="M70" s="29" t="n"/>
      <c r="N70" s="29" t="n"/>
      <c r="O70" s="14" t="n"/>
      <c r="P70" s="26" t="n"/>
      <c r="Q70" s="29" t="n"/>
      <c r="R70" s="29" t="n"/>
      <c r="S70" s="21">
        <f>IF(OR($A70="",$B$11&lt;=0),"",IF(AND(OR($AR$7=0,ISNUMBER($I70)),OR($AR$8=0,ISNUMBER($J70)),OR($AR$9=0,ISNUMBER($K70)),OR($AR$10=0,ISNUMBER($L70))),ROUND((N($I70)*$AR$7+N($J70)*$AR$8+N($K70)*$AR$9+N($L70)*$AR$10)*20/$B$11,0),""))</f>
        <v/>
      </c>
      <c r="T70" s="21">
        <f>IF($AB70=1,SUMPRODUCT(--($AC$32:$AC$81&gt;$AC70))+1,"")</f>
        <v/>
      </c>
      <c r="U70" s="31">
        <f>IF($AB70=0,"",IF(OR(NOT(ISNUMBER($B$16)),$AH70&gt;0),"Not read",IF($AF70&lt;=$B$16,"Fits","Doesn't fit")))</f>
        <v/>
      </c>
      <c r="V70" s="31">
        <f>IF($AB70=0,"",IF(OR(NOT(ISNUMBER($B$17)),$AI70&gt;0),"Not read",IF($AG70&lt;=$B$17,"Fits","Doesn't fit")))</f>
        <v/>
      </c>
      <c r="W70" s="21">
        <f>IF(OR($A70="",NOT(ISNUMBER($C70)),$M70&lt;&gt;""),"",MAX(0,TODAY()-$C70))</f>
        <v/>
      </c>
      <c r="X70" s="31">
        <f>IF($A70="","",IF($AQ70=0,"○ Clear",IF($AL70=1,"△ No objective from Portfolio",IF($AM70=1,"△ Decided without a score",IF($AO70=1,"△ Not on the Register under this name",IF($AO70=2,"△ Owner or objective differs from the Register",IF($AN70=2,"△ Accepted with no cost or effort",IF($AN70=1,"△ Doesn't fit, and nothing gives way",IF($AP70=2,"△ Decision isn't Accept, Defer or Decline","△ Decision missing who, when or why")))))))&amp;IF($AQ70&gt;1," (+"&amp;($AQ70-1)&amp;" more)","")))</f>
        <v/>
      </c>
      <c r="Y70" s="31">
        <f>IF($A70="","",IFERROR(MATCH(IF($R70&lt;&gt;"",TRIM($R70),TRIM($A70)),Register!$A$6:$A$305,0),0))</f>
        <v/>
      </c>
      <c r="Z70" s="31">
        <f>IF(N($Y70)=0,"",INDEX(Register!$D$6:$D$305,$Y70))</f>
        <v/>
      </c>
      <c r="AA70" s="31">
        <f>IF(OR($Z70="Active",$Z70="Paused",$Z70="Completed",$Z70="Terminated"),1,0)</f>
        <v/>
      </c>
      <c r="AB70" s="31">
        <f>IF(AND($A70&lt;&gt;"",ISNUMBER($S70),OR($M70="",$M70="Accept"),$AA70=0),1,0)</f>
        <v/>
      </c>
      <c r="AC70" s="31">
        <f>IF($AB70=1,$S70+(1000-ROW())/100000,0)</f>
        <v/>
      </c>
      <c r="AD70" s="31">
        <f>IF(AND($AB70=1,ISNUMBER($F70)),$F70,0)</f>
        <v/>
      </c>
      <c r="AE70" s="31">
        <f>IF(AND($AB70=1,ISNUMBER($G70)),$G70,0)</f>
        <v/>
      </c>
      <c r="AF70" s="31">
        <f>IF($AB70=1,SUMPRODUCT(($AC$32:$AC$81&gt;=$AC70)*$AD$32:$AD$81),"")</f>
        <v/>
      </c>
      <c r="AG70" s="31">
        <f>IF($AB70=1,SUMPRODUCT(($AC$32:$AC$81&gt;=$AC70)*$AE$32:$AE$81),"")</f>
        <v/>
      </c>
      <c r="AH70" s="31">
        <f>IF($AB70=1,SUMPRODUCT(($AC$32:$AC$81&gt;=$AC70)*(1-ISNUMBER($F$32:$F$81))),"")</f>
        <v/>
      </c>
      <c r="AI70" s="31">
        <f>IF($AB70=1,SUMPRODUCT(($AC$32:$AC$81&gt;=$AC70)*(1-ISNUMBER($G$32:$G$81))),"")</f>
        <v/>
      </c>
      <c r="AJ70" s="31">
        <f>IF(AND($AB70=1,$M70="Accept",ISNUMBER($O70)),SUMPRODUCT(($AC$32:$AC$81&gt;$AC70)*ISNUMBER($C$32:$C$81)*($C$32:$C$81&lt;=$O70)*((($M$32:$M$81="")+ISNUMBER($O$32:$O$81)*($O$32:$O$81&gt;$O70))&gt;0)),0)</f>
        <v/>
      </c>
      <c r="AK70" s="31">
        <f>IF($Q70="",0,IFERROR(IF(INDEX(Register!$D$6:$D$305,MATCH(TRIM($Q70),Register!$A$6:$A$305,0))="Active",1,0),0))</f>
        <v/>
      </c>
      <c r="AL70" s="31">
        <f>IF(AND($A70&lt;&gt;"",ISNUMBER($S70)),IF($D70="",1,IF(COUNTIF(Portfolio!$A$47:$A$56,$D70)=0,1,0)),0)</f>
        <v/>
      </c>
      <c r="AM70" s="31">
        <f>IF(AND($A70&lt;&gt;"",$M70&lt;&gt;"",NOT(ISNUMBER($S70))),1,0)</f>
        <v/>
      </c>
      <c r="AN70" s="31">
        <f>IF(AND($AB70=1,$M70="Accept"),IF(OR(AND(ISNUMBER($B$16),NOT(ISNUMBER($F70))),AND(ISNUMBER($B$17),NOT(ISNUMBER($G70)))),2,IF(AND(OR($U70="Doesn't fit",$V70="Doesn't fit"),$AK70=0),1,0)),0)</f>
        <v/>
      </c>
      <c r="AO70" s="31">
        <f>IF(OR($A70="",$M70&lt;&gt;"Accept"),0,IF($Y70=0,IF(OR($R70&lt;&gt;"",IFERROR(TODAY()-$O70,9999)&gt;IF(ISNUMBER($B$20),$B$20,14)),1,0),IF(OR(TRIM(INDEX(Register!$E$6:$E$305,$Y70)&amp;"")&lt;&gt;TRIM($E70&amp;""),TRIM(INDEX(Register!$G$6:$G$305,$Y70)&amp;"")&lt;&gt;TRIM($D70&amp;"")),2,0)))</f>
        <v/>
      </c>
      <c r="AP70" s="31">
        <f>IF(OR($A70="",$M70=""),0,IF(AND($M70&lt;&gt;"Accept",$M70&lt;&gt;"Defer",$M70&lt;&gt;"Decline"),2,IF(OR($N70="",NOT(ISNUMBER($O70))),1,IF(AND($P70="",OR($M70="Defer",$M70="Decline",$AJ70&gt;0)),1,0))))</f>
        <v/>
      </c>
      <c r="AQ70" s="31">
        <f>$AL70+$AM70+IF($AN70&gt;0,1,0)+IF($AO70&gt;0,1,0)+IF($AP70&gt;0,1,0)</f>
        <v/>
      </c>
    </row>
    <row r="71">
      <c r="A71" s="29" t="n"/>
      <c r="B71" s="29" t="n"/>
      <c r="C71" s="14" t="n"/>
      <c r="D71" s="29" t="n"/>
      <c r="E71" s="29" t="n"/>
      <c r="F71" s="19" t="n"/>
      <c r="G71" s="19" t="n"/>
      <c r="H71" s="14" t="n"/>
      <c r="I71" s="48" t="n"/>
      <c r="J71" s="48" t="n"/>
      <c r="K71" s="48" t="n"/>
      <c r="L71" s="48" t="n"/>
      <c r="M71" s="29" t="n"/>
      <c r="N71" s="29" t="n"/>
      <c r="O71" s="14" t="n"/>
      <c r="P71" s="26" t="n"/>
      <c r="Q71" s="29" t="n"/>
      <c r="R71" s="29" t="n"/>
      <c r="S71" s="21">
        <f>IF(OR($A71="",$B$11&lt;=0),"",IF(AND(OR($AR$7=0,ISNUMBER($I71)),OR($AR$8=0,ISNUMBER($J71)),OR($AR$9=0,ISNUMBER($K71)),OR($AR$10=0,ISNUMBER($L71))),ROUND((N($I71)*$AR$7+N($J71)*$AR$8+N($K71)*$AR$9+N($L71)*$AR$10)*20/$B$11,0),""))</f>
        <v/>
      </c>
      <c r="T71" s="21">
        <f>IF($AB71=1,SUMPRODUCT(--($AC$32:$AC$81&gt;$AC71))+1,"")</f>
        <v/>
      </c>
      <c r="U71" s="31">
        <f>IF($AB71=0,"",IF(OR(NOT(ISNUMBER($B$16)),$AH71&gt;0),"Not read",IF($AF71&lt;=$B$16,"Fits","Doesn't fit")))</f>
        <v/>
      </c>
      <c r="V71" s="31">
        <f>IF($AB71=0,"",IF(OR(NOT(ISNUMBER($B$17)),$AI71&gt;0),"Not read",IF($AG71&lt;=$B$17,"Fits","Doesn't fit")))</f>
        <v/>
      </c>
      <c r="W71" s="21">
        <f>IF(OR($A71="",NOT(ISNUMBER($C71)),$M71&lt;&gt;""),"",MAX(0,TODAY()-$C71))</f>
        <v/>
      </c>
      <c r="X71" s="31">
        <f>IF($A71="","",IF($AQ71=0,"○ Clear",IF($AL71=1,"△ No objective from Portfolio",IF($AM71=1,"△ Decided without a score",IF($AO71=1,"△ Not on the Register under this name",IF($AO71=2,"△ Owner or objective differs from the Register",IF($AN71=2,"△ Accepted with no cost or effort",IF($AN71=1,"△ Doesn't fit, and nothing gives way",IF($AP71=2,"△ Decision isn't Accept, Defer or Decline","△ Decision missing who, when or why")))))))&amp;IF($AQ71&gt;1," (+"&amp;($AQ71-1)&amp;" more)","")))</f>
        <v/>
      </c>
      <c r="Y71" s="31">
        <f>IF($A71="","",IFERROR(MATCH(IF($R71&lt;&gt;"",TRIM($R71),TRIM($A71)),Register!$A$6:$A$305,0),0))</f>
        <v/>
      </c>
      <c r="Z71" s="31">
        <f>IF(N($Y71)=0,"",INDEX(Register!$D$6:$D$305,$Y71))</f>
        <v/>
      </c>
      <c r="AA71" s="31">
        <f>IF(OR($Z71="Active",$Z71="Paused",$Z71="Completed",$Z71="Terminated"),1,0)</f>
        <v/>
      </c>
      <c r="AB71" s="31">
        <f>IF(AND($A71&lt;&gt;"",ISNUMBER($S71),OR($M71="",$M71="Accept"),$AA71=0),1,0)</f>
        <v/>
      </c>
      <c r="AC71" s="31">
        <f>IF($AB71=1,$S71+(1000-ROW())/100000,0)</f>
        <v/>
      </c>
      <c r="AD71" s="31">
        <f>IF(AND($AB71=1,ISNUMBER($F71)),$F71,0)</f>
        <v/>
      </c>
      <c r="AE71" s="31">
        <f>IF(AND($AB71=1,ISNUMBER($G71)),$G71,0)</f>
        <v/>
      </c>
      <c r="AF71" s="31">
        <f>IF($AB71=1,SUMPRODUCT(($AC$32:$AC$81&gt;=$AC71)*$AD$32:$AD$81),"")</f>
        <v/>
      </c>
      <c r="AG71" s="31">
        <f>IF($AB71=1,SUMPRODUCT(($AC$32:$AC$81&gt;=$AC71)*$AE$32:$AE$81),"")</f>
        <v/>
      </c>
      <c r="AH71" s="31">
        <f>IF($AB71=1,SUMPRODUCT(($AC$32:$AC$81&gt;=$AC71)*(1-ISNUMBER($F$32:$F$81))),"")</f>
        <v/>
      </c>
      <c r="AI71" s="31">
        <f>IF($AB71=1,SUMPRODUCT(($AC$32:$AC$81&gt;=$AC71)*(1-ISNUMBER($G$32:$G$81))),"")</f>
        <v/>
      </c>
      <c r="AJ71" s="31">
        <f>IF(AND($AB71=1,$M71="Accept",ISNUMBER($O71)),SUMPRODUCT(($AC$32:$AC$81&gt;$AC71)*ISNUMBER($C$32:$C$81)*($C$32:$C$81&lt;=$O71)*((($M$32:$M$81="")+ISNUMBER($O$32:$O$81)*($O$32:$O$81&gt;$O71))&gt;0)),0)</f>
        <v/>
      </c>
      <c r="AK71" s="31">
        <f>IF($Q71="",0,IFERROR(IF(INDEX(Register!$D$6:$D$305,MATCH(TRIM($Q71),Register!$A$6:$A$305,0))="Active",1,0),0))</f>
        <v/>
      </c>
      <c r="AL71" s="31">
        <f>IF(AND($A71&lt;&gt;"",ISNUMBER($S71)),IF($D71="",1,IF(COUNTIF(Portfolio!$A$47:$A$56,$D71)=0,1,0)),0)</f>
        <v/>
      </c>
      <c r="AM71" s="31">
        <f>IF(AND($A71&lt;&gt;"",$M71&lt;&gt;"",NOT(ISNUMBER($S71))),1,0)</f>
        <v/>
      </c>
      <c r="AN71" s="31">
        <f>IF(AND($AB71=1,$M71="Accept"),IF(OR(AND(ISNUMBER($B$16),NOT(ISNUMBER($F71))),AND(ISNUMBER($B$17),NOT(ISNUMBER($G71)))),2,IF(AND(OR($U71="Doesn't fit",$V71="Doesn't fit"),$AK71=0),1,0)),0)</f>
        <v/>
      </c>
      <c r="AO71" s="31">
        <f>IF(OR($A71="",$M71&lt;&gt;"Accept"),0,IF($Y71=0,IF(OR($R71&lt;&gt;"",IFERROR(TODAY()-$O71,9999)&gt;IF(ISNUMBER($B$20),$B$20,14)),1,0),IF(OR(TRIM(INDEX(Register!$E$6:$E$305,$Y71)&amp;"")&lt;&gt;TRIM($E71&amp;""),TRIM(INDEX(Register!$G$6:$G$305,$Y71)&amp;"")&lt;&gt;TRIM($D71&amp;"")),2,0)))</f>
        <v/>
      </c>
      <c r="AP71" s="31">
        <f>IF(OR($A71="",$M71=""),0,IF(AND($M71&lt;&gt;"Accept",$M71&lt;&gt;"Defer",$M71&lt;&gt;"Decline"),2,IF(OR($N71="",NOT(ISNUMBER($O71))),1,IF(AND($P71="",OR($M71="Defer",$M71="Decline",$AJ71&gt;0)),1,0))))</f>
        <v/>
      </c>
      <c r="AQ71" s="31">
        <f>$AL71+$AM71+IF($AN71&gt;0,1,0)+IF($AO71&gt;0,1,0)+IF($AP71&gt;0,1,0)</f>
        <v/>
      </c>
    </row>
    <row r="72">
      <c r="A72" s="29" t="n"/>
      <c r="B72" s="29" t="n"/>
      <c r="C72" s="14" t="n"/>
      <c r="D72" s="29" t="n"/>
      <c r="E72" s="29" t="n"/>
      <c r="F72" s="19" t="n"/>
      <c r="G72" s="19" t="n"/>
      <c r="H72" s="14" t="n"/>
      <c r="I72" s="48" t="n"/>
      <c r="J72" s="48" t="n"/>
      <c r="K72" s="48" t="n"/>
      <c r="L72" s="48" t="n"/>
      <c r="M72" s="29" t="n"/>
      <c r="N72" s="29" t="n"/>
      <c r="O72" s="14" t="n"/>
      <c r="P72" s="26" t="n"/>
      <c r="Q72" s="29" t="n"/>
      <c r="R72" s="29" t="n"/>
      <c r="S72" s="21">
        <f>IF(OR($A72="",$B$11&lt;=0),"",IF(AND(OR($AR$7=0,ISNUMBER($I72)),OR($AR$8=0,ISNUMBER($J72)),OR($AR$9=0,ISNUMBER($K72)),OR($AR$10=0,ISNUMBER($L72))),ROUND((N($I72)*$AR$7+N($J72)*$AR$8+N($K72)*$AR$9+N($L72)*$AR$10)*20/$B$11,0),""))</f>
        <v/>
      </c>
      <c r="T72" s="21">
        <f>IF($AB72=1,SUMPRODUCT(--($AC$32:$AC$81&gt;$AC72))+1,"")</f>
        <v/>
      </c>
      <c r="U72" s="31">
        <f>IF($AB72=0,"",IF(OR(NOT(ISNUMBER($B$16)),$AH72&gt;0),"Not read",IF($AF72&lt;=$B$16,"Fits","Doesn't fit")))</f>
        <v/>
      </c>
      <c r="V72" s="31">
        <f>IF($AB72=0,"",IF(OR(NOT(ISNUMBER($B$17)),$AI72&gt;0),"Not read",IF($AG72&lt;=$B$17,"Fits","Doesn't fit")))</f>
        <v/>
      </c>
      <c r="W72" s="21">
        <f>IF(OR($A72="",NOT(ISNUMBER($C72)),$M72&lt;&gt;""),"",MAX(0,TODAY()-$C72))</f>
        <v/>
      </c>
      <c r="X72" s="31">
        <f>IF($A72="","",IF($AQ72=0,"○ Clear",IF($AL72=1,"△ No objective from Portfolio",IF($AM72=1,"△ Decided without a score",IF($AO72=1,"△ Not on the Register under this name",IF($AO72=2,"△ Owner or objective differs from the Register",IF($AN72=2,"△ Accepted with no cost or effort",IF($AN72=1,"△ Doesn't fit, and nothing gives way",IF($AP72=2,"△ Decision isn't Accept, Defer or Decline","△ Decision missing who, when or why")))))))&amp;IF($AQ72&gt;1," (+"&amp;($AQ72-1)&amp;" more)","")))</f>
        <v/>
      </c>
      <c r="Y72" s="31">
        <f>IF($A72="","",IFERROR(MATCH(IF($R72&lt;&gt;"",TRIM($R72),TRIM($A72)),Register!$A$6:$A$305,0),0))</f>
        <v/>
      </c>
      <c r="Z72" s="31">
        <f>IF(N($Y72)=0,"",INDEX(Register!$D$6:$D$305,$Y72))</f>
        <v/>
      </c>
      <c r="AA72" s="31">
        <f>IF(OR($Z72="Active",$Z72="Paused",$Z72="Completed",$Z72="Terminated"),1,0)</f>
        <v/>
      </c>
      <c r="AB72" s="31">
        <f>IF(AND($A72&lt;&gt;"",ISNUMBER($S72),OR($M72="",$M72="Accept"),$AA72=0),1,0)</f>
        <v/>
      </c>
      <c r="AC72" s="31">
        <f>IF($AB72=1,$S72+(1000-ROW())/100000,0)</f>
        <v/>
      </c>
      <c r="AD72" s="31">
        <f>IF(AND($AB72=1,ISNUMBER($F72)),$F72,0)</f>
        <v/>
      </c>
      <c r="AE72" s="31">
        <f>IF(AND($AB72=1,ISNUMBER($G72)),$G72,0)</f>
        <v/>
      </c>
      <c r="AF72" s="31">
        <f>IF($AB72=1,SUMPRODUCT(($AC$32:$AC$81&gt;=$AC72)*$AD$32:$AD$81),"")</f>
        <v/>
      </c>
      <c r="AG72" s="31">
        <f>IF($AB72=1,SUMPRODUCT(($AC$32:$AC$81&gt;=$AC72)*$AE$32:$AE$81),"")</f>
        <v/>
      </c>
      <c r="AH72" s="31">
        <f>IF($AB72=1,SUMPRODUCT(($AC$32:$AC$81&gt;=$AC72)*(1-ISNUMBER($F$32:$F$81))),"")</f>
        <v/>
      </c>
      <c r="AI72" s="31">
        <f>IF($AB72=1,SUMPRODUCT(($AC$32:$AC$81&gt;=$AC72)*(1-ISNUMBER($G$32:$G$81))),"")</f>
        <v/>
      </c>
      <c r="AJ72" s="31">
        <f>IF(AND($AB72=1,$M72="Accept",ISNUMBER($O72)),SUMPRODUCT(($AC$32:$AC$81&gt;$AC72)*ISNUMBER($C$32:$C$81)*($C$32:$C$81&lt;=$O72)*((($M$32:$M$81="")+ISNUMBER($O$32:$O$81)*($O$32:$O$81&gt;$O72))&gt;0)),0)</f>
        <v/>
      </c>
      <c r="AK72" s="31">
        <f>IF($Q72="",0,IFERROR(IF(INDEX(Register!$D$6:$D$305,MATCH(TRIM($Q72),Register!$A$6:$A$305,0))="Active",1,0),0))</f>
        <v/>
      </c>
      <c r="AL72" s="31">
        <f>IF(AND($A72&lt;&gt;"",ISNUMBER($S72)),IF($D72="",1,IF(COUNTIF(Portfolio!$A$47:$A$56,$D72)=0,1,0)),0)</f>
        <v/>
      </c>
      <c r="AM72" s="31">
        <f>IF(AND($A72&lt;&gt;"",$M72&lt;&gt;"",NOT(ISNUMBER($S72))),1,0)</f>
        <v/>
      </c>
      <c r="AN72" s="31">
        <f>IF(AND($AB72=1,$M72="Accept"),IF(OR(AND(ISNUMBER($B$16),NOT(ISNUMBER($F72))),AND(ISNUMBER($B$17),NOT(ISNUMBER($G72)))),2,IF(AND(OR($U72="Doesn't fit",$V72="Doesn't fit"),$AK72=0),1,0)),0)</f>
        <v/>
      </c>
      <c r="AO72" s="31">
        <f>IF(OR($A72="",$M72&lt;&gt;"Accept"),0,IF($Y72=0,IF(OR($R72&lt;&gt;"",IFERROR(TODAY()-$O72,9999)&gt;IF(ISNUMBER($B$20),$B$20,14)),1,0),IF(OR(TRIM(INDEX(Register!$E$6:$E$305,$Y72)&amp;"")&lt;&gt;TRIM($E72&amp;""),TRIM(INDEX(Register!$G$6:$G$305,$Y72)&amp;"")&lt;&gt;TRIM($D72&amp;"")),2,0)))</f>
        <v/>
      </c>
      <c r="AP72" s="31">
        <f>IF(OR($A72="",$M72=""),0,IF(AND($M72&lt;&gt;"Accept",$M72&lt;&gt;"Defer",$M72&lt;&gt;"Decline"),2,IF(OR($N72="",NOT(ISNUMBER($O72))),1,IF(AND($P72="",OR($M72="Defer",$M72="Decline",$AJ72&gt;0)),1,0))))</f>
        <v/>
      </c>
      <c r="AQ72" s="31">
        <f>$AL72+$AM72+IF($AN72&gt;0,1,0)+IF($AO72&gt;0,1,0)+IF($AP72&gt;0,1,0)</f>
        <v/>
      </c>
    </row>
    <row r="73">
      <c r="A73" s="29" t="n"/>
      <c r="B73" s="29" t="n"/>
      <c r="C73" s="14" t="n"/>
      <c r="D73" s="29" t="n"/>
      <c r="E73" s="29" t="n"/>
      <c r="F73" s="19" t="n"/>
      <c r="G73" s="19" t="n"/>
      <c r="H73" s="14" t="n"/>
      <c r="I73" s="48" t="n"/>
      <c r="J73" s="48" t="n"/>
      <c r="K73" s="48" t="n"/>
      <c r="L73" s="48" t="n"/>
      <c r="M73" s="29" t="n"/>
      <c r="N73" s="29" t="n"/>
      <c r="O73" s="14" t="n"/>
      <c r="P73" s="26" t="n"/>
      <c r="Q73" s="29" t="n"/>
      <c r="R73" s="29" t="n"/>
      <c r="S73" s="21">
        <f>IF(OR($A73="",$B$11&lt;=0),"",IF(AND(OR($AR$7=0,ISNUMBER($I73)),OR($AR$8=0,ISNUMBER($J73)),OR($AR$9=0,ISNUMBER($K73)),OR($AR$10=0,ISNUMBER($L73))),ROUND((N($I73)*$AR$7+N($J73)*$AR$8+N($K73)*$AR$9+N($L73)*$AR$10)*20/$B$11,0),""))</f>
        <v/>
      </c>
      <c r="T73" s="21">
        <f>IF($AB73=1,SUMPRODUCT(--($AC$32:$AC$81&gt;$AC73))+1,"")</f>
        <v/>
      </c>
      <c r="U73" s="31">
        <f>IF($AB73=0,"",IF(OR(NOT(ISNUMBER($B$16)),$AH73&gt;0),"Not read",IF($AF73&lt;=$B$16,"Fits","Doesn't fit")))</f>
        <v/>
      </c>
      <c r="V73" s="31">
        <f>IF($AB73=0,"",IF(OR(NOT(ISNUMBER($B$17)),$AI73&gt;0),"Not read",IF($AG73&lt;=$B$17,"Fits","Doesn't fit")))</f>
        <v/>
      </c>
      <c r="W73" s="21">
        <f>IF(OR($A73="",NOT(ISNUMBER($C73)),$M73&lt;&gt;""),"",MAX(0,TODAY()-$C73))</f>
        <v/>
      </c>
      <c r="X73" s="31">
        <f>IF($A73="","",IF($AQ73=0,"○ Clear",IF($AL73=1,"△ No objective from Portfolio",IF($AM73=1,"△ Decided without a score",IF($AO73=1,"△ Not on the Register under this name",IF($AO73=2,"△ Owner or objective differs from the Register",IF($AN73=2,"△ Accepted with no cost or effort",IF($AN73=1,"△ Doesn't fit, and nothing gives way",IF($AP73=2,"△ Decision isn't Accept, Defer or Decline","△ Decision missing who, when or why")))))))&amp;IF($AQ73&gt;1," (+"&amp;($AQ73-1)&amp;" more)","")))</f>
        <v/>
      </c>
      <c r="Y73" s="31">
        <f>IF($A73="","",IFERROR(MATCH(IF($R73&lt;&gt;"",TRIM($R73),TRIM($A73)),Register!$A$6:$A$305,0),0))</f>
        <v/>
      </c>
      <c r="Z73" s="31">
        <f>IF(N($Y73)=0,"",INDEX(Register!$D$6:$D$305,$Y73))</f>
        <v/>
      </c>
      <c r="AA73" s="31">
        <f>IF(OR($Z73="Active",$Z73="Paused",$Z73="Completed",$Z73="Terminated"),1,0)</f>
        <v/>
      </c>
      <c r="AB73" s="31">
        <f>IF(AND($A73&lt;&gt;"",ISNUMBER($S73),OR($M73="",$M73="Accept"),$AA73=0),1,0)</f>
        <v/>
      </c>
      <c r="AC73" s="31">
        <f>IF($AB73=1,$S73+(1000-ROW())/100000,0)</f>
        <v/>
      </c>
      <c r="AD73" s="31">
        <f>IF(AND($AB73=1,ISNUMBER($F73)),$F73,0)</f>
        <v/>
      </c>
      <c r="AE73" s="31">
        <f>IF(AND($AB73=1,ISNUMBER($G73)),$G73,0)</f>
        <v/>
      </c>
      <c r="AF73" s="31">
        <f>IF($AB73=1,SUMPRODUCT(($AC$32:$AC$81&gt;=$AC73)*$AD$32:$AD$81),"")</f>
        <v/>
      </c>
      <c r="AG73" s="31">
        <f>IF($AB73=1,SUMPRODUCT(($AC$32:$AC$81&gt;=$AC73)*$AE$32:$AE$81),"")</f>
        <v/>
      </c>
      <c r="AH73" s="31">
        <f>IF($AB73=1,SUMPRODUCT(($AC$32:$AC$81&gt;=$AC73)*(1-ISNUMBER($F$32:$F$81))),"")</f>
        <v/>
      </c>
      <c r="AI73" s="31">
        <f>IF($AB73=1,SUMPRODUCT(($AC$32:$AC$81&gt;=$AC73)*(1-ISNUMBER($G$32:$G$81))),"")</f>
        <v/>
      </c>
      <c r="AJ73" s="31">
        <f>IF(AND($AB73=1,$M73="Accept",ISNUMBER($O73)),SUMPRODUCT(($AC$32:$AC$81&gt;$AC73)*ISNUMBER($C$32:$C$81)*($C$32:$C$81&lt;=$O73)*((($M$32:$M$81="")+ISNUMBER($O$32:$O$81)*($O$32:$O$81&gt;$O73))&gt;0)),0)</f>
        <v/>
      </c>
      <c r="AK73" s="31">
        <f>IF($Q73="",0,IFERROR(IF(INDEX(Register!$D$6:$D$305,MATCH(TRIM($Q73),Register!$A$6:$A$305,0))="Active",1,0),0))</f>
        <v/>
      </c>
      <c r="AL73" s="31">
        <f>IF(AND($A73&lt;&gt;"",ISNUMBER($S73)),IF($D73="",1,IF(COUNTIF(Portfolio!$A$47:$A$56,$D73)=0,1,0)),0)</f>
        <v/>
      </c>
      <c r="AM73" s="31">
        <f>IF(AND($A73&lt;&gt;"",$M73&lt;&gt;"",NOT(ISNUMBER($S73))),1,0)</f>
        <v/>
      </c>
      <c r="AN73" s="31">
        <f>IF(AND($AB73=1,$M73="Accept"),IF(OR(AND(ISNUMBER($B$16),NOT(ISNUMBER($F73))),AND(ISNUMBER($B$17),NOT(ISNUMBER($G73)))),2,IF(AND(OR($U73="Doesn't fit",$V73="Doesn't fit"),$AK73=0),1,0)),0)</f>
        <v/>
      </c>
      <c r="AO73" s="31">
        <f>IF(OR($A73="",$M73&lt;&gt;"Accept"),0,IF($Y73=0,IF(OR($R73&lt;&gt;"",IFERROR(TODAY()-$O73,9999)&gt;IF(ISNUMBER($B$20),$B$20,14)),1,0),IF(OR(TRIM(INDEX(Register!$E$6:$E$305,$Y73)&amp;"")&lt;&gt;TRIM($E73&amp;""),TRIM(INDEX(Register!$G$6:$G$305,$Y73)&amp;"")&lt;&gt;TRIM($D73&amp;"")),2,0)))</f>
        <v/>
      </c>
      <c r="AP73" s="31">
        <f>IF(OR($A73="",$M73=""),0,IF(AND($M73&lt;&gt;"Accept",$M73&lt;&gt;"Defer",$M73&lt;&gt;"Decline"),2,IF(OR($N73="",NOT(ISNUMBER($O73))),1,IF(AND($P73="",OR($M73="Defer",$M73="Decline",$AJ73&gt;0)),1,0))))</f>
        <v/>
      </c>
      <c r="AQ73" s="31">
        <f>$AL73+$AM73+IF($AN73&gt;0,1,0)+IF($AO73&gt;0,1,0)+IF($AP73&gt;0,1,0)</f>
        <v/>
      </c>
    </row>
    <row r="74">
      <c r="A74" s="29" t="n"/>
      <c r="B74" s="29" t="n"/>
      <c r="C74" s="14" t="n"/>
      <c r="D74" s="29" t="n"/>
      <c r="E74" s="29" t="n"/>
      <c r="F74" s="19" t="n"/>
      <c r="G74" s="19" t="n"/>
      <c r="H74" s="14" t="n"/>
      <c r="I74" s="48" t="n"/>
      <c r="J74" s="48" t="n"/>
      <c r="K74" s="48" t="n"/>
      <c r="L74" s="48" t="n"/>
      <c r="M74" s="29" t="n"/>
      <c r="N74" s="29" t="n"/>
      <c r="O74" s="14" t="n"/>
      <c r="P74" s="26" t="n"/>
      <c r="Q74" s="29" t="n"/>
      <c r="R74" s="29" t="n"/>
      <c r="S74" s="21">
        <f>IF(OR($A74="",$B$11&lt;=0),"",IF(AND(OR($AR$7=0,ISNUMBER($I74)),OR($AR$8=0,ISNUMBER($J74)),OR($AR$9=0,ISNUMBER($K74)),OR($AR$10=0,ISNUMBER($L74))),ROUND((N($I74)*$AR$7+N($J74)*$AR$8+N($K74)*$AR$9+N($L74)*$AR$10)*20/$B$11,0),""))</f>
        <v/>
      </c>
      <c r="T74" s="21">
        <f>IF($AB74=1,SUMPRODUCT(--($AC$32:$AC$81&gt;$AC74))+1,"")</f>
        <v/>
      </c>
      <c r="U74" s="31">
        <f>IF($AB74=0,"",IF(OR(NOT(ISNUMBER($B$16)),$AH74&gt;0),"Not read",IF($AF74&lt;=$B$16,"Fits","Doesn't fit")))</f>
        <v/>
      </c>
      <c r="V74" s="31">
        <f>IF($AB74=0,"",IF(OR(NOT(ISNUMBER($B$17)),$AI74&gt;0),"Not read",IF($AG74&lt;=$B$17,"Fits","Doesn't fit")))</f>
        <v/>
      </c>
      <c r="W74" s="21">
        <f>IF(OR($A74="",NOT(ISNUMBER($C74)),$M74&lt;&gt;""),"",MAX(0,TODAY()-$C74))</f>
        <v/>
      </c>
      <c r="X74" s="31">
        <f>IF($A74="","",IF($AQ74=0,"○ Clear",IF($AL74=1,"△ No objective from Portfolio",IF($AM74=1,"△ Decided without a score",IF($AO74=1,"△ Not on the Register under this name",IF($AO74=2,"△ Owner or objective differs from the Register",IF($AN74=2,"△ Accepted with no cost or effort",IF($AN74=1,"△ Doesn't fit, and nothing gives way",IF($AP74=2,"△ Decision isn't Accept, Defer or Decline","△ Decision missing who, when or why")))))))&amp;IF($AQ74&gt;1," (+"&amp;($AQ74-1)&amp;" more)","")))</f>
        <v/>
      </c>
      <c r="Y74" s="31">
        <f>IF($A74="","",IFERROR(MATCH(IF($R74&lt;&gt;"",TRIM($R74),TRIM($A74)),Register!$A$6:$A$305,0),0))</f>
        <v/>
      </c>
      <c r="Z74" s="31">
        <f>IF(N($Y74)=0,"",INDEX(Register!$D$6:$D$305,$Y74))</f>
        <v/>
      </c>
      <c r="AA74" s="31">
        <f>IF(OR($Z74="Active",$Z74="Paused",$Z74="Completed",$Z74="Terminated"),1,0)</f>
        <v/>
      </c>
      <c r="AB74" s="31">
        <f>IF(AND($A74&lt;&gt;"",ISNUMBER($S74),OR($M74="",$M74="Accept"),$AA74=0),1,0)</f>
        <v/>
      </c>
      <c r="AC74" s="31">
        <f>IF($AB74=1,$S74+(1000-ROW())/100000,0)</f>
        <v/>
      </c>
      <c r="AD74" s="31">
        <f>IF(AND($AB74=1,ISNUMBER($F74)),$F74,0)</f>
        <v/>
      </c>
      <c r="AE74" s="31">
        <f>IF(AND($AB74=1,ISNUMBER($G74)),$G74,0)</f>
        <v/>
      </c>
      <c r="AF74" s="31">
        <f>IF($AB74=1,SUMPRODUCT(($AC$32:$AC$81&gt;=$AC74)*$AD$32:$AD$81),"")</f>
        <v/>
      </c>
      <c r="AG74" s="31">
        <f>IF($AB74=1,SUMPRODUCT(($AC$32:$AC$81&gt;=$AC74)*$AE$32:$AE$81),"")</f>
        <v/>
      </c>
      <c r="AH74" s="31">
        <f>IF($AB74=1,SUMPRODUCT(($AC$32:$AC$81&gt;=$AC74)*(1-ISNUMBER($F$32:$F$81))),"")</f>
        <v/>
      </c>
      <c r="AI74" s="31">
        <f>IF($AB74=1,SUMPRODUCT(($AC$32:$AC$81&gt;=$AC74)*(1-ISNUMBER($G$32:$G$81))),"")</f>
        <v/>
      </c>
      <c r="AJ74" s="31">
        <f>IF(AND($AB74=1,$M74="Accept",ISNUMBER($O74)),SUMPRODUCT(($AC$32:$AC$81&gt;$AC74)*ISNUMBER($C$32:$C$81)*($C$32:$C$81&lt;=$O74)*((($M$32:$M$81="")+ISNUMBER($O$32:$O$81)*($O$32:$O$81&gt;$O74))&gt;0)),0)</f>
        <v/>
      </c>
      <c r="AK74" s="31">
        <f>IF($Q74="",0,IFERROR(IF(INDEX(Register!$D$6:$D$305,MATCH(TRIM($Q74),Register!$A$6:$A$305,0))="Active",1,0),0))</f>
        <v/>
      </c>
      <c r="AL74" s="31">
        <f>IF(AND($A74&lt;&gt;"",ISNUMBER($S74)),IF($D74="",1,IF(COUNTIF(Portfolio!$A$47:$A$56,$D74)=0,1,0)),0)</f>
        <v/>
      </c>
      <c r="AM74" s="31">
        <f>IF(AND($A74&lt;&gt;"",$M74&lt;&gt;"",NOT(ISNUMBER($S74))),1,0)</f>
        <v/>
      </c>
      <c r="AN74" s="31">
        <f>IF(AND($AB74=1,$M74="Accept"),IF(OR(AND(ISNUMBER($B$16),NOT(ISNUMBER($F74))),AND(ISNUMBER($B$17),NOT(ISNUMBER($G74)))),2,IF(AND(OR($U74="Doesn't fit",$V74="Doesn't fit"),$AK74=0),1,0)),0)</f>
        <v/>
      </c>
      <c r="AO74" s="31">
        <f>IF(OR($A74="",$M74&lt;&gt;"Accept"),0,IF($Y74=0,IF(OR($R74&lt;&gt;"",IFERROR(TODAY()-$O74,9999)&gt;IF(ISNUMBER($B$20),$B$20,14)),1,0),IF(OR(TRIM(INDEX(Register!$E$6:$E$305,$Y74)&amp;"")&lt;&gt;TRIM($E74&amp;""),TRIM(INDEX(Register!$G$6:$G$305,$Y74)&amp;"")&lt;&gt;TRIM($D74&amp;"")),2,0)))</f>
        <v/>
      </c>
      <c r="AP74" s="31">
        <f>IF(OR($A74="",$M74=""),0,IF(AND($M74&lt;&gt;"Accept",$M74&lt;&gt;"Defer",$M74&lt;&gt;"Decline"),2,IF(OR($N74="",NOT(ISNUMBER($O74))),1,IF(AND($P74="",OR($M74="Defer",$M74="Decline",$AJ74&gt;0)),1,0))))</f>
        <v/>
      </c>
      <c r="AQ74" s="31">
        <f>$AL74+$AM74+IF($AN74&gt;0,1,0)+IF($AO74&gt;0,1,0)+IF($AP74&gt;0,1,0)</f>
        <v/>
      </c>
    </row>
    <row r="75">
      <c r="A75" s="29" t="n"/>
      <c r="B75" s="29" t="n"/>
      <c r="C75" s="14" t="n"/>
      <c r="D75" s="29" t="n"/>
      <c r="E75" s="29" t="n"/>
      <c r="F75" s="19" t="n"/>
      <c r="G75" s="19" t="n"/>
      <c r="H75" s="14" t="n"/>
      <c r="I75" s="48" t="n"/>
      <c r="J75" s="48" t="n"/>
      <c r="K75" s="48" t="n"/>
      <c r="L75" s="48" t="n"/>
      <c r="M75" s="29" t="n"/>
      <c r="N75" s="29" t="n"/>
      <c r="O75" s="14" t="n"/>
      <c r="P75" s="26" t="n"/>
      <c r="Q75" s="29" t="n"/>
      <c r="R75" s="29" t="n"/>
      <c r="S75" s="21">
        <f>IF(OR($A75="",$B$11&lt;=0),"",IF(AND(OR($AR$7=0,ISNUMBER($I75)),OR($AR$8=0,ISNUMBER($J75)),OR($AR$9=0,ISNUMBER($K75)),OR($AR$10=0,ISNUMBER($L75))),ROUND((N($I75)*$AR$7+N($J75)*$AR$8+N($K75)*$AR$9+N($L75)*$AR$10)*20/$B$11,0),""))</f>
        <v/>
      </c>
      <c r="T75" s="21">
        <f>IF($AB75=1,SUMPRODUCT(--($AC$32:$AC$81&gt;$AC75))+1,"")</f>
        <v/>
      </c>
      <c r="U75" s="31">
        <f>IF($AB75=0,"",IF(OR(NOT(ISNUMBER($B$16)),$AH75&gt;0),"Not read",IF($AF75&lt;=$B$16,"Fits","Doesn't fit")))</f>
        <v/>
      </c>
      <c r="V75" s="31">
        <f>IF($AB75=0,"",IF(OR(NOT(ISNUMBER($B$17)),$AI75&gt;0),"Not read",IF($AG75&lt;=$B$17,"Fits","Doesn't fit")))</f>
        <v/>
      </c>
      <c r="W75" s="21">
        <f>IF(OR($A75="",NOT(ISNUMBER($C75)),$M75&lt;&gt;""),"",MAX(0,TODAY()-$C75))</f>
        <v/>
      </c>
      <c r="X75" s="31">
        <f>IF($A75="","",IF($AQ75=0,"○ Clear",IF($AL75=1,"△ No objective from Portfolio",IF($AM75=1,"△ Decided without a score",IF($AO75=1,"△ Not on the Register under this name",IF($AO75=2,"△ Owner or objective differs from the Register",IF($AN75=2,"△ Accepted with no cost or effort",IF($AN75=1,"△ Doesn't fit, and nothing gives way",IF($AP75=2,"△ Decision isn't Accept, Defer or Decline","△ Decision missing who, when or why")))))))&amp;IF($AQ75&gt;1," (+"&amp;($AQ75-1)&amp;" more)","")))</f>
        <v/>
      </c>
      <c r="Y75" s="31">
        <f>IF($A75="","",IFERROR(MATCH(IF($R75&lt;&gt;"",TRIM($R75),TRIM($A75)),Register!$A$6:$A$305,0),0))</f>
        <v/>
      </c>
      <c r="Z75" s="31">
        <f>IF(N($Y75)=0,"",INDEX(Register!$D$6:$D$305,$Y75))</f>
        <v/>
      </c>
      <c r="AA75" s="31">
        <f>IF(OR($Z75="Active",$Z75="Paused",$Z75="Completed",$Z75="Terminated"),1,0)</f>
        <v/>
      </c>
      <c r="AB75" s="31">
        <f>IF(AND($A75&lt;&gt;"",ISNUMBER($S75),OR($M75="",$M75="Accept"),$AA75=0),1,0)</f>
        <v/>
      </c>
      <c r="AC75" s="31">
        <f>IF($AB75=1,$S75+(1000-ROW())/100000,0)</f>
        <v/>
      </c>
      <c r="AD75" s="31">
        <f>IF(AND($AB75=1,ISNUMBER($F75)),$F75,0)</f>
        <v/>
      </c>
      <c r="AE75" s="31">
        <f>IF(AND($AB75=1,ISNUMBER($G75)),$G75,0)</f>
        <v/>
      </c>
      <c r="AF75" s="31">
        <f>IF($AB75=1,SUMPRODUCT(($AC$32:$AC$81&gt;=$AC75)*$AD$32:$AD$81),"")</f>
        <v/>
      </c>
      <c r="AG75" s="31">
        <f>IF($AB75=1,SUMPRODUCT(($AC$32:$AC$81&gt;=$AC75)*$AE$32:$AE$81),"")</f>
        <v/>
      </c>
      <c r="AH75" s="31">
        <f>IF($AB75=1,SUMPRODUCT(($AC$32:$AC$81&gt;=$AC75)*(1-ISNUMBER($F$32:$F$81))),"")</f>
        <v/>
      </c>
      <c r="AI75" s="31">
        <f>IF($AB75=1,SUMPRODUCT(($AC$32:$AC$81&gt;=$AC75)*(1-ISNUMBER($G$32:$G$81))),"")</f>
        <v/>
      </c>
      <c r="AJ75" s="31">
        <f>IF(AND($AB75=1,$M75="Accept",ISNUMBER($O75)),SUMPRODUCT(($AC$32:$AC$81&gt;$AC75)*ISNUMBER($C$32:$C$81)*($C$32:$C$81&lt;=$O75)*((($M$32:$M$81="")+ISNUMBER($O$32:$O$81)*($O$32:$O$81&gt;$O75))&gt;0)),0)</f>
        <v/>
      </c>
      <c r="AK75" s="31">
        <f>IF($Q75="",0,IFERROR(IF(INDEX(Register!$D$6:$D$305,MATCH(TRIM($Q75),Register!$A$6:$A$305,0))="Active",1,0),0))</f>
        <v/>
      </c>
      <c r="AL75" s="31">
        <f>IF(AND($A75&lt;&gt;"",ISNUMBER($S75)),IF($D75="",1,IF(COUNTIF(Portfolio!$A$47:$A$56,$D75)=0,1,0)),0)</f>
        <v/>
      </c>
      <c r="AM75" s="31">
        <f>IF(AND($A75&lt;&gt;"",$M75&lt;&gt;"",NOT(ISNUMBER($S75))),1,0)</f>
        <v/>
      </c>
      <c r="AN75" s="31">
        <f>IF(AND($AB75=1,$M75="Accept"),IF(OR(AND(ISNUMBER($B$16),NOT(ISNUMBER($F75))),AND(ISNUMBER($B$17),NOT(ISNUMBER($G75)))),2,IF(AND(OR($U75="Doesn't fit",$V75="Doesn't fit"),$AK75=0),1,0)),0)</f>
        <v/>
      </c>
      <c r="AO75" s="31">
        <f>IF(OR($A75="",$M75&lt;&gt;"Accept"),0,IF($Y75=0,IF(OR($R75&lt;&gt;"",IFERROR(TODAY()-$O75,9999)&gt;IF(ISNUMBER($B$20),$B$20,14)),1,0),IF(OR(TRIM(INDEX(Register!$E$6:$E$305,$Y75)&amp;"")&lt;&gt;TRIM($E75&amp;""),TRIM(INDEX(Register!$G$6:$G$305,$Y75)&amp;"")&lt;&gt;TRIM($D75&amp;"")),2,0)))</f>
        <v/>
      </c>
      <c r="AP75" s="31">
        <f>IF(OR($A75="",$M75=""),0,IF(AND($M75&lt;&gt;"Accept",$M75&lt;&gt;"Defer",$M75&lt;&gt;"Decline"),2,IF(OR($N75="",NOT(ISNUMBER($O75))),1,IF(AND($P75="",OR($M75="Defer",$M75="Decline",$AJ75&gt;0)),1,0))))</f>
        <v/>
      </c>
      <c r="AQ75" s="31">
        <f>$AL75+$AM75+IF($AN75&gt;0,1,0)+IF($AO75&gt;0,1,0)+IF($AP75&gt;0,1,0)</f>
        <v/>
      </c>
    </row>
    <row r="76">
      <c r="A76" s="29" t="n"/>
      <c r="B76" s="29" t="n"/>
      <c r="C76" s="14" t="n"/>
      <c r="D76" s="29" t="n"/>
      <c r="E76" s="29" t="n"/>
      <c r="F76" s="19" t="n"/>
      <c r="G76" s="19" t="n"/>
      <c r="H76" s="14" t="n"/>
      <c r="I76" s="48" t="n"/>
      <c r="J76" s="48" t="n"/>
      <c r="K76" s="48" t="n"/>
      <c r="L76" s="48" t="n"/>
      <c r="M76" s="29" t="n"/>
      <c r="N76" s="29" t="n"/>
      <c r="O76" s="14" t="n"/>
      <c r="P76" s="26" t="n"/>
      <c r="Q76" s="29" t="n"/>
      <c r="R76" s="29" t="n"/>
      <c r="S76" s="21">
        <f>IF(OR($A76="",$B$11&lt;=0),"",IF(AND(OR($AR$7=0,ISNUMBER($I76)),OR($AR$8=0,ISNUMBER($J76)),OR($AR$9=0,ISNUMBER($K76)),OR($AR$10=0,ISNUMBER($L76))),ROUND((N($I76)*$AR$7+N($J76)*$AR$8+N($K76)*$AR$9+N($L76)*$AR$10)*20/$B$11,0),""))</f>
        <v/>
      </c>
      <c r="T76" s="21">
        <f>IF($AB76=1,SUMPRODUCT(--($AC$32:$AC$81&gt;$AC76))+1,"")</f>
        <v/>
      </c>
      <c r="U76" s="31">
        <f>IF($AB76=0,"",IF(OR(NOT(ISNUMBER($B$16)),$AH76&gt;0),"Not read",IF($AF76&lt;=$B$16,"Fits","Doesn't fit")))</f>
        <v/>
      </c>
      <c r="V76" s="31">
        <f>IF($AB76=0,"",IF(OR(NOT(ISNUMBER($B$17)),$AI76&gt;0),"Not read",IF($AG76&lt;=$B$17,"Fits","Doesn't fit")))</f>
        <v/>
      </c>
      <c r="W76" s="21">
        <f>IF(OR($A76="",NOT(ISNUMBER($C76)),$M76&lt;&gt;""),"",MAX(0,TODAY()-$C76))</f>
        <v/>
      </c>
      <c r="X76" s="31">
        <f>IF($A76="","",IF($AQ76=0,"○ Clear",IF($AL76=1,"△ No objective from Portfolio",IF($AM76=1,"△ Decided without a score",IF($AO76=1,"△ Not on the Register under this name",IF($AO76=2,"△ Owner or objective differs from the Register",IF($AN76=2,"△ Accepted with no cost or effort",IF($AN76=1,"△ Doesn't fit, and nothing gives way",IF($AP76=2,"△ Decision isn't Accept, Defer or Decline","△ Decision missing who, when or why")))))))&amp;IF($AQ76&gt;1," (+"&amp;($AQ76-1)&amp;" more)","")))</f>
        <v/>
      </c>
      <c r="Y76" s="31">
        <f>IF($A76="","",IFERROR(MATCH(IF($R76&lt;&gt;"",TRIM($R76),TRIM($A76)),Register!$A$6:$A$305,0),0))</f>
        <v/>
      </c>
      <c r="Z76" s="31">
        <f>IF(N($Y76)=0,"",INDEX(Register!$D$6:$D$305,$Y76))</f>
        <v/>
      </c>
      <c r="AA76" s="31">
        <f>IF(OR($Z76="Active",$Z76="Paused",$Z76="Completed",$Z76="Terminated"),1,0)</f>
        <v/>
      </c>
      <c r="AB76" s="31">
        <f>IF(AND($A76&lt;&gt;"",ISNUMBER($S76),OR($M76="",$M76="Accept"),$AA76=0),1,0)</f>
        <v/>
      </c>
      <c r="AC76" s="31">
        <f>IF($AB76=1,$S76+(1000-ROW())/100000,0)</f>
        <v/>
      </c>
      <c r="AD76" s="31">
        <f>IF(AND($AB76=1,ISNUMBER($F76)),$F76,0)</f>
        <v/>
      </c>
      <c r="AE76" s="31">
        <f>IF(AND($AB76=1,ISNUMBER($G76)),$G76,0)</f>
        <v/>
      </c>
      <c r="AF76" s="31">
        <f>IF($AB76=1,SUMPRODUCT(($AC$32:$AC$81&gt;=$AC76)*$AD$32:$AD$81),"")</f>
        <v/>
      </c>
      <c r="AG76" s="31">
        <f>IF($AB76=1,SUMPRODUCT(($AC$32:$AC$81&gt;=$AC76)*$AE$32:$AE$81),"")</f>
        <v/>
      </c>
      <c r="AH76" s="31">
        <f>IF($AB76=1,SUMPRODUCT(($AC$32:$AC$81&gt;=$AC76)*(1-ISNUMBER($F$32:$F$81))),"")</f>
        <v/>
      </c>
      <c r="AI76" s="31">
        <f>IF($AB76=1,SUMPRODUCT(($AC$32:$AC$81&gt;=$AC76)*(1-ISNUMBER($G$32:$G$81))),"")</f>
        <v/>
      </c>
      <c r="AJ76" s="31">
        <f>IF(AND($AB76=1,$M76="Accept",ISNUMBER($O76)),SUMPRODUCT(($AC$32:$AC$81&gt;$AC76)*ISNUMBER($C$32:$C$81)*($C$32:$C$81&lt;=$O76)*((($M$32:$M$81="")+ISNUMBER($O$32:$O$81)*($O$32:$O$81&gt;$O76))&gt;0)),0)</f>
        <v/>
      </c>
      <c r="AK76" s="31">
        <f>IF($Q76="",0,IFERROR(IF(INDEX(Register!$D$6:$D$305,MATCH(TRIM($Q76),Register!$A$6:$A$305,0))="Active",1,0),0))</f>
        <v/>
      </c>
      <c r="AL76" s="31">
        <f>IF(AND($A76&lt;&gt;"",ISNUMBER($S76)),IF($D76="",1,IF(COUNTIF(Portfolio!$A$47:$A$56,$D76)=0,1,0)),0)</f>
        <v/>
      </c>
      <c r="AM76" s="31">
        <f>IF(AND($A76&lt;&gt;"",$M76&lt;&gt;"",NOT(ISNUMBER($S76))),1,0)</f>
        <v/>
      </c>
      <c r="AN76" s="31">
        <f>IF(AND($AB76=1,$M76="Accept"),IF(OR(AND(ISNUMBER($B$16),NOT(ISNUMBER($F76))),AND(ISNUMBER($B$17),NOT(ISNUMBER($G76)))),2,IF(AND(OR($U76="Doesn't fit",$V76="Doesn't fit"),$AK76=0),1,0)),0)</f>
        <v/>
      </c>
      <c r="AO76" s="31">
        <f>IF(OR($A76="",$M76&lt;&gt;"Accept"),0,IF($Y76=0,IF(OR($R76&lt;&gt;"",IFERROR(TODAY()-$O76,9999)&gt;IF(ISNUMBER($B$20),$B$20,14)),1,0),IF(OR(TRIM(INDEX(Register!$E$6:$E$305,$Y76)&amp;"")&lt;&gt;TRIM($E76&amp;""),TRIM(INDEX(Register!$G$6:$G$305,$Y76)&amp;"")&lt;&gt;TRIM($D76&amp;"")),2,0)))</f>
        <v/>
      </c>
      <c r="AP76" s="31">
        <f>IF(OR($A76="",$M76=""),0,IF(AND($M76&lt;&gt;"Accept",$M76&lt;&gt;"Defer",$M76&lt;&gt;"Decline"),2,IF(OR($N76="",NOT(ISNUMBER($O76))),1,IF(AND($P76="",OR($M76="Defer",$M76="Decline",$AJ76&gt;0)),1,0))))</f>
        <v/>
      </c>
      <c r="AQ76" s="31">
        <f>$AL76+$AM76+IF($AN76&gt;0,1,0)+IF($AO76&gt;0,1,0)+IF($AP76&gt;0,1,0)</f>
        <v/>
      </c>
    </row>
    <row r="77">
      <c r="A77" s="29" t="n"/>
      <c r="B77" s="29" t="n"/>
      <c r="C77" s="14" t="n"/>
      <c r="D77" s="29" t="n"/>
      <c r="E77" s="29" t="n"/>
      <c r="F77" s="19" t="n"/>
      <c r="G77" s="19" t="n"/>
      <c r="H77" s="14" t="n"/>
      <c r="I77" s="48" t="n"/>
      <c r="J77" s="48" t="n"/>
      <c r="K77" s="48" t="n"/>
      <c r="L77" s="48" t="n"/>
      <c r="M77" s="29" t="n"/>
      <c r="N77" s="29" t="n"/>
      <c r="O77" s="14" t="n"/>
      <c r="P77" s="26" t="n"/>
      <c r="Q77" s="29" t="n"/>
      <c r="R77" s="29" t="n"/>
      <c r="S77" s="21">
        <f>IF(OR($A77="",$B$11&lt;=0),"",IF(AND(OR($AR$7=0,ISNUMBER($I77)),OR($AR$8=0,ISNUMBER($J77)),OR($AR$9=0,ISNUMBER($K77)),OR($AR$10=0,ISNUMBER($L77))),ROUND((N($I77)*$AR$7+N($J77)*$AR$8+N($K77)*$AR$9+N($L77)*$AR$10)*20/$B$11,0),""))</f>
        <v/>
      </c>
      <c r="T77" s="21">
        <f>IF($AB77=1,SUMPRODUCT(--($AC$32:$AC$81&gt;$AC77))+1,"")</f>
        <v/>
      </c>
      <c r="U77" s="31">
        <f>IF($AB77=0,"",IF(OR(NOT(ISNUMBER($B$16)),$AH77&gt;0),"Not read",IF($AF77&lt;=$B$16,"Fits","Doesn't fit")))</f>
        <v/>
      </c>
      <c r="V77" s="31">
        <f>IF($AB77=0,"",IF(OR(NOT(ISNUMBER($B$17)),$AI77&gt;0),"Not read",IF($AG77&lt;=$B$17,"Fits","Doesn't fit")))</f>
        <v/>
      </c>
      <c r="W77" s="21">
        <f>IF(OR($A77="",NOT(ISNUMBER($C77)),$M77&lt;&gt;""),"",MAX(0,TODAY()-$C77))</f>
        <v/>
      </c>
      <c r="X77" s="31">
        <f>IF($A77="","",IF($AQ77=0,"○ Clear",IF($AL77=1,"△ No objective from Portfolio",IF($AM77=1,"△ Decided without a score",IF($AO77=1,"△ Not on the Register under this name",IF($AO77=2,"△ Owner or objective differs from the Register",IF($AN77=2,"△ Accepted with no cost or effort",IF($AN77=1,"△ Doesn't fit, and nothing gives way",IF($AP77=2,"△ Decision isn't Accept, Defer or Decline","△ Decision missing who, when or why")))))))&amp;IF($AQ77&gt;1," (+"&amp;($AQ77-1)&amp;" more)","")))</f>
        <v/>
      </c>
      <c r="Y77" s="31">
        <f>IF($A77="","",IFERROR(MATCH(IF($R77&lt;&gt;"",TRIM($R77),TRIM($A77)),Register!$A$6:$A$305,0),0))</f>
        <v/>
      </c>
      <c r="Z77" s="31">
        <f>IF(N($Y77)=0,"",INDEX(Register!$D$6:$D$305,$Y77))</f>
        <v/>
      </c>
      <c r="AA77" s="31">
        <f>IF(OR($Z77="Active",$Z77="Paused",$Z77="Completed",$Z77="Terminated"),1,0)</f>
        <v/>
      </c>
      <c r="AB77" s="31">
        <f>IF(AND($A77&lt;&gt;"",ISNUMBER($S77),OR($M77="",$M77="Accept"),$AA77=0),1,0)</f>
        <v/>
      </c>
      <c r="AC77" s="31">
        <f>IF($AB77=1,$S77+(1000-ROW())/100000,0)</f>
        <v/>
      </c>
      <c r="AD77" s="31">
        <f>IF(AND($AB77=1,ISNUMBER($F77)),$F77,0)</f>
        <v/>
      </c>
      <c r="AE77" s="31">
        <f>IF(AND($AB77=1,ISNUMBER($G77)),$G77,0)</f>
        <v/>
      </c>
      <c r="AF77" s="31">
        <f>IF($AB77=1,SUMPRODUCT(($AC$32:$AC$81&gt;=$AC77)*$AD$32:$AD$81),"")</f>
        <v/>
      </c>
      <c r="AG77" s="31">
        <f>IF($AB77=1,SUMPRODUCT(($AC$32:$AC$81&gt;=$AC77)*$AE$32:$AE$81),"")</f>
        <v/>
      </c>
      <c r="AH77" s="31">
        <f>IF($AB77=1,SUMPRODUCT(($AC$32:$AC$81&gt;=$AC77)*(1-ISNUMBER($F$32:$F$81))),"")</f>
        <v/>
      </c>
      <c r="AI77" s="31">
        <f>IF($AB77=1,SUMPRODUCT(($AC$32:$AC$81&gt;=$AC77)*(1-ISNUMBER($G$32:$G$81))),"")</f>
        <v/>
      </c>
      <c r="AJ77" s="31">
        <f>IF(AND($AB77=1,$M77="Accept",ISNUMBER($O77)),SUMPRODUCT(($AC$32:$AC$81&gt;$AC77)*ISNUMBER($C$32:$C$81)*($C$32:$C$81&lt;=$O77)*((($M$32:$M$81="")+ISNUMBER($O$32:$O$81)*($O$32:$O$81&gt;$O77))&gt;0)),0)</f>
        <v/>
      </c>
      <c r="AK77" s="31">
        <f>IF($Q77="",0,IFERROR(IF(INDEX(Register!$D$6:$D$305,MATCH(TRIM($Q77),Register!$A$6:$A$305,0))="Active",1,0),0))</f>
        <v/>
      </c>
      <c r="AL77" s="31">
        <f>IF(AND($A77&lt;&gt;"",ISNUMBER($S77)),IF($D77="",1,IF(COUNTIF(Portfolio!$A$47:$A$56,$D77)=0,1,0)),0)</f>
        <v/>
      </c>
      <c r="AM77" s="31">
        <f>IF(AND($A77&lt;&gt;"",$M77&lt;&gt;"",NOT(ISNUMBER($S77))),1,0)</f>
        <v/>
      </c>
      <c r="AN77" s="31">
        <f>IF(AND($AB77=1,$M77="Accept"),IF(OR(AND(ISNUMBER($B$16),NOT(ISNUMBER($F77))),AND(ISNUMBER($B$17),NOT(ISNUMBER($G77)))),2,IF(AND(OR($U77="Doesn't fit",$V77="Doesn't fit"),$AK77=0),1,0)),0)</f>
        <v/>
      </c>
      <c r="AO77" s="31">
        <f>IF(OR($A77="",$M77&lt;&gt;"Accept"),0,IF($Y77=0,IF(OR($R77&lt;&gt;"",IFERROR(TODAY()-$O77,9999)&gt;IF(ISNUMBER($B$20),$B$20,14)),1,0),IF(OR(TRIM(INDEX(Register!$E$6:$E$305,$Y77)&amp;"")&lt;&gt;TRIM($E77&amp;""),TRIM(INDEX(Register!$G$6:$G$305,$Y77)&amp;"")&lt;&gt;TRIM($D77&amp;"")),2,0)))</f>
        <v/>
      </c>
      <c r="AP77" s="31">
        <f>IF(OR($A77="",$M77=""),0,IF(AND($M77&lt;&gt;"Accept",$M77&lt;&gt;"Defer",$M77&lt;&gt;"Decline"),2,IF(OR($N77="",NOT(ISNUMBER($O77))),1,IF(AND($P77="",OR($M77="Defer",$M77="Decline",$AJ77&gt;0)),1,0))))</f>
        <v/>
      </c>
      <c r="AQ77" s="31">
        <f>$AL77+$AM77+IF($AN77&gt;0,1,0)+IF($AO77&gt;0,1,0)+IF($AP77&gt;0,1,0)</f>
        <v/>
      </c>
    </row>
    <row r="78">
      <c r="A78" s="29" t="n"/>
      <c r="B78" s="29" t="n"/>
      <c r="C78" s="14" t="n"/>
      <c r="D78" s="29" t="n"/>
      <c r="E78" s="29" t="n"/>
      <c r="F78" s="19" t="n"/>
      <c r="G78" s="19" t="n"/>
      <c r="H78" s="14" t="n"/>
      <c r="I78" s="48" t="n"/>
      <c r="J78" s="48" t="n"/>
      <c r="K78" s="48" t="n"/>
      <c r="L78" s="48" t="n"/>
      <c r="M78" s="29" t="n"/>
      <c r="N78" s="29" t="n"/>
      <c r="O78" s="14" t="n"/>
      <c r="P78" s="26" t="n"/>
      <c r="Q78" s="29" t="n"/>
      <c r="R78" s="29" t="n"/>
      <c r="S78" s="21">
        <f>IF(OR($A78="",$B$11&lt;=0),"",IF(AND(OR($AR$7=0,ISNUMBER($I78)),OR($AR$8=0,ISNUMBER($J78)),OR($AR$9=0,ISNUMBER($K78)),OR($AR$10=0,ISNUMBER($L78))),ROUND((N($I78)*$AR$7+N($J78)*$AR$8+N($K78)*$AR$9+N($L78)*$AR$10)*20/$B$11,0),""))</f>
        <v/>
      </c>
      <c r="T78" s="21">
        <f>IF($AB78=1,SUMPRODUCT(--($AC$32:$AC$81&gt;$AC78))+1,"")</f>
        <v/>
      </c>
      <c r="U78" s="31">
        <f>IF($AB78=0,"",IF(OR(NOT(ISNUMBER($B$16)),$AH78&gt;0),"Not read",IF($AF78&lt;=$B$16,"Fits","Doesn't fit")))</f>
        <v/>
      </c>
      <c r="V78" s="31">
        <f>IF($AB78=0,"",IF(OR(NOT(ISNUMBER($B$17)),$AI78&gt;0),"Not read",IF($AG78&lt;=$B$17,"Fits","Doesn't fit")))</f>
        <v/>
      </c>
      <c r="W78" s="21">
        <f>IF(OR($A78="",NOT(ISNUMBER($C78)),$M78&lt;&gt;""),"",MAX(0,TODAY()-$C78))</f>
        <v/>
      </c>
      <c r="X78" s="31">
        <f>IF($A78="","",IF($AQ78=0,"○ Clear",IF($AL78=1,"△ No objective from Portfolio",IF($AM78=1,"△ Decided without a score",IF($AO78=1,"△ Not on the Register under this name",IF($AO78=2,"△ Owner or objective differs from the Register",IF($AN78=2,"△ Accepted with no cost or effort",IF($AN78=1,"△ Doesn't fit, and nothing gives way",IF($AP78=2,"△ Decision isn't Accept, Defer or Decline","△ Decision missing who, when or why")))))))&amp;IF($AQ78&gt;1," (+"&amp;($AQ78-1)&amp;" more)","")))</f>
        <v/>
      </c>
      <c r="Y78" s="31">
        <f>IF($A78="","",IFERROR(MATCH(IF($R78&lt;&gt;"",TRIM($R78),TRIM($A78)),Register!$A$6:$A$305,0),0))</f>
        <v/>
      </c>
      <c r="Z78" s="31">
        <f>IF(N($Y78)=0,"",INDEX(Register!$D$6:$D$305,$Y78))</f>
        <v/>
      </c>
      <c r="AA78" s="31">
        <f>IF(OR($Z78="Active",$Z78="Paused",$Z78="Completed",$Z78="Terminated"),1,0)</f>
        <v/>
      </c>
      <c r="AB78" s="31">
        <f>IF(AND($A78&lt;&gt;"",ISNUMBER($S78),OR($M78="",$M78="Accept"),$AA78=0),1,0)</f>
        <v/>
      </c>
      <c r="AC78" s="31">
        <f>IF($AB78=1,$S78+(1000-ROW())/100000,0)</f>
        <v/>
      </c>
      <c r="AD78" s="31">
        <f>IF(AND($AB78=1,ISNUMBER($F78)),$F78,0)</f>
        <v/>
      </c>
      <c r="AE78" s="31">
        <f>IF(AND($AB78=1,ISNUMBER($G78)),$G78,0)</f>
        <v/>
      </c>
      <c r="AF78" s="31">
        <f>IF($AB78=1,SUMPRODUCT(($AC$32:$AC$81&gt;=$AC78)*$AD$32:$AD$81),"")</f>
        <v/>
      </c>
      <c r="AG78" s="31">
        <f>IF($AB78=1,SUMPRODUCT(($AC$32:$AC$81&gt;=$AC78)*$AE$32:$AE$81),"")</f>
        <v/>
      </c>
      <c r="AH78" s="31">
        <f>IF($AB78=1,SUMPRODUCT(($AC$32:$AC$81&gt;=$AC78)*(1-ISNUMBER($F$32:$F$81))),"")</f>
        <v/>
      </c>
      <c r="AI78" s="31">
        <f>IF($AB78=1,SUMPRODUCT(($AC$32:$AC$81&gt;=$AC78)*(1-ISNUMBER($G$32:$G$81))),"")</f>
        <v/>
      </c>
      <c r="AJ78" s="31">
        <f>IF(AND($AB78=1,$M78="Accept",ISNUMBER($O78)),SUMPRODUCT(($AC$32:$AC$81&gt;$AC78)*ISNUMBER($C$32:$C$81)*($C$32:$C$81&lt;=$O78)*((($M$32:$M$81="")+ISNUMBER($O$32:$O$81)*($O$32:$O$81&gt;$O78))&gt;0)),0)</f>
        <v/>
      </c>
      <c r="AK78" s="31">
        <f>IF($Q78="",0,IFERROR(IF(INDEX(Register!$D$6:$D$305,MATCH(TRIM($Q78),Register!$A$6:$A$305,0))="Active",1,0),0))</f>
        <v/>
      </c>
      <c r="AL78" s="31">
        <f>IF(AND($A78&lt;&gt;"",ISNUMBER($S78)),IF($D78="",1,IF(COUNTIF(Portfolio!$A$47:$A$56,$D78)=0,1,0)),0)</f>
        <v/>
      </c>
      <c r="AM78" s="31">
        <f>IF(AND($A78&lt;&gt;"",$M78&lt;&gt;"",NOT(ISNUMBER($S78))),1,0)</f>
        <v/>
      </c>
      <c r="AN78" s="31">
        <f>IF(AND($AB78=1,$M78="Accept"),IF(OR(AND(ISNUMBER($B$16),NOT(ISNUMBER($F78))),AND(ISNUMBER($B$17),NOT(ISNUMBER($G78)))),2,IF(AND(OR($U78="Doesn't fit",$V78="Doesn't fit"),$AK78=0),1,0)),0)</f>
        <v/>
      </c>
      <c r="AO78" s="31">
        <f>IF(OR($A78="",$M78&lt;&gt;"Accept"),0,IF($Y78=0,IF(OR($R78&lt;&gt;"",IFERROR(TODAY()-$O78,9999)&gt;IF(ISNUMBER($B$20),$B$20,14)),1,0),IF(OR(TRIM(INDEX(Register!$E$6:$E$305,$Y78)&amp;"")&lt;&gt;TRIM($E78&amp;""),TRIM(INDEX(Register!$G$6:$G$305,$Y78)&amp;"")&lt;&gt;TRIM($D78&amp;"")),2,0)))</f>
        <v/>
      </c>
      <c r="AP78" s="31">
        <f>IF(OR($A78="",$M78=""),0,IF(AND($M78&lt;&gt;"Accept",$M78&lt;&gt;"Defer",$M78&lt;&gt;"Decline"),2,IF(OR($N78="",NOT(ISNUMBER($O78))),1,IF(AND($P78="",OR($M78="Defer",$M78="Decline",$AJ78&gt;0)),1,0))))</f>
        <v/>
      </c>
      <c r="AQ78" s="31">
        <f>$AL78+$AM78+IF($AN78&gt;0,1,0)+IF($AO78&gt;0,1,0)+IF($AP78&gt;0,1,0)</f>
        <v/>
      </c>
    </row>
    <row r="79">
      <c r="A79" s="29" t="n"/>
      <c r="B79" s="29" t="n"/>
      <c r="C79" s="14" t="n"/>
      <c r="D79" s="29" t="n"/>
      <c r="E79" s="29" t="n"/>
      <c r="F79" s="19" t="n"/>
      <c r="G79" s="19" t="n"/>
      <c r="H79" s="14" t="n"/>
      <c r="I79" s="48" t="n"/>
      <c r="J79" s="48" t="n"/>
      <c r="K79" s="48" t="n"/>
      <c r="L79" s="48" t="n"/>
      <c r="M79" s="29" t="n"/>
      <c r="N79" s="29" t="n"/>
      <c r="O79" s="14" t="n"/>
      <c r="P79" s="26" t="n"/>
      <c r="Q79" s="29" t="n"/>
      <c r="R79" s="29" t="n"/>
      <c r="S79" s="21">
        <f>IF(OR($A79="",$B$11&lt;=0),"",IF(AND(OR($AR$7=0,ISNUMBER($I79)),OR($AR$8=0,ISNUMBER($J79)),OR($AR$9=0,ISNUMBER($K79)),OR($AR$10=0,ISNUMBER($L79))),ROUND((N($I79)*$AR$7+N($J79)*$AR$8+N($K79)*$AR$9+N($L79)*$AR$10)*20/$B$11,0),""))</f>
        <v/>
      </c>
      <c r="T79" s="21">
        <f>IF($AB79=1,SUMPRODUCT(--($AC$32:$AC$81&gt;$AC79))+1,"")</f>
        <v/>
      </c>
      <c r="U79" s="31">
        <f>IF($AB79=0,"",IF(OR(NOT(ISNUMBER($B$16)),$AH79&gt;0),"Not read",IF($AF79&lt;=$B$16,"Fits","Doesn't fit")))</f>
        <v/>
      </c>
      <c r="V79" s="31">
        <f>IF($AB79=0,"",IF(OR(NOT(ISNUMBER($B$17)),$AI79&gt;0),"Not read",IF($AG79&lt;=$B$17,"Fits","Doesn't fit")))</f>
        <v/>
      </c>
      <c r="W79" s="21">
        <f>IF(OR($A79="",NOT(ISNUMBER($C79)),$M79&lt;&gt;""),"",MAX(0,TODAY()-$C79))</f>
        <v/>
      </c>
      <c r="X79" s="31">
        <f>IF($A79="","",IF($AQ79=0,"○ Clear",IF($AL79=1,"△ No objective from Portfolio",IF($AM79=1,"△ Decided without a score",IF($AO79=1,"△ Not on the Register under this name",IF($AO79=2,"△ Owner or objective differs from the Register",IF($AN79=2,"△ Accepted with no cost or effort",IF($AN79=1,"△ Doesn't fit, and nothing gives way",IF($AP79=2,"△ Decision isn't Accept, Defer or Decline","△ Decision missing who, when or why")))))))&amp;IF($AQ79&gt;1," (+"&amp;($AQ79-1)&amp;" more)","")))</f>
        <v/>
      </c>
      <c r="Y79" s="31">
        <f>IF($A79="","",IFERROR(MATCH(IF($R79&lt;&gt;"",TRIM($R79),TRIM($A79)),Register!$A$6:$A$305,0),0))</f>
        <v/>
      </c>
      <c r="Z79" s="31">
        <f>IF(N($Y79)=0,"",INDEX(Register!$D$6:$D$305,$Y79))</f>
        <v/>
      </c>
      <c r="AA79" s="31">
        <f>IF(OR($Z79="Active",$Z79="Paused",$Z79="Completed",$Z79="Terminated"),1,0)</f>
        <v/>
      </c>
      <c r="AB79" s="31">
        <f>IF(AND($A79&lt;&gt;"",ISNUMBER($S79),OR($M79="",$M79="Accept"),$AA79=0),1,0)</f>
        <v/>
      </c>
      <c r="AC79" s="31">
        <f>IF($AB79=1,$S79+(1000-ROW())/100000,0)</f>
        <v/>
      </c>
      <c r="AD79" s="31">
        <f>IF(AND($AB79=1,ISNUMBER($F79)),$F79,0)</f>
        <v/>
      </c>
      <c r="AE79" s="31">
        <f>IF(AND($AB79=1,ISNUMBER($G79)),$G79,0)</f>
        <v/>
      </c>
      <c r="AF79" s="31">
        <f>IF($AB79=1,SUMPRODUCT(($AC$32:$AC$81&gt;=$AC79)*$AD$32:$AD$81),"")</f>
        <v/>
      </c>
      <c r="AG79" s="31">
        <f>IF($AB79=1,SUMPRODUCT(($AC$32:$AC$81&gt;=$AC79)*$AE$32:$AE$81),"")</f>
        <v/>
      </c>
      <c r="AH79" s="31">
        <f>IF($AB79=1,SUMPRODUCT(($AC$32:$AC$81&gt;=$AC79)*(1-ISNUMBER($F$32:$F$81))),"")</f>
        <v/>
      </c>
      <c r="AI79" s="31">
        <f>IF($AB79=1,SUMPRODUCT(($AC$32:$AC$81&gt;=$AC79)*(1-ISNUMBER($G$32:$G$81))),"")</f>
        <v/>
      </c>
      <c r="AJ79" s="31">
        <f>IF(AND($AB79=1,$M79="Accept",ISNUMBER($O79)),SUMPRODUCT(($AC$32:$AC$81&gt;$AC79)*ISNUMBER($C$32:$C$81)*($C$32:$C$81&lt;=$O79)*((($M$32:$M$81="")+ISNUMBER($O$32:$O$81)*($O$32:$O$81&gt;$O79))&gt;0)),0)</f>
        <v/>
      </c>
      <c r="AK79" s="31">
        <f>IF($Q79="",0,IFERROR(IF(INDEX(Register!$D$6:$D$305,MATCH(TRIM($Q79),Register!$A$6:$A$305,0))="Active",1,0),0))</f>
        <v/>
      </c>
      <c r="AL79" s="31">
        <f>IF(AND($A79&lt;&gt;"",ISNUMBER($S79)),IF($D79="",1,IF(COUNTIF(Portfolio!$A$47:$A$56,$D79)=0,1,0)),0)</f>
        <v/>
      </c>
      <c r="AM79" s="31">
        <f>IF(AND($A79&lt;&gt;"",$M79&lt;&gt;"",NOT(ISNUMBER($S79))),1,0)</f>
        <v/>
      </c>
      <c r="AN79" s="31">
        <f>IF(AND($AB79=1,$M79="Accept"),IF(OR(AND(ISNUMBER($B$16),NOT(ISNUMBER($F79))),AND(ISNUMBER($B$17),NOT(ISNUMBER($G79)))),2,IF(AND(OR($U79="Doesn't fit",$V79="Doesn't fit"),$AK79=0),1,0)),0)</f>
        <v/>
      </c>
      <c r="AO79" s="31">
        <f>IF(OR($A79="",$M79&lt;&gt;"Accept"),0,IF($Y79=0,IF(OR($R79&lt;&gt;"",IFERROR(TODAY()-$O79,9999)&gt;IF(ISNUMBER($B$20),$B$20,14)),1,0),IF(OR(TRIM(INDEX(Register!$E$6:$E$305,$Y79)&amp;"")&lt;&gt;TRIM($E79&amp;""),TRIM(INDEX(Register!$G$6:$G$305,$Y79)&amp;"")&lt;&gt;TRIM($D79&amp;"")),2,0)))</f>
        <v/>
      </c>
      <c r="AP79" s="31">
        <f>IF(OR($A79="",$M79=""),0,IF(AND($M79&lt;&gt;"Accept",$M79&lt;&gt;"Defer",$M79&lt;&gt;"Decline"),2,IF(OR($N79="",NOT(ISNUMBER($O79))),1,IF(AND($P79="",OR($M79="Defer",$M79="Decline",$AJ79&gt;0)),1,0))))</f>
        <v/>
      </c>
      <c r="AQ79" s="31">
        <f>$AL79+$AM79+IF($AN79&gt;0,1,0)+IF($AO79&gt;0,1,0)+IF($AP79&gt;0,1,0)</f>
        <v/>
      </c>
    </row>
    <row r="80">
      <c r="A80" s="29" t="n"/>
      <c r="B80" s="29" t="n"/>
      <c r="C80" s="14" t="n"/>
      <c r="D80" s="29" t="n"/>
      <c r="E80" s="29" t="n"/>
      <c r="F80" s="19" t="n"/>
      <c r="G80" s="19" t="n"/>
      <c r="H80" s="14" t="n"/>
      <c r="I80" s="48" t="n"/>
      <c r="J80" s="48" t="n"/>
      <c r="K80" s="48" t="n"/>
      <c r="L80" s="48" t="n"/>
      <c r="M80" s="29" t="n"/>
      <c r="N80" s="29" t="n"/>
      <c r="O80" s="14" t="n"/>
      <c r="P80" s="26" t="n"/>
      <c r="Q80" s="29" t="n"/>
      <c r="R80" s="29" t="n"/>
      <c r="S80" s="21">
        <f>IF(OR($A80="",$B$11&lt;=0),"",IF(AND(OR($AR$7=0,ISNUMBER($I80)),OR($AR$8=0,ISNUMBER($J80)),OR($AR$9=0,ISNUMBER($K80)),OR($AR$10=0,ISNUMBER($L80))),ROUND((N($I80)*$AR$7+N($J80)*$AR$8+N($K80)*$AR$9+N($L80)*$AR$10)*20/$B$11,0),""))</f>
        <v/>
      </c>
      <c r="T80" s="21">
        <f>IF($AB80=1,SUMPRODUCT(--($AC$32:$AC$81&gt;$AC80))+1,"")</f>
        <v/>
      </c>
      <c r="U80" s="31">
        <f>IF($AB80=0,"",IF(OR(NOT(ISNUMBER($B$16)),$AH80&gt;0),"Not read",IF($AF80&lt;=$B$16,"Fits","Doesn't fit")))</f>
        <v/>
      </c>
      <c r="V80" s="31">
        <f>IF($AB80=0,"",IF(OR(NOT(ISNUMBER($B$17)),$AI80&gt;0),"Not read",IF($AG80&lt;=$B$17,"Fits","Doesn't fit")))</f>
        <v/>
      </c>
      <c r="W80" s="21">
        <f>IF(OR($A80="",NOT(ISNUMBER($C80)),$M80&lt;&gt;""),"",MAX(0,TODAY()-$C80))</f>
        <v/>
      </c>
      <c r="X80" s="31">
        <f>IF($A80="","",IF($AQ80=0,"○ Clear",IF($AL80=1,"△ No objective from Portfolio",IF($AM80=1,"△ Decided without a score",IF($AO80=1,"△ Not on the Register under this name",IF($AO80=2,"△ Owner or objective differs from the Register",IF($AN80=2,"△ Accepted with no cost or effort",IF($AN80=1,"△ Doesn't fit, and nothing gives way",IF($AP80=2,"△ Decision isn't Accept, Defer or Decline","△ Decision missing who, when or why")))))))&amp;IF($AQ80&gt;1," (+"&amp;($AQ80-1)&amp;" more)","")))</f>
        <v/>
      </c>
      <c r="Y80" s="31">
        <f>IF($A80="","",IFERROR(MATCH(IF($R80&lt;&gt;"",TRIM($R80),TRIM($A80)),Register!$A$6:$A$305,0),0))</f>
        <v/>
      </c>
      <c r="Z80" s="31">
        <f>IF(N($Y80)=0,"",INDEX(Register!$D$6:$D$305,$Y80))</f>
        <v/>
      </c>
      <c r="AA80" s="31">
        <f>IF(OR($Z80="Active",$Z80="Paused",$Z80="Completed",$Z80="Terminated"),1,0)</f>
        <v/>
      </c>
      <c r="AB80" s="31">
        <f>IF(AND($A80&lt;&gt;"",ISNUMBER($S80),OR($M80="",$M80="Accept"),$AA80=0),1,0)</f>
        <v/>
      </c>
      <c r="AC80" s="31">
        <f>IF($AB80=1,$S80+(1000-ROW())/100000,0)</f>
        <v/>
      </c>
      <c r="AD80" s="31">
        <f>IF(AND($AB80=1,ISNUMBER($F80)),$F80,0)</f>
        <v/>
      </c>
      <c r="AE80" s="31">
        <f>IF(AND($AB80=1,ISNUMBER($G80)),$G80,0)</f>
        <v/>
      </c>
      <c r="AF80" s="31">
        <f>IF($AB80=1,SUMPRODUCT(($AC$32:$AC$81&gt;=$AC80)*$AD$32:$AD$81),"")</f>
        <v/>
      </c>
      <c r="AG80" s="31">
        <f>IF($AB80=1,SUMPRODUCT(($AC$32:$AC$81&gt;=$AC80)*$AE$32:$AE$81),"")</f>
        <v/>
      </c>
      <c r="AH80" s="31">
        <f>IF($AB80=1,SUMPRODUCT(($AC$32:$AC$81&gt;=$AC80)*(1-ISNUMBER($F$32:$F$81))),"")</f>
        <v/>
      </c>
      <c r="AI80" s="31">
        <f>IF($AB80=1,SUMPRODUCT(($AC$32:$AC$81&gt;=$AC80)*(1-ISNUMBER($G$32:$G$81))),"")</f>
        <v/>
      </c>
      <c r="AJ80" s="31">
        <f>IF(AND($AB80=1,$M80="Accept",ISNUMBER($O80)),SUMPRODUCT(($AC$32:$AC$81&gt;$AC80)*ISNUMBER($C$32:$C$81)*($C$32:$C$81&lt;=$O80)*((($M$32:$M$81="")+ISNUMBER($O$32:$O$81)*($O$32:$O$81&gt;$O80))&gt;0)),0)</f>
        <v/>
      </c>
      <c r="AK80" s="31">
        <f>IF($Q80="",0,IFERROR(IF(INDEX(Register!$D$6:$D$305,MATCH(TRIM($Q80),Register!$A$6:$A$305,0))="Active",1,0),0))</f>
        <v/>
      </c>
      <c r="AL80" s="31">
        <f>IF(AND($A80&lt;&gt;"",ISNUMBER($S80)),IF($D80="",1,IF(COUNTIF(Portfolio!$A$47:$A$56,$D80)=0,1,0)),0)</f>
        <v/>
      </c>
      <c r="AM80" s="31">
        <f>IF(AND($A80&lt;&gt;"",$M80&lt;&gt;"",NOT(ISNUMBER($S80))),1,0)</f>
        <v/>
      </c>
      <c r="AN80" s="31">
        <f>IF(AND($AB80=1,$M80="Accept"),IF(OR(AND(ISNUMBER($B$16),NOT(ISNUMBER($F80))),AND(ISNUMBER($B$17),NOT(ISNUMBER($G80)))),2,IF(AND(OR($U80="Doesn't fit",$V80="Doesn't fit"),$AK80=0),1,0)),0)</f>
        <v/>
      </c>
      <c r="AO80" s="31">
        <f>IF(OR($A80="",$M80&lt;&gt;"Accept"),0,IF($Y80=0,IF(OR($R80&lt;&gt;"",IFERROR(TODAY()-$O80,9999)&gt;IF(ISNUMBER($B$20),$B$20,14)),1,0),IF(OR(TRIM(INDEX(Register!$E$6:$E$305,$Y80)&amp;"")&lt;&gt;TRIM($E80&amp;""),TRIM(INDEX(Register!$G$6:$G$305,$Y80)&amp;"")&lt;&gt;TRIM($D80&amp;"")),2,0)))</f>
        <v/>
      </c>
      <c r="AP80" s="31">
        <f>IF(OR($A80="",$M80=""),0,IF(AND($M80&lt;&gt;"Accept",$M80&lt;&gt;"Defer",$M80&lt;&gt;"Decline"),2,IF(OR($N80="",NOT(ISNUMBER($O80))),1,IF(AND($P80="",OR($M80="Defer",$M80="Decline",$AJ80&gt;0)),1,0))))</f>
        <v/>
      </c>
      <c r="AQ80" s="31">
        <f>$AL80+$AM80+IF($AN80&gt;0,1,0)+IF($AO80&gt;0,1,0)+IF($AP80&gt;0,1,0)</f>
        <v/>
      </c>
    </row>
    <row r="81">
      <c r="A81" s="29" t="n"/>
      <c r="B81" s="29" t="n"/>
      <c r="C81" s="14" t="n"/>
      <c r="D81" s="29" t="n"/>
      <c r="E81" s="29" t="n"/>
      <c r="F81" s="19" t="n"/>
      <c r="G81" s="19" t="n"/>
      <c r="H81" s="14" t="n"/>
      <c r="I81" s="48" t="n"/>
      <c r="J81" s="48" t="n"/>
      <c r="K81" s="48" t="n"/>
      <c r="L81" s="48" t="n"/>
      <c r="M81" s="29" t="n"/>
      <c r="N81" s="29" t="n"/>
      <c r="O81" s="14" t="n"/>
      <c r="P81" s="26" t="n"/>
      <c r="Q81" s="29" t="n"/>
      <c r="R81" s="29" t="n"/>
      <c r="S81" s="21">
        <f>IF(OR($A81="",$B$11&lt;=0),"",IF(AND(OR($AR$7=0,ISNUMBER($I81)),OR($AR$8=0,ISNUMBER($J81)),OR($AR$9=0,ISNUMBER($K81)),OR($AR$10=0,ISNUMBER($L81))),ROUND((N($I81)*$AR$7+N($J81)*$AR$8+N($K81)*$AR$9+N($L81)*$AR$10)*20/$B$11,0),""))</f>
        <v/>
      </c>
      <c r="T81" s="21">
        <f>IF($AB81=1,SUMPRODUCT(--($AC$32:$AC$81&gt;$AC81))+1,"")</f>
        <v/>
      </c>
      <c r="U81" s="31">
        <f>IF($AB81=0,"",IF(OR(NOT(ISNUMBER($B$16)),$AH81&gt;0),"Not read",IF($AF81&lt;=$B$16,"Fits","Doesn't fit")))</f>
        <v/>
      </c>
      <c r="V81" s="31">
        <f>IF($AB81=0,"",IF(OR(NOT(ISNUMBER($B$17)),$AI81&gt;0),"Not read",IF($AG81&lt;=$B$17,"Fits","Doesn't fit")))</f>
        <v/>
      </c>
      <c r="W81" s="21">
        <f>IF(OR($A81="",NOT(ISNUMBER($C81)),$M81&lt;&gt;""),"",MAX(0,TODAY()-$C81))</f>
        <v/>
      </c>
      <c r="X81" s="31">
        <f>IF($A81="","",IF($AQ81=0,"○ Clear",IF($AL81=1,"△ No objective from Portfolio",IF($AM81=1,"△ Decided without a score",IF($AO81=1,"△ Not on the Register under this name",IF($AO81=2,"△ Owner or objective differs from the Register",IF($AN81=2,"△ Accepted with no cost or effort",IF($AN81=1,"△ Doesn't fit, and nothing gives way",IF($AP81=2,"△ Decision isn't Accept, Defer or Decline","△ Decision missing who, when or why")))))))&amp;IF($AQ81&gt;1," (+"&amp;($AQ81-1)&amp;" more)","")))</f>
        <v/>
      </c>
      <c r="Y81" s="31">
        <f>IF($A81="","",IFERROR(MATCH(IF($R81&lt;&gt;"",TRIM($R81),TRIM($A81)),Register!$A$6:$A$305,0),0))</f>
        <v/>
      </c>
      <c r="Z81" s="31">
        <f>IF(N($Y81)=0,"",INDEX(Register!$D$6:$D$305,$Y81))</f>
        <v/>
      </c>
      <c r="AA81" s="31">
        <f>IF(OR($Z81="Active",$Z81="Paused",$Z81="Completed",$Z81="Terminated"),1,0)</f>
        <v/>
      </c>
      <c r="AB81" s="31">
        <f>IF(AND($A81&lt;&gt;"",ISNUMBER($S81),OR($M81="",$M81="Accept"),$AA81=0),1,0)</f>
        <v/>
      </c>
      <c r="AC81" s="31">
        <f>IF($AB81=1,$S81+(1000-ROW())/100000,0)</f>
        <v/>
      </c>
      <c r="AD81" s="31">
        <f>IF(AND($AB81=1,ISNUMBER($F81)),$F81,0)</f>
        <v/>
      </c>
      <c r="AE81" s="31">
        <f>IF(AND($AB81=1,ISNUMBER($G81)),$G81,0)</f>
        <v/>
      </c>
      <c r="AF81" s="31">
        <f>IF($AB81=1,SUMPRODUCT(($AC$32:$AC$81&gt;=$AC81)*$AD$32:$AD$81),"")</f>
        <v/>
      </c>
      <c r="AG81" s="31">
        <f>IF($AB81=1,SUMPRODUCT(($AC$32:$AC$81&gt;=$AC81)*$AE$32:$AE$81),"")</f>
        <v/>
      </c>
      <c r="AH81" s="31">
        <f>IF($AB81=1,SUMPRODUCT(($AC$32:$AC$81&gt;=$AC81)*(1-ISNUMBER($F$32:$F$81))),"")</f>
        <v/>
      </c>
      <c r="AI81" s="31">
        <f>IF($AB81=1,SUMPRODUCT(($AC$32:$AC$81&gt;=$AC81)*(1-ISNUMBER($G$32:$G$81))),"")</f>
        <v/>
      </c>
      <c r="AJ81" s="31">
        <f>IF(AND($AB81=1,$M81="Accept",ISNUMBER($O81)),SUMPRODUCT(($AC$32:$AC$81&gt;$AC81)*ISNUMBER($C$32:$C$81)*($C$32:$C$81&lt;=$O81)*((($M$32:$M$81="")+ISNUMBER($O$32:$O$81)*($O$32:$O$81&gt;$O81))&gt;0)),0)</f>
        <v/>
      </c>
      <c r="AK81" s="31">
        <f>IF($Q81="",0,IFERROR(IF(INDEX(Register!$D$6:$D$305,MATCH(TRIM($Q81),Register!$A$6:$A$305,0))="Active",1,0),0))</f>
        <v/>
      </c>
      <c r="AL81" s="31">
        <f>IF(AND($A81&lt;&gt;"",ISNUMBER($S81)),IF($D81="",1,IF(COUNTIF(Portfolio!$A$47:$A$56,$D81)=0,1,0)),0)</f>
        <v/>
      </c>
      <c r="AM81" s="31">
        <f>IF(AND($A81&lt;&gt;"",$M81&lt;&gt;"",NOT(ISNUMBER($S81))),1,0)</f>
        <v/>
      </c>
      <c r="AN81" s="31">
        <f>IF(AND($AB81=1,$M81="Accept"),IF(OR(AND(ISNUMBER($B$16),NOT(ISNUMBER($F81))),AND(ISNUMBER($B$17),NOT(ISNUMBER($G81)))),2,IF(AND(OR($U81="Doesn't fit",$V81="Doesn't fit"),$AK81=0),1,0)),0)</f>
        <v/>
      </c>
      <c r="AO81" s="31">
        <f>IF(OR($A81="",$M81&lt;&gt;"Accept"),0,IF($Y81=0,IF(OR($R81&lt;&gt;"",IFERROR(TODAY()-$O81,9999)&gt;IF(ISNUMBER($B$20),$B$20,14)),1,0),IF(OR(TRIM(INDEX(Register!$E$6:$E$305,$Y81)&amp;"")&lt;&gt;TRIM($E81&amp;""),TRIM(INDEX(Register!$G$6:$G$305,$Y81)&amp;"")&lt;&gt;TRIM($D81&amp;"")),2,0)))</f>
        <v/>
      </c>
      <c r="AP81" s="31">
        <f>IF(OR($A81="",$M81=""),0,IF(AND($M81&lt;&gt;"Accept",$M81&lt;&gt;"Defer",$M81&lt;&gt;"Decline"),2,IF(OR($N81="",NOT(ISNUMBER($O81))),1,IF(AND($P81="",OR($M81="Defer",$M81="Decline",$AJ81&gt;0)),1,0))))</f>
        <v/>
      </c>
      <c r="AQ81" s="31">
        <f>$AL81+$AM81+IF($AN81&gt;0,1,0)+IF($AO81&gt;0,1,0)+IF($AP81&gt;0,1,0)</f>
        <v/>
      </c>
    </row>
  </sheetData>
  <autoFilter ref="A31:X81"/>
  <mergeCells count="9">
    <mergeCell ref="C6:H6"/>
    <mergeCell ref="C10:H10"/>
    <mergeCell ref="A30:X30"/>
    <mergeCell ref="A15:H15"/>
    <mergeCell ref="C9:H9"/>
    <mergeCell ref="C8:H8"/>
    <mergeCell ref="A5:H5"/>
    <mergeCell ref="C7:H7"/>
    <mergeCell ref="A22:H22"/>
  </mergeCells>
  <conditionalFormatting sqref="B11">
    <cfRule type="expression" priority="1" dxfId="5" stopIfTrue="0">
      <formula>OR(COUNTA($B$7:$B$10)&lt;&gt;COUNT($B$7:$B$10),ROUND($B$11,4)&lt;&gt;1)</formula>
    </cfRule>
  </conditionalFormatting>
  <conditionalFormatting sqref="B23:B27">
    <cfRule type="expression" priority="2" dxfId="1" stopIfTrue="0">
      <formula>LEFT(B23,1)="△"</formula>
    </cfRule>
  </conditionalFormatting>
  <conditionalFormatting sqref="B29">
    <cfRule type="expression" priority="3" dxfId="1" stopIfTrue="0">
      <formula>LEFT(B29,1)="△"</formula>
    </cfRule>
  </conditionalFormatting>
  <conditionalFormatting sqref="X32:X81">
    <cfRule type="expression" priority="4" dxfId="1" stopIfTrue="0">
      <formula>LEFT($X32,1)="△"</formula>
    </cfRule>
  </conditionalFormatting>
  <dataValidations count="33">
    <dataValidation sqref="A7:A10" showDropDown="0" showInputMessage="1" showErrorMessage="0" allowBlank="1" promptTitle="Criterion" prompt="What you score requests on. Rename it to suit; the request table's headers follow." errorStyle="stop"/>
    <dataValidation sqref="B7:B10" showDropDown="0" showInputMessage="1" showErrorMessage="1" allowBlank="1" errorTitle="Check this entry" error="Type a percent, such as 10%." promptTitle="Weight" prompt="The share of the score this criterion carries. Set one to 0% to use fewer criteria." type="decimal" errorStyle="stop" operator="between">
      <formula1>0</formula1>
      <formula2>1</formula2>
    </dataValidation>
    <dataValidation sqref="C7:C10" showDropDown="0" showInputMessage="1" showErrorMessage="0" allowBlank="1" promptTitle="What a 1 and a 5 mean" prompt="What a score of 1 means and what a 5 means, so two people scoring the same request give the same number." errorStyle="stop"/>
    <dataValidation sqref="B11" showDropDown="0" showInputMessage="1" showErrorMessage="0" allowBlank="1" promptTitle="Total weight" prompt="Should be 100%. The ranking comes out the same at any total, so red usually means a typo." errorStyle="stop"/>
    <dataValidation sqref="B12" showDropDown="0" showInputMessage="1" showErrorMessage="0" allowBlank="1" promptTitle="Agreed by" prompt="The person who agreed the criteria and weights, usually the director." errorStyle="stop"/>
    <dataValidation sqref="B13" showDropDown="0" showInputMessage="1" showErrorMessage="1" allowBlank="1" errorTitle="Check this entry" error="Type a date, today or earlier." promptTitle="Agreed on" prompt="The day the criteria and weights were agreed. A decision dated before it fails a check." type="custom" errorStyle="stop">
      <formula1>OR(B13="",AND(ISNUMBER(B13),B13&lt;=TODAY()))</formula1>
    </dataValidation>
    <dataValidation sqref="B16" showDropDown="0" showInputMessage="1" showErrorMessage="0" allowBlank="1" promptTitle="Left in the envelope" prompt="Worked out: the envelope minus budgets given out, from Portfolio. Blank if no envelope is set." errorStyle="stop"/>
    <dataValidation sqref="B17" showDropDown="0" showInputMessage="1" showErrorMessage="1" allowBlank="1" errorTitle="Check this entry" error="Type the days as a number, 0 or more." promptTitle="Free person-days" prompt="Days your people have free for new work, over the period you type beside it. Capacity's figure for the next 13 weeks is shown to the right, as the most it could be." type="decimal" errorStyle="stop" operator="greaterThanOrEqual">
      <formula1>0</formula1>
    </dataValidation>
    <dataValidation sqref="C17" showDropDown="0" showInputMessage="1" showErrorMessage="0" allowBlank="1" promptTitle="Free person-days" prompt="The period those days cover, such as next 13 weeks." errorStyle="stop"/>
    <dataValidation sqref="B18" showDropDown="0" showInputMessage="1" showErrorMessage="0" allowBlank="1" promptTitle="Cost of the queue" prompt="Worked out: Estimated cost added up over the queue." errorStyle="stop"/>
    <dataValidation sqref="B19" showDropDown="0" showInputMessage="1" showErrorMessage="0" allowBlank="1" promptTitle="Person-days in the queue" prompt="Worked out: person-days added up over the queue." errorStyle="stop"/>
    <dataValidation sqref="B20" showDropDown="0" showInputMessage="1" showErrorMessage="1" allowBlank="1" errorTitle="Check this entry" error="Type a whole number of days, 0 to 365." promptTitle="Days to get on the Register" prompt="How many days an accepted request may wait for its Register row before the check flags it. Starts at 14." type="whole" errorStyle="stop" operator="between">
      <formula1>0</formula1>
      <formula2>365</formula2>
    </dataValidation>
    <dataValidation sqref="A32:A81" showDropDown="0" showInputMessage="1" showErrorMessage="1" allowBlank="1" errorTitle="Check this entry" error="Another request already has this name. Use a different one: the Register finds a request by its name." promptTitle="Request" prompt="A short name for the work, unique on this tab. When it becomes a project, give its Register row the same name. Don't use * ? or ~, or the name of finished work." type="custom" errorStyle="stop">
      <formula1>COUNTIF($A$32:$A$81,A32)=1</formula1>
    </dataValidation>
    <dataValidation sqref="B32:B81" showDropDown="0" showInputMessage="1" showErrorMessage="0" allowBlank="1" promptTitle="Requested by" prompt="Who asked for it. A name, with a role in brackets if you like." errorStyle="stop"/>
    <dataValidation sqref="C32:C81" showDropDown="0" showInputMessage="1" showErrorMessage="1" allowBlank="1" errorTitle="Check this entry" error="Type a date, such as 30 Jun 2027." promptTitle="Received" prompt="The day the request arrived. Every scored request needs one." type="date" errorStyle="stop" operator="greaterThan">
      <formula1>36526</formula1>
    </dataValidation>
    <dataValidation sqref="D32:D81" showDropDown="0" showInputMessage="1" showErrorMessage="1" allowBlank="1" errorTitle="Check this entry" error="That isn't one of the objectives on Portfolio. Add it there first, or pick one from the list." promptTitle="Objective" prompt="The objective on Portfolio this request serves. Pick one from the list." type="list" errorStyle="warning">
      <formula1>Portfolio!$A$47:$A$56</formula1>
    </dataValidation>
    <dataValidation sqref="E32:E81" showDropDown="0" showInputMessage="1" showErrorMessage="0" allowBlank="1" promptTitle="Proposed owner" prompt="Who would own it as a project. Type the name as the Register's Owner column has it, role and all." errorStyle="stop"/>
    <dataValidation sqref="F32:F81" showDropDown="0" showInputMessage="1" showErrorMessage="1" allowBlank="1" errorTitle="Check this entry" error="Type an amount of 0 or more, with no currency sign." promptTitle="Estimated cost" prompt="What it's expected to cost, with no currency sign. Without it, Fits the money can't be read." type="decimal" errorStyle="stop" operator="greaterThanOrEqual">
      <formula1>0</formula1>
    </dataValidation>
    <dataValidation sqref="G32:G81" showDropDown="0" showInputMessage="1" showErrorMessage="1" allowBlank="1" errorTitle="Check this entry" error="Type a whole number of person-days, 0 to 9999." promptTitle="Effort, person-days" prompt="The work in person-days: one person for one working day is 1. Without it, Fits the people can't be read." type="whole" errorStyle="stop" operator="between">
      <formula1>0</formula1>
      <formula2>9999</formula2>
    </dataValidation>
    <dataValidation sqref="H32:H81" showDropDown="0" showInputMessage="1" showErrorMessage="1" allowBlank="1" errorTitle="Check this entry" error="Type a date, such as 30 Jun 2027." promptTitle="Wanted start" prompt="When the requester wants it to start. For planning; no check reads it." type="date" errorStyle="stop" operator="greaterThan">
      <formula1>36526</formula1>
    </dataValidation>
    <dataValidation sqref="I32:L81" showDropDown="0" showInputMessage="1" showErrorMessage="1" allowBlank="1" errorTitle="Check this entry" error="Type a whole number from 1 to 5." promptTitle="Score, 1 to 5" prompt="Score it from 1 to 5 against this criterion. What a 1 and a 5 mean is at the top of the tab." type="whole" errorStyle="stop" operator="between">
      <formula1>1</formula1>
      <formula2>5</formula2>
    </dataValidation>
    <dataValidation sqref="M32:M81" showDropDown="0" showInputMessage="1" showErrorMessage="1" allowBlank="1" errorTitle="Check this entry" error="Pick Accept, Defer or Decline, or leave it blank." promptTitle="Decision" prompt="Accept, Defer or Decline, once it's decided. Leave it blank while the request is open." type="list" errorStyle="stop">
      <formula1>"Accept,Defer,Decline"</formula1>
    </dataValidation>
    <dataValidation sqref="N32:N81" showDropDown="0" showInputMessage="1" showErrorMessage="0" allowBlank="1" promptTitle="Decided by" prompt="The one person who made the decision." errorStyle="stop"/>
    <dataValidation sqref="O32:O81" showDropDown="0" showInputMessage="1" showErrorMessage="1" allowBlank="1" errorTitle="Check this entry" error="Type a date, today or earlier." promptTitle="Decided on" prompt="The day it was decided, today or earlier." type="custom" errorStyle="stop">
      <formula1>OR(O32="",AND(ISNUMBER(O32),O32&lt;=TODAY()))</formula1>
    </dataValidation>
    <dataValidation sqref="P32:P81" showDropDown="0" showInputMessage="1" showErrorMessage="0" allowBlank="1" promptTitle="Reason" prompt="Why. Needed for Defer and Decline, and for an Accept that went ahead of a higher-ranked request still open at the time." errorStyle="stop"/>
    <dataValidation sqref="Q32:Q81" showDropDown="0" showInputMessage="1" showErrorMessage="1" allowBlank="1" errorTitle="Check this entry" error="That name isn't on the Register. You can keep it, but it won't count as running work that gives way." promptTitle="Gives way" prompt="If it doesn't fit, the running project that slows or stops so this can start. Pick it from the Register. It has to be Active, or the check fails." type="list" errorStyle="warning">
      <formula1>Register!$A$6:$A$305</formula1>
    </dataValidation>
    <dataValidation sqref="R32:R81" showDropDown="0" showInputMessage="1" showErrorMessage="1" allowBlank="1" errorTitle="Check this entry" error="That name isn't on the Register. You can keep it, and the Check column will flag an accepted request until the names match." promptTitle="Register name" prompt="Only if the Register row has a different name from the request. Otherwise leave it blank." type="list" errorStyle="warning">
      <formula1>Register!$A$6:$A$305</formula1>
    </dataValidation>
    <dataValidation sqref="S32:S81" showDropDown="0" showInputMessage="1" showErrorMessage="0" allowBlank="1" promptTitle="Score" prompt="Worked out: 20 to 100, from the scores and weights. A request needs a score only for criteria weighted above 0%." errorStyle="stop"/>
    <dataValidation sqref="T32:T81" showDropDown="0" showInputMessage="1" showErrorMessage="0" allowBlank="1" promptTitle="Recommended rank" prompt="Worked out, for the queue: 1 is first. The decision goes in Decision. A tie goes to the higher row on the sheet." errorStyle="stop"/>
    <dataValidation sqref="U32:U81" showDropDown="0" showInputMessage="1" showErrorMessage="0" allowBlank="1" promptTitle="Fits the money" prompt="Worked out: whether the money left covers this request and every request ranked above it. One large request that doesn't fit makes every request below it read Doesn't fit." errorStyle="stop"/>
    <dataValidation sqref="V32:V81" showDropDown="0" showInputMessage="1" showErrorMessage="0" allowBlank="1" promptTitle="Fits the people" prompt="Worked out: whether the free person-days cover this request and every request ranked above it. One large request that doesn't fit makes every request below it read Doesn't fit." errorStyle="stop"/>
    <dataValidation sqref="W32:W81" showDropDown="0" showInputMessage="1" showErrorMessage="0" allowBlank="1" promptTitle="Days open" prompt="Worked out: days since the request arrived, until a decision is typed." errorStyle="stop"/>
    <dataValidation sqref="X32:X81" showDropDown="0" showInputMessage="1" showErrorMessage="0" allowBlank="1" promptTitle="Check" prompt="The first check this row fails, and how many more. Filter on △ to list them." errorStyle="stop"/>
  </dataValidations>
  <pageMargins left="0.75" right="0.75" top="1" bottom="1" header="0.5" footer="0.5"/>
  <pageSetup orientation="landscape" fitToHeight="0" fitToWidth="1"/>
  <drawing xmlns:r="http://schemas.openxmlformats.org/officeDocument/2006/relationships" r:id="rId1"/>
</worksheet>
</file>

<file path=xl/worksheets/sheet7.xml><?xml version="1.0" encoding="utf-8"?>
<worksheet xmlns="http://schemas.openxmlformats.org/spreadsheetml/2006/main">
  <sheetPr>
    <outlinePr summaryBelow="1" summaryRight="1"/>
    <pageSetUpPr fitToPage="1"/>
  </sheetPr>
  <dimension ref="A1:BT305"/>
  <sheetViews>
    <sheetView showGridLines="0" workbookViewId="0">
      <selection activeCell="A1" sqref="A1"/>
    </sheetView>
  </sheetViews>
  <sheetFormatPr baseColWidth="8" defaultRowHeight="15"/>
  <cols>
    <col width="34" customWidth="1" min="1" max="1"/>
    <col width="26" customWidth="1" min="2" max="2"/>
    <col width="11"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30" customWidth="1" min="17" max="17"/>
    <col hidden="1" outlineLevel="1" width="13" customWidth="1" min="18" max="72"/>
  </cols>
  <sheetData>
    <row r="1" ht="36" customHeight="1">
      <c r="B1" s="1" t="inlineStr">
        <is>
          <t>Capacity</t>
        </is>
      </c>
    </row>
    <row r="2" ht="16" customHeight="1">
      <c r="A2" s="2">
        <f>IF(Portfolio!$B$6="","","Portfolio: "&amp;Portfolio!$B$6)</f>
        <v/>
      </c>
    </row>
    <row r="3" ht="18" customHeight="1">
      <c r="A3" s="4" t="n"/>
    </row>
    <row r="4" ht="6" customHeight="1"/>
    <row r="5" ht="16" customHeight="1">
      <c r="A5" s="11" t="inlineStr">
        <is>
          <t>Settings</t>
        </is>
      </c>
      <c r="BN5" s="28" t="inlineStr">
        <is>
          <t>Days booked on this Register row</t>
        </is>
      </c>
      <c r="BO5" s="28" t="inlineStr">
        <is>
          <t>Active project with nobody booked (1 or 0)</t>
        </is>
      </c>
      <c r="BP5" s="28" t="inlineStr">
        <is>
          <t>Days pencilled on this Register row</t>
        </is>
      </c>
      <c r="BR5" s="28" t="inlineStr">
        <is>
          <t>Names for the Time away list</t>
        </is>
      </c>
      <c r="BS5" s="28" t="inlineStr">
        <is>
          <t>Names for the Bookings list</t>
        </is>
      </c>
      <c r="BT5" s="28" t="inlineStr">
        <is>
          <t>Lines and rows the tab can't read</t>
        </is>
      </c>
    </row>
    <row r="6" ht="18" customHeight="1">
      <c r="A6" s="12" t="inlineStr">
        <is>
          <t>FIRST WEEK</t>
        </is>
      </c>
      <c r="B6" s="14" t="n"/>
      <c r="C6" s="49">
        <f>IF($B$6="","Type this week's Monday to start.",IF($D$17="","△ First week isn't a Monday's date. The grid stays empty until it is.",IF(TODAY()&gt;=$B$6+91,"△ All 13 weeks have passed. Move First week forward.",IF(TODAY()&lt;$B$6,"First week is still ahead.","Showing "&amp;TEXT($B$6,"d mmm")&amp;" to "&amp;TEXT($B$6+90,"d mmm yyyy")&amp;"."))))</f>
        <v/>
      </c>
      <c r="BN6" s="31">
        <f>IF(IFERROR(INDEX(Register!$A$6:$A$305,ROW()-5),"")="",0,SUMIF($A$139:$A$288,IFERROR(INDEX(Register!$A$6:$A$305,ROW()-5),""),$Z$139:$Z$288))</f>
        <v/>
      </c>
      <c r="BO6" s="31">
        <f>IF(OR(IFERROR(INDEX(Register!$A$6:$A$305,ROW()-5),"")="",SUM($Z$139:$Z$288)=0),0,IF(AND(IFERROR(INDEX(Register!$B$6:$B$305,ROW()-5),"")="Project",IFERROR(INDEX(Register!$D$6:$D$305,ROW()-5),"")="Active",IFERROR(INDEX(Register!$Z$6:$Z$305,ROW()-5),"")=1,$BN6=0),1,0))</f>
        <v/>
      </c>
      <c r="BP6" s="31">
        <f>IF(AND(IFERROR(INDEX(Register!$A$6:$A$305,ROW()-5),"")&lt;&gt;"",IFERROR(INDEX(Register!$D$6:$D$305,ROW()-5),"")="Proposed"),$BN6,0)</f>
        <v/>
      </c>
      <c r="BR6" s="31" t="inlineStr">
        <is>
          <t>Everyone</t>
        </is>
      </c>
      <c r="BS6" s="31" t="inlineStr">
        <is>
          <t>Outside team</t>
        </is>
      </c>
      <c r="BT6" s="31">
        <f>SUM($W$139:$W$288)+SUM($S$63:$S$102)+SUM($S$106:$S$135)</f>
        <v/>
      </c>
    </row>
    <row r="7" ht="18" customHeight="1">
      <c r="A7" s="12" t="inlineStr">
        <is>
          <t>USUAL DAYS A WEEK</t>
        </is>
      </c>
      <c r="B7" s="48" t="n">
        <v>5</v>
      </c>
      <c r="C7" s="49">
        <f>IF(AND(ISNUMBER($B$7),$B$7&gt;=1,$B$7&lt;=7),"","△ Type a number from 1 to 7. Until then, 5 is used.")</f>
        <v/>
      </c>
      <c r="BN7" s="31">
        <f>IF(IFERROR(INDEX(Register!$A$6:$A$305,ROW()-5),"")="",0,SUMIF($A$139:$A$288,IFERROR(INDEX(Register!$A$6:$A$305,ROW()-5),""),$Z$139:$Z$288))</f>
        <v/>
      </c>
      <c r="BO7" s="31">
        <f>IF(OR(IFERROR(INDEX(Register!$A$6:$A$305,ROW()-5),"")="",SUM($Z$139:$Z$288)=0),0,IF(AND(IFERROR(INDEX(Register!$B$6:$B$305,ROW()-5),"")="Project",IFERROR(INDEX(Register!$D$6:$D$305,ROW()-5),"")="Active",IFERROR(INDEX(Register!$Z$6:$Z$305,ROW()-5),"")=1,$BN7=0),1,0))</f>
        <v/>
      </c>
      <c r="BP7" s="31">
        <f>IF(AND(IFERROR(INDEX(Register!$A$6:$A$305,ROW()-5),"")&lt;&gt;"",IFERROR(INDEX(Register!$D$6:$D$305,ROW()-5),"")="Proposed"),$BN7,0)</f>
        <v/>
      </c>
      <c r="BR7" s="31">
        <f>IF(INDEX($A$63:$A$102,ROW()-6)="","",INDEX($A$63:$A$102,ROW()-6))</f>
        <v/>
      </c>
      <c r="BS7" s="31">
        <f>IF(INDEX($A$63:$A$102,ROW()-6)="","",INDEX($A$63:$A$102,ROW()-6))</f>
        <v/>
      </c>
    </row>
    <row r="8" ht="6" customHeight="1">
      <c r="BN8" s="31">
        <f>IF(IFERROR(INDEX(Register!$A$6:$A$305,ROW()-5),"")="",0,SUMIF($A$139:$A$288,IFERROR(INDEX(Register!$A$6:$A$305,ROW()-5),""),$Z$139:$Z$288))</f>
        <v/>
      </c>
      <c r="BO8" s="31">
        <f>IF(OR(IFERROR(INDEX(Register!$A$6:$A$305,ROW()-5),"")="",SUM($Z$139:$Z$288)=0),0,IF(AND(IFERROR(INDEX(Register!$B$6:$B$305,ROW()-5),"")="Project",IFERROR(INDEX(Register!$D$6:$D$305,ROW()-5),"")="Active",IFERROR(INDEX(Register!$Z$6:$Z$305,ROW()-5),"")=1,$BN8=0),1,0))</f>
        <v/>
      </c>
      <c r="BP8" s="31">
        <f>IF(AND(IFERROR(INDEX(Register!$A$6:$A$305,ROW()-5),"")&lt;&gt;"",IFERROR(INDEX(Register!$D$6:$D$305,ROW()-5),"")="Proposed"),$BN8,0)</f>
        <v/>
      </c>
      <c r="BR8" s="31">
        <f>IF(INDEX($A$63:$A$102,ROW()-6)="","",INDEX($A$63:$A$102,ROW()-6))</f>
        <v/>
      </c>
      <c r="BS8" s="31">
        <f>IF(INDEX($A$63:$A$102,ROW()-6)="","",INDEX($A$63:$A$102,ROW()-6))</f>
        <v/>
      </c>
    </row>
    <row r="9" ht="6" customHeight="1">
      <c r="BN9" s="31">
        <f>IF(IFERROR(INDEX(Register!$A$6:$A$305,ROW()-5),"")="",0,SUMIF($A$139:$A$288,IFERROR(INDEX(Register!$A$6:$A$305,ROW()-5),""),$Z$139:$Z$288))</f>
        <v/>
      </c>
      <c r="BO9" s="31">
        <f>IF(OR(IFERROR(INDEX(Register!$A$6:$A$305,ROW()-5),"")="",SUM($Z$139:$Z$288)=0),0,IF(AND(IFERROR(INDEX(Register!$B$6:$B$305,ROW()-5),"")="Project",IFERROR(INDEX(Register!$D$6:$D$305,ROW()-5),"")="Active",IFERROR(INDEX(Register!$Z$6:$Z$305,ROW()-5),"")=1,$BN9=0),1,0))</f>
        <v/>
      </c>
      <c r="BP9" s="31">
        <f>IF(AND(IFERROR(INDEX(Register!$A$6:$A$305,ROW()-5),"")&lt;&gt;"",IFERROR(INDEX(Register!$D$6:$D$305,ROW()-5),"")="Proposed"),$BN9,0)</f>
        <v/>
      </c>
      <c r="BR9" s="31">
        <f>IF(INDEX($A$63:$A$102,ROW()-6)="","",INDEX($A$63:$A$102,ROW()-6))</f>
        <v/>
      </c>
      <c r="BS9" s="31">
        <f>IF(INDEX($A$63:$A$102,ROW()-6)="","",INDEX($A$63:$A$102,ROW()-6))</f>
        <v/>
      </c>
    </row>
    <row r="10" ht="16" customHeight="1">
      <c r="A10" s="34" t="inlineStr">
        <is>
          <t>Capacity checks</t>
        </is>
      </c>
      <c r="B10" s="37">
        <f>COUNTIF($B$11:$B$14,"△*")&amp;" of 4 failing"</f>
        <v/>
      </c>
      <c r="BN10" s="31">
        <f>IF(IFERROR(INDEX(Register!$A$6:$A$305,ROW()-5),"")="",0,SUMIF($A$139:$A$288,IFERROR(INDEX(Register!$A$6:$A$305,ROW()-5),""),$Z$139:$Z$288))</f>
        <v/>
      </c>
      <c r="BO10" s="31">
        <f>IF(OR(IFERROR(INDEX(Register!$A$6:$A$305,ROW()-5),"")="",SUM($Z$139:$Z$288)=0),0,IF(AND(IFERROR(INDEX(Register!$B$6:$B$305,ROW()-5),"")="Project",IFERROR(INDEX(Register!$D$6:$D$305,ROW()-5),"")="Active",IFERROR(INDEX(Register!$Z$6:$Z$305,ROW()-5),"")=1,$BN10=0),1,0))</f>
        <v/>
      </c>
      <c r="BP10" s="31">
        <f>IF(AND(IFERROR(INDEX(Register!$A$6:$A$305,ROW()-5),"")&lt;&gt;"",IFERROR(INDEX(Register!$D$6:$D$305,ROW()-5),"")="Proposed"),$BN10,0)</f>
        <v/>
      </c>
      <c r="BR10" s="31">
        <f>IF(INDEX($A$63:$A$102,ROW()-6)="","",INDEX($A$63:$A$102,ROW()-6))</f>
        <v/>
      </c>
      <c r="BS10" s="31">
        <f>IF(INDEX($A$63:$A$102,ROW()-6)="","",INDEX($A$63:$A$102,ROW()-6))</f>
        <v/>
      </c>
    </row>
    <row r="11" ht="16" customHeight="1">
      <c r="A11" s="2" t="inlineStr">
        <is>
          <t>Someone booked for too many days</t>
        </is>
      </c>
      <c r="B11" s="31">
        <f>IF(SUM($BQ$18:$BQ$57)=0,"○ Clear","△ "&amp;COUNTIF($BQ$18:$BQ$57,"&gt;0")&amp;IF(COUNTIF($BQ$18:$BQ$57,"&gt;0")=1," person"," people")&amp;" over their days, in "&amp;SUM($BQ$18:$BQ$57)&amp;IF(SUM($BQ$18:$BQ$57)=1," week"," weeks")&amp;IF(COUNTIF($BQ$18:$BQ$57,"&gt;0")&gt;1," between them",""))</f>
        <v/>
      </c>
      <c r="BN11" s="31">
        <f>IF(IFERROR(INDEX(Register!$A$6:$A$305,ROW()-5),"")="",0,SUMIF($A$139:$A$288,IFERROR(INDEX(Register!$A$6:$A$305,ROW()-5),""),$Z$139:$Z$288))</f>
        <v/>
      </c>
      <c r="BO11" s="31">
        <f>IF(OR(IFERROR(INDEX(Register!$A$6:$A$305,ROW()-5),"")="",SUM($Z$139:$Z$288)=0),0,IF(AND(IFERROR(INDEX(Register!$B$6:$B$305,ROW()-5),"")="Project",IFERROR(INDEX(Register!$D$6:$D$305,ROW()-5),"")="Active",IFERROR(INDEX(Register!$Z$6:$Z$305,ROW()-5),"")=1,$BN11=0),1,0))</f>
        <v/>
      </c>
      <c r="BP11" s="31">
        <f>IF(AND(IFERROR(INDEX(Register!$A$6:$A$305,ROW()-5),"")&lt;&gt;"",IFERROR(INDEX(Register!$D$6:$D$305,ROW()-5),"")="Proposed"),$BN11,0)</f>
        <v/>
      </c>
      <c r="BR11" s="31">
        <f>IF(INDEX($A$63:$A$102,ROW()-6)="","",INDEX($A$63:$A$102,ROW()-6))</f>
        <v/>
      </c>
      <c r="BS11" s="31">
        <f>IF(INDEX($A$63:$A$102,ROW()-6)="","",INDEX($A$63:$A$102,ROW()-6))</f>
        <v/>
      </c>
    </row>
    <row r="12" ht="16" customHeight="1">
      <c r="A12" s="2" t="inlineStr">
        <is>
          <t>A line or row the tab can't read</t>
        </is>
      </c>
      <c r="B12" s="31">
        <f>IF($BT$6=0,"○ Clear","△ "&amp;$BT$6&amp;IF($BT$6=1," line or row"," lines or rows")&amp;" the tab can't read. Its check column says why.")</f>
        <v/>
      </c>
      <c r="BN12" s="31">
        <f>IF(IFERROR(INDEX(Register!$A$6:$A$305,ROW()-5),"")="",0,SUMIF($A$139:$A$288,IFERROR(INDEX(Register!$A$6:$A$305,ROW()-5),""),$Z$139:$Z$288))</f>
        <v/>
      </c>
      <c r="BO12" s="31">
        <f>IF(OR(IFERROR(INDEX(Register!$A$6:$A$305,ROW()-5),"")="",SUM($Z$139:$Z$288)=0),0,IF(AND(IFERROR(INDEX(Register!$B$6:$B$305,ROW()-5),"")="Project",IFERROR(INDEX(Register!$D$6:$D$305,ROW()-5),"")="Active",IFERROR(INDEX(Register!$Z$6:$Z$305,ROW()-5),"")=1,$BN12=0),1,0))</f>
        <v/>
      </c>
      <c r="BP12" s="31">
        <f>IF(AND(IFERROR(INDEX(Register!$A$6:$A$305,ROW()-5),"")&lt;&gt;"",IFERROR(INDEX(Register!$D$6:$D$305,ROW()-5),"")="Proposed"),$BN12,0)</f>
        <v/>
      </c>
      <c r="BR12" s="31">
        <f>IF(INDEX($A$63:$A$102,ROW()-6)="","",INDEX($A$63:$A$102,ROW()-6))</f>
        <v/>
      </c>
      <c r="BS12" s="31">
        <f>IF(INDEX($A$63:$A$102,ROW()-6)="","",INDEX($A$63:$A$102,ROW()-6))</f>
        <v/>
      </c>
    </row>
    <row r="13" ht="16" customHeight="1">
      <c r="A13" s="2" t="inlineStr">
        <is>
          <t>An Active project with nobody booked</t>
        </is>
      </c>
      <c r="B13" s="31">
        <f>IF(SUM($BO$6:$BO$305)=0,"○ Clear","△ Nobody booked on "&amp;SUM($BO$6:$BO$305)&amp;IF(SUM($BO$6:$BO$305)=1," Active project: "," Active projects. First: ")&amp;INDEX(Register!$A$6:$A$305,MATCH(1,$BO$6:$BO$305,0)))</f>
        <v/>
      </c>
      <c r="BN13" s="31">
        <f>IF(IFERROR(INDEX(Register!$A$6:$A$305,ROW()-5),"")="",0,SUMIF($A$139:$A$288,IFERROR(INDEX(Register!$A$6:$A$305,ROW()-5),""),$Z$139:$Z$288))</f>
        <v/>
      </c>
      <c r="BO13" s="31">
        <f>IF(OR(IFERROR(INDEX(Register!$A$6:$A$305,ROW()-5),"")="",SUM($Z$139:$Z$288)=0),0,IF(AND(IFERROR(INDEX(Register!$B$6:$B$305,ROW()-5),"")="Project",IFERROR(INDEX(Register!$D$6:$D$305,ROW()-5),"")="Active",IFERROR(INDEX(Register!$Z$6:$Z$305,ROW()-5),"")=1,$BN13=0),1,0))</f>
        <v/>
      </c>
      <c r="BP13" s="31">
        <f>IF(AND(IFERROR(INDEX(Register!$A$6:$A$305,ROW()-5),"")&lt;&gt;"",IFERROR(INDEX(Register!$D$6:$D$305,ROW()-5),"")="Proposed"),$BN13,0)</f>
        <v/>
      </c>
      <c r="BR13" s="31">
        <f>IF(INDEX($A$63:$A$102,ROW()-6)="","",INDEX($A$63:$A$102,ROW()-6))</f>
        <v/>
      </c>
      <c r="BS13" s="31">
        <f>IF(INDEX($A$63:$A$102,ROW()-6)="","",INDEX($A$63:$A$102,ROW()-6))</f>
        <v/>
      </c>
    </row>
    <row r="14" ht="16" customHeight="1">
      <c r="A14" s="2" t="inlineStr">
        <is>
          <t>A booking past the forecast date</t>
        </is>
      </c>
      <c r="B14" s="31">
        <f>IF(SUM($X$139:$X$288)=0,"○ Clear","△ "&amp;SUM($X$139:$X$288)&amp;IF(SUM($X$139:$X$288)=1," line"," lines")&amp;" booked past the forecast date")</f>
        <v/>
      </c>
      <c r="BN14" s="31">
        <f>IF(IFERROR(INDEX(Register!$A$6:$A$305,ROW()-5),"")="",0,SUMIF($A$139:$A$288,IFERROR(INDEX(Register!$A$6:$A$305,ROW()-5),""),$Z$139:$Z$288))</f>
        <v/>
      </c>
      <c r="BO14" s="31">
        <f>IF(OR(IFERROR(INDEX(Register!$A$6:$A$305,ROW()-5),"")="",SUM($Z$139:$Z$288)=0),0,IF(AND(IFERROR(INDEX(Register!$B$6:$B$305,ROW()-5),"")="Project",IFERROR(INDEX(Register!$D$6:$D$305,ROW()-5),"")="Active",IFERROR(INDEX(Register!$Z$6:$Z$305,ROW()-5),"")=1,$BN14=0),1,0))</f>
        <v/>
      </c>
      <c r="BP14" s="31">
        <f>IF(AND(IFERROR(INDEX(Register!$A$6:$A$305,ROW()-5),"")&lt;&gt;"",IFERROR(INDEX(Register!$D$6:$D$305,ROW()-5),"")="Proposed"),$BN14,0)</f>
        <v/>
      </c>
      <c r="BR14" s="31">
        <f>IF(INDEX($A$63:$A$102,ROW()-6)="","",INDEX($A$63:$A$102,ROW()-6))</f>
        <v/>
      </c>
      <c r="BS14" s="31">
        <f>IF(INDEX($A$63:$A$102,ROW()-6)="","",INDEX($A$63:$A$102,ROW()-6))</f>
        <v/>
      </c>
    </row>
    <row r="15" ht="6" customHeight="1">
      <c r="BN15" s="31">
        <f>IF(IFERROR(INDEX(Register!$A$6:$A$305,ROW()-5),"")="",0,SUMIF($A$139:$A$288,IFERROR(INDEX(Register!$A$6:$A$305,ROW()-5),""),$Z$139:$Z$288))</f>
        <v/>
      </c>
      <c r="BO15" s="31">
        <f>IF(OR(IFERROR(INDEX(Register!$A$6:$A$305,ROW()-5),"")="",SUM($Z$139:$Z$288)=0),0,IF(AND(IFERROR(INDEX(Register!$B$6:$B$305,ROW()-5),"")="Project",IFERROR(INDEX(Register!$D$6:$D$305,ROW()-5),"")="Active",IFERROR(INDEX(Register!$Z$6:$Z$305,ROW()-5),"")=1,$BN15=0),1,0))</f>
        <v/>
      </c>
      <c r="BP15" s="31">
        <f>IF(AND(IFERROR(INDEX(Register!$A$6:$A$305,ROW()-5),"")&lt;&gt;"",IFERROR(INDEX(Register!$D$6:$D$305,ROW()-5),"")="Proposed"),$BN15,0)</f>
        <v/>
      </c>
      <c r="BR15" s="31">
        <f>IF(INDEX($A$63:$A$102,ROW()-6)="","",INDEX($A$63:$A$102,ROW()-6))</f>
        <v/>
      </c>
      <c r="BS15" s="31">
        <f>IF(INDEX($A$63:$A$102,ROW()-6)="","",INDEX($A$63:$A$102,ROW()-6))</f>
        <v/>
      </c>
    </row>
    <row r="16" ht="16" customHeight="1">
      <c r="A16" s="11" t="inlineStr">
        <is>
          <t>Who is free. Days each person has left in each week, after time away and bookings on current rows. Below 0 means over.</t>
        </is>
      </c>
      <c r="BN16" s="31">
        <f>IF(IFERROR(INDEX(Register!$A$6:$A$305,ROW()-5),"")="",0,SUMIF($A$139:$A$288,IFERROR(INDEX(Register!$A$6:$A$305,ROW()-5),""),$Z$139:$Z$288))</f>
        <v/>
      </c>
      <c r="BO16" s="31">
        <f>IF(OR(IFERROR(INDEX(Register!$A$6:$A$305,ROW()-5),"")="",SUM($Z$139:$Z$288)=0),0,IF(AND(IFERROR(INDEX(Register!$B$6:$B$305,ROW()-5),"")="Project",IFERROR(INDEX(Register!$D$6:$D$305,ROW()-5),"")="Active",IFERROR(INDEX(Register!$Z$6:$Z$305,ROW()-5),"")=1,$BN16=0),1,0))</f>
        <v/>
      </c>
      <c r="BP16" s="31">
        <f>IF(AND(IFERROR(INDEX(Register!$A$6:$A$305,ROW()-5),"")&lt;&gt;"",IFERROR(INDEX(Register!$D$6:$D$305,ROW()-5),"")="Proposed"),$BN16,0)</f>
        <v/>
      </c>
      <c r="BR16" s="31">
        <f>IF(INDEX($A$63:$A$102,ROW()-6)="","",INDEX($A$63:$A$102,ROW()-6))</f>
        <v/>
      </c>
      <c r="BS16" s="31">
        <f>IF(INDEX($A$63:$A$102,ROW()-6)="","",INDEX($A$63:$A$102,ROW()-6))</f>
        <v/>
      </c>
    </row>
    <row r="17" ht="30" customHeight="1">
      <c r="A17" s="28" t="inlineStr">
        <is>
          <t>Person</t>
        </is>
      </c>
      <c r="B17" s="28" t="inlineStr">
        <is>
          <t>Weeks over</t>
        </is>
      </c>
      <c r="C17" s="28" t="inlineStr">
        <is>
          <t>Usual days</t>
        </is>
      </c>
      <c r="D17" s="50">
        <f>IF(ISNUMBER($B$6),IF(WEEKDAY($B$6,2)=1,$B$6,""),"")</f>
        <v/>
      </c>
      <c r="E17" s="50">
        <f>IF(D17="","",D17+7)</f>
        <v/>
      </c>
      <c r="F17" s="50">
        <f>IF(E17="","",E17+7)</f>
        <v/>
      </c>
      <c r="G17" s="50">
        <f>IF(F17="","",F17+7)</f>
        <v/>
      </c>
      <c r="H17" s="50">
        <f>IF(G17="","",G17+7)</f>
        <v/>
      </c>
      <c r="I17" s="50">
        <f>IF(H17="","",H17+7)</f>
        <v/>
      </c>
      <c r="J17" s="50">
        <f>IF(I17="","",I17+7)</f>
        <v/>
      </c>
      <c r="K17" s="50">
        <f>IF(J17="","",J17+7)</f>
        <v/>
      </c>
      <c r="L17" s="50">
        <f>IF(K17="","",K17+7)</f>
        <v/>
      </c>
      <c r="M17" s="50">
        <f>IF(L17="","",L17+7)</f>
        <v/>
      </c>
      <c r="N17" s="50">
        <f>IF(M17="","",M17+7)</f>
        <v/>
      </c>
      <c r="O17" s="50">
        <f>IF(N17="","",N17+7)</f>
        <v/>
      </c>
      <c r="P17" s="50">
        <f>IF(O17="","",O17+7)</f>
        <v/>
      </c>
      <c r="Q17" s="28" t="inlineStr">
        <is>
          <t>If Proposed rows are approved</t>
        </is>
      </c>
      <c r="Z17" s="28" t="inlineStr">
        <is>
          <t>Capacity helper</t>
        </is>
      </c>
      <c r="AA17" s="28" t="inlineStr">
        <is>
          <t>Capacity helper</t>
        </is>
      </c>
      <c r="AB17" s="28" t="inlineStr">
        <is>
          <t>Capacity helper</t>
        </is>
      </c>
      <c r="AC17" s="28" t="inlineStr">
        <is>
          <t>Capacity helper</t>
        </is>
      </c>
      <c r="AD17" s="28" t="inlineStr">
        <is>
          <t>Capacity helper</t>
        </is>
      </c>
      <c r="AE17" s="28" t="inlineStr">
        <is>
          <t>Capacity helper</t>
        </is>
      </c>
      <c r="AF17" s="28" t="inlineStr">
        <is>
          <t>Capacity helper</t>
        </is>
      </c>
      <c r="AG17" s="28" t="inlineStr">
        <is>
          <t>Capacity helper</t>
        </is>
      </c>
      <c r="AH17" s="28" t="inlineStr">
        <is>
          <t>Capacity helper</t>
        </is>
      </c>
      <c r="AI17" s="28" t="inlineStr">
        <is>
          <t>Capacity helper</t>
        </is>
      </c>
      <c r="AJ17" s="28" t="inlineStr">
        <is>
          <t>Capacity helper</t>
        </is>
      </c>
      <c r="AK17" s="28" t="inlineStr">
        <is>
          <t>Capacity helper</t>
        </is>
      </c>
      <c r="AL17" s="28" t="inlineStr">
        <is>
          <t>Capacity helper</t>
        </is>
      </c>
      <c r="AM17" s="28" t="inlineStr">
        <is>
          <t>Capacity helper</t>
        </is>
      </c>
      <c r="AN17" s="28" t="inlineStr">
        <is>
          <t>Capacity helper</t>
        </is>
      </c>
      <c r="AO17" s="28" t="inlineStr">
        <is>
          <t>Capacity helper</t>
        </is>
      </c>
      <c r="AP17" s="28" t="inlineStr">
        <is>
          <t>Capacity helper</t>
        </is>
      </c>
      <c r="AQ17" s="28" t="inlineStr">
        <is>
          <t>Capacity helper</t>
        </is>
      </c>
      <c r="AR17" s="28" t="inlineStr">
        <is>
          <t>Capacity helper</t>
        </is>
      </c>
      <c r="AS17" s="28" t="inlineStr">
        <is>
          <t>Capacity helper</t>
        </is>
      </c>
      <c r="AT17" s="28" t="inlineStr">
        <is>
          <t>Capacity helper</t>
        </is>
      </c>
      <c r="AU17" s="28" t="inlineStr">
        <is>
          <t>Capacity helper</t>
        </is>
      </c>
      <c r="AV17" s="28" t="inlineStr">
        <is>
          <t>Capacity helper</t>
        </is>
      </c>
      <c r="AW17" s="28" t="inlineStr">
        <is>
          <t>Capacity helper</t>
        </is>
      </c>
      <c r="AX17" s="28" t="inlineStr">
        <is>
          <t>Capacity helper</t>
        </is>
      </c>
      <c r="AY17" s="28" t="inlineStr">
        <is>
          <t>Capacity helper</t>
        </is>
      </c>
      <c r="AZ17" s="28" t="inlineStr">
        <is>
          <t>Capacity helper</t>
        </is>
      </c>
      <c r="BA17" s="28" t="inlineStr">
        <is>
          <t>Capacity helper</t>
        </is>
      </c>
      <c r="BB17" s="28" t="inlineStr">
        <is>
          <t>Capacity helper</t>
        </is>
      </c>
      <c r="BC17" s="28" t="inlineStr">
        <is>
          <t>Capacity helper</t>
        </is>
      </c>
      <c r="BD17" s="28" t="inlineStr">
        <is>
          <t>Capacity helper</t>
        </is>
      </c>
      <c r="BE17" s="28" t="inlineStr">
        <is>
          <t>Capacity helper</t>
        </is>
      </c>
      <c r="BF17" s="28" t="inlineStr">
        <is>
          <t>Capacity helper</t>
        </is>
      </c>
      <c r="BG17" s="28" t="inlineStr">
        <is>
          <t>Capacity helper</t>
        </is>
      </c>
      <c r="BH17" s="28" t="inlineStr">
        <is>
          <t>Capacity helper</t>
        </is>
      </c>
      <c r="BI17" s="28" t="inlineStr">
        <is>
          <t>Capacity helper</t>
        </is>
      </c>
      <c r="BJ17" s="28" t="inlineStr">
        <is>
          <t>Capacity helper</t>
        </is>
      </c>
      <c r="BK17" s="28" t="inlineStr">
        <is>
          <t>Capacity helper</t>
        </is>
      </c>
      <c r="BL17" s="28" t="inlineStr">
        <is>
          <t>Capacity helper</t>
        </is>
      </c>
      <c r="BM17" s="28" t="inlineStr">
        <is>
          <t>Capacity helper</t>
        </is>
      </c>
      <c r="BN17" s="31">
        <f>IF(IFERROR(INDEX(Register!$A$6:$A$305,ROW()-5),"")="",0,SUMIF($A$139:$A$288,IFERROR(INDEX(Register!$A$6:$A$305,ROW()-5),""),$Z$139:$Z$288))</f>
        <v/>
      </c>
      <c r="BO17" s="31">
        <f>IF(OR(IFERROR(INDEX(Register!$A$6:$A$305,ROW()-5),"")="",SUM($Z$139:$Z$288)=0),0,IF(AND(IFERROR(INDEX(Register!$B$6:$B$305,ROW()-5),"")="Project",IFERROR(INDEX(Register!$D$6:$D$305,ROW()-5),"")="Active",IFERROR(INDEX(Register!$Z$6:$Z$305,ROW()-5),"")=1,$BN17=0),1,0))</f>
        <v/>
      </c>
      <c r="BP17" s="31">
        <f>IF(AND(IFERROR(INDEX(Register!$A$6:$A$305,ROW()-5),"")&lt;&gt;"",IFERROR(INDEX(Register!$D$6:$D$305,ROW()-5),"")="Proposed"),$BN17,0)</f>
        <v/>
      </c>
      <c r="BQ17" s="28" t="inlineStr">
        <is>
          <t>Capacity helper</t>
        </is>
      </c>
      <c r="BR17" s="31">
        <f>IF(INDEX($A$63:$A$102,ROW()-6)="","",INDEX($A$63:$A$102,ROW()-6))</f>
        <v/>
      </c>
      <c r="BS17" s="31">
        <f>IF(INDEX($A$63:$A$102,ROW()-6)="","",INDEX($A$63:$A$102,ROW()-6))</f>
        <v/>
      </c>
    </row>
    <row r="18">
      <c r="A18" s="31">
        <f>IF(INDEX($A$63:$A$102,ROW()-17)="","",INDEX($A$63:$A$102,ROW()-17))</f>
        <v/>
      </c>
      <c r="B18" s="31">
        <f>IF(OR($A18="",$D$17=""),"",IF($BQ18=0,"○ Clear","△ "&amp;$BQ18&amp;IF($BQ18=1," week"," weeks")&amp;" over, from "&amp;TEXT(SUMPRODUCT(MIN($D$17:$P$17+($D18:$P18&gt;=0)*100000)),"d mmm")))</f>
        <v/>
      </c>
      <c r="C18" s="32">
        <f>IF($A18="","",IF(AND(ISNUMBER(INDEX($B$63:$B$102,ROW()-17)),INDEX($S$63:$S$102,ROW()-17)=0),INDEX($B$63:$B$102,ROW()-17),IF($C$7="",$B$7,5)))</f>
        <v/>
      </c>
      <c r="D18" s="51">
        <f>IF(OR($A18="",$D$17=""),"",ROUND(Z18-AM18,2))</f>
        <v/>
      </c>
      <c r="E18" s="51">
        <f>IF(OR($A18="",$D$17=""),"",ROUND(AA18-AN18,2))</f>
        <v/>
      </c>
      <c r="F18" s="51">
        <f>IF(OR($A18="",$D$17=""),"",ROUND(AB18-AO18,2))</f>
        <v/>
      </c>
      <c r="G18" s="51">
        <f>IF(OR($A18="",$D$17=""),"",ROUND(AC18-AP18,2))</f>
        <v/>
      </c>
      <c r="H18" s="51">
        <f>IF(OR($A18="",$D$17=""),"",ROUND(AD18-AQ18,2))</f>
        <v/>
      </c>
      <c r="I18" s="51">
        <f>IF(OR($A18="",$D$17=""),"",ROUND(AE18-AR18,2))</f>
        <v/>
      </c>
      <c r="J18" s="51">
        <f>IF(OR($A18="",$D$17=""),"",ROUND(AF18-AS18,2))</f>
        <v/>
      </c>
      <c r="K18" s="51">
        <f>IF(OR($A18="",$D$17=""),"",ROUND(AG18-AT18,2))</f>
        <v/>
      </c>
      <c r="L18" s="51">
        <f>IF(OR($A18="",$D$17=""),"",ROUND(AH18-AU18,2))</f>
        <v/>
      </c>
      <c r="M18" s="51">
        <f>IF(OR($A18="",$D$17=""),"",ROUND(AI18-AV18,2))</f>
        <v/>
      </c>
      <c r="N18" s="51">
        <f>IF(OR($A18="",$D$17=""),"",ROUND(AJ18-AW18,2))</f>
        <v/>
      </c>
      <c r="O18" s="51">
        <f>IF(OR($A18="",$D$17=""),"",ROUND(AK18-AX18,2))</f>
        <v/>
      </c>
      <c r="P18" s="51">
        <f>IF(OR($A18="",$D$17=""),"",ROUND(AL18-AY18,2))</f>
        <v/>
      </c>
      <c r="Q18" s="31">
        <f>IF(OR($A18="",$D$17=""),"",IF(SUM($AZ18:$BL18)=0,"",IF($BM18=0,"Fits","Over in "&amp;$BM18&amp;IF($BM18=1," week"," weeks")&amp;" if approved")))</f>
        <v/>
      </c>
      <c r="Z18" s="31">
        <f>IF(OR($A18="",$D$17=""),"",MAX(0,$C18-SUMIFS($D$106:$D$135,$A$106:$A$135,$A18,$B$106:$B$135,"&lt;="&amp;D$17,$C$106:$C$135,"&gt;="&amp;D$17,$S$106:$S$135,0)-SUMIFS($D$106:$D$135,$A$106:$A$135,"Everyone",$B$106:$B$135,"&lt;="&amp;D$17,$C$106:$C$135,"&gt;="&amp;D$17,$S$106:$S$135,0)))</f>
        <v/>
      </c>
      <c r="AA18" s="31">
        <f>IF(OR($A18="",$D$17=""),"",MAX(0,$C18-SUMIFS($D$106:$D$135,$A$106:$A$135,$A18,$B$106:$B$135,"&lt;="&amp;E$17,$C$106:$C$135,"&gt;="&amp;E$17,$S$106:$S$135,0)-SUMIFS($D$106:$D$135,$A$106:$A$135,"Everyone",$B$106:$B$135,"&lt;="&amp;E$17,$C$106:$C$135,"&gt;="&amp;E$17,$S$106:$S$135,0)))</f>
        <v/>
      </c>
      <c r="AB18" s="31">
        <f>IF(OR($A18="",$D$17=""),"",MAX(0,$C18-SUMIFS($D$106:$D$135,$A$106:$A$135,$A18,$B$106:$B$135,"&lt;="&amp;F$17,$C$106:$C$135,"&gt;="&amp;F$17,$S$106:$S$135,0)-SUMIFS($D$106:$D$135,$A$106:$A$135,"Everyone",$B$106:$B$135,"&lt;="&amp;F$17,$C$106:$C$135,"&gt;="&amp;F$17,$S$106:$S$135,0)))</f>
        <v/>
      </c>
      <c r="AC18" s="31">
        <f>IF(OR($A18="",$D$17=""),"",MAX(0,$C18-SUMIFS($D$106:$D$135,$A$106:$A$135,$A18,$B$106:$B$135,"&lt;="&amp;G$17,$C$106:$C$135,"&gt;="&amp;G$17,$S$106:$S$135,0)-SUMIFS($D$106:$D$135,$A$106:$A$135,"Everyone",$B$106:$B$135,"&lt;="&amp;G$17,$C$106:$C$135,"&gt;="&amp;G$17,$S$106:$S$135,0)))</f>
        <v/>
      </c>
      <c r="AD18" s="31">
        <f>IF(OR($A18="",$D$17=""),"",MAX(0,$C18-SUMIFS($D$106:$D$135,$A$106:$A$135,$A18,$B$106:$B$135,"&lt;="&amp;H$17,$C$106:$C$135,"&gt;="&amp;H$17,$S$106:$S$135,0)-SUMIFS($D$106:$D$135,$A$106:$A$135,"Everyone",$B$106:$B$135,"&lt;="&amp;H$17,$C$106:$C$135,"&gt;="&amp;H$17,$S$106:$S$135,0)))</f>
        <v/>
      </c>
      <c r="AE18" s="31">
        <f>IF(OR($A18="",$D$17=""),"",MAX(0,$C18-SUMIFS($D$106:$D$135,$A$106:$A$135,$A18,$B$106:$B$135,"&lt;="&amp;I$17,$C$106:$C$135,"&gt;="&amp;I$17,$S$106:$S$135,0)-SUMIFS($D$106:$D$135,$A$106:$A$135,"Everyone",$B$106:$B$135,"&lt;="&amp;I$17,$C$106:$C$135,"&gt;="&amp;I$17,$S$106:$S$135,0)))</f>
        <v/>
      </c>
      <c r="AF18" s="31">
        <f>IF(OR($A18="",$D$17=""),"",MAX(0,$C18-SUMIFS($D$106:$D$135,$A$106:$A$135,$A18,$B$106:$B$135,"&lt;="&amp;J$17,$C$106:$C$135,"&gt;="&amp;J$17,$S$106:$S$135,0)-SUMIFS($D$106:$D$135,$A$106:$A$135,"Everyone",$B$106:$B$135,"&lt;="&amp;J$17,$C$106:$C$135,"&gt;="&amp;J$17,$S$106:$S$135,0)))</f>
        <v/>
      </c>
      <c r="AG18" s="31">
        <f>IF(OR($A18="",$D$17=""),"",MAX(0,$C18-SUMIFS($D$106:$D$135,$A$106:$A$135,$A18,$B$106:$B$135,"&lt;="&amp;K$17,$C$106:$C$135,"&gt;="&amp;K$17,$S$106:$S$135,0)-SUMIFS($D$106:$D$135,$A$106:$A$135,"Everyone",$B$106:$B$135,"&lt;="&amp;K$17,$C$106:$C$135,"&gt;="&amp;K$17,$S$106:$S$135,0)))</f>
        <v/>
      </c>
      <c r="AH18" s="31">
        <f>IF(OR($A18="",$D$17=""),"",MAX(0,$C18-SUMIFS($D$106:$D$135,$A$106:$A$135,$A18,$B$106:$B$135,"&lt;="&amp;L$17,$C$106:$C$135,"&gt;="&amp;L$17,$S$106:$S$135,0)-SUMIFS($D$106:$D$135,$A$106:$A$135,"Everyone",$B$106:$B$135,"&lt;="&amp;L$17,$C$106:$C$135,"&gt;="&amp;L$17,$S$106:$S$135,0)))</f>
        <v/>
      </c>
      <c r="AI18" s="31">
        <f>IF(OR($A18="",$D$17=""),"",MAX(0,$C18-SUMIFS($D$106:$D$135,$A$106:$A$135,$A18,$B$106:$B$135,"&lt;="&amp;M$17,$C$106:$C$135,"&gt;="&amp;M$17,$S$106:$S$135,0)-SUMIFS($D$106:$D$135,$A$106:$A$135,"Everyone",$B$106:$B$135,"&lt;="&amp;M$17,$C$106:$C$135,"&gt;="&amp;M$17,$S$106:$S$135,0)))</f>
        <v/>
      </c>
      <c r="AJ18" s="31">
        <f>IF(OR($A18="",$D$17=""),"",MAX(0,$C18-SUMIFS($D$106:$D$135,$A$106:$A$135,$A18,$B$106:$B$135,"&lt;="&amp;N$17,$C$106:$C$135,"&gt;="&amp;N$17,$S$106:$S$135,0)-SUMIFS($D$106:$D$135,$A$106:$A$135,"Everyone",$B$106:$B$135,"&lt;="&amp;N$17,$C$106:$C$135,"&gt;="&amp;N$17,$S$106:$S$135,0)))</f>
        <v/>
      </c>
      <c r="AK18" s="31">
        <f>IF(OR($A18="",$D$17=""),"",MAX(0,$C18-SUMIFS($D$106:$D$135,$A$106:$A$135,$A18,$B$106:$B$135,"&lt;="&amp;O$17,$C$106:$C$135,"&gt;="&amp;O$17,$S$106:$S$135,0)-SUMIFS($D$106:$D$135,$A$106:$A$135,"Everyone",$B$106:$B$135,"&lt;="&amp;O$17,$C$106:$C$135,"&gt;="&amp;O$17,$S$106:$S$135,0)))</f>
        <v/>
      </c>
      <c r="AL18" s="31">
        <f>IF(OR($A18="",$D$17=""),"",MAX(0,$C18-SUMIFS($D$106:$D$135,$A$106:$A$135,$A18,$B$106:$B$135,"&lt;="&amp;P$17,$C$106:$C$135,"&gt;="&amp;P$17,$S$106:$S$135,0)-SUMIFS($D$106:$D$135,$A$106:$A$135,"Everyone",$B$106:$B$135,"&lt;="&amp;P$17,$C$106:$C$135,"&gt;="&amp;P$17,$S$106:$S$135,0)))</f>
        <v/>
      </c>
      <c r="AM18" s="31">
        <f>IF($A18="","",SUMIFS($E$139:$E$288,$B$139:$B$288,$A18,$U$139:$U$288,1,$Y$139:$Y$288,1,$C$139:$C$288,"&lt;="&amp;D$17,$D$139:$D$288,"&gt;="&amp;D$17))</f>
        <v/>
      </c>
      <c r="AN18" s="31">
        <f>IF($A18="","",SUMIFS($E$139:$E$288,$B$139:$B$288,$A18,$U$139:$U$288,1,$Y$139:$Y$288,1,$C$139:$C$288,"&lt;="&amp;E$17,$D$139:$D$288,"&gt;="&amp;E$17))</f>
        <v/>
      </c>
      <c r="AO18" s="31">
        <f>IF($A18="","",SUMIFS($E$139:$E$288,$B$139:$B$288,$A18,$U$139:$U$288,1,$Y$139:$Y$288,1,$C$139:$C$288,"&lt;="&amp;F$17,$D$139:$D$288,"&gt;="&amp;F$17))</f>
        <v/>
      </c>
      <c r="AP18" s="31">
        <f>IF($A18="","",SUMIFS($E$139:$E$288,$B$139:$B$288,$A18,$U$139:$U$288,1,$Y$139:$Y$288,1,$C$139:$C$288,"&lt;="&amp;G$17,$D$139:$D$288,"&gt;="&amp;G$17))</f>
        <v/>
      </c>
      <c r="AQ18" s="31">
        <f>IF($A18="","",SUMIFS($E$139:$E$288,$B$139:$B$288,$A18,$U$139:$U$288,1,$Y$139:$Y$288,1,$C$139:$C$288,"&lt;="&amp;H$17,$D$139:$D$288,"&gt;="&amp;H$17))</f>
        <v/>
      </c>
      <c r="AR18" s="31">
        <f>IF($A18="","",SUMIFS($E$139:$E$288,$B$139:$B$288,$A18,$U$139:$U$288,1,$Y$139:$Y$288,1,$C$139:$C$288,"&lt;="&amp;I$17,$D$139:$D$288,"&gt;="&amp;I$17))</f>
        <v/>
      </c>
      <c r="AS18" s="31">
        <f>IF($A18="","",SUMIFS($E$139:$E$288,$B$139:$B$288,$A18,$U$139:$U$288,1,$Y$139:$Y$288,1,$C$139:$C$288,"&lt;="&amp;J$17,$D$139:$D$288,"&gt;="&amp;J$17))</f>
        <v/>
      </c>
      <c r="AT18" s="31">
        <f>IF($A18="","",SUMIFS($E$139:$E$288,$B$139:$B$288,$A18,$U$139:$U$288,1,$Y$139:$Y$288,1,$C$139:$C$288,"&lt;="&amp;K$17,$D$139:$D$288,"&gt;="&amp;K$17))</f>
        <v/>
      </c>
      <c r="AU18" s="31">
        <f>IF($A18="","",SUMIFS($E$139:$E$288,$B$139:$B$288,$A18,$U$139:$U$288,1,$Y$139:$Y$288,1,$C$139:$C$288,"&lt;="&amp;L$17,$D$139:$D$288,"&gt;="&amp;L$17))</f>
        <v/>
      </c>
      <c r="AV18" s="31">
        <f>IF($A18="","",SUMIFS($E$139:$E$288,$B$139:$B$288,$A18,$U$139:$U$288,1,$Y$139:$Y$288,1,$C$139:$C$288,"&lt;="&amp;M$17,$D$139:$D$288,"&gt;="&amp;M$17))</f>
        <v/>
      </c>
      <c r="AW18" s="31">
        <f>IF($A18="","",SUMIFS($E$139:$E$288,$B$139:$B$288,$A18,$U$139:$U$288,1,$Y$139:$Y$288,1,$C$139:$C$288,"&lt;="&amp;N$17,$D$139:$D$288,"&gt;="&amp;N$17))</f>
        <v/>
      </c>
      <c r="AX18" s="31">
        <f>IF($A18="","",SUMIFS($E$139:$E$288,$B$139:$B$288,$A18,$U$139:$U$288,1,$Y$139:$Y$288,1,$C$139:$C$288,"&lt;="&amp;O$17,$D$139:$D$288,"&gt;="&amp;O$17))</f>
        <v/>
      </c>
      <c r="AY18" s="31">
        <f>IF($A18="","",SUMIFS($E$139:$E$288,$B$139:$B$288,$A18,$U$139:$U$288,1,$Y$139:$Y$288,1,$C$139:$C$288,"&lt;="&amp;P$17,$D$139:$D$288,"&gt;="&amp;P$17))</f>
        <v/>
      </c>
      <c r="AZ18" s="31">
        <f>IF($A18="","",SUMIFS($E$139:$E$288,$B$139:$B$288,$A18,$U$139:$U$288,2,$Y$139:$Y$288,1,$C$139:$C$288,"&lt;="&amp;D$17,$D$139:$D$288,"&gt;="&amp;D$17))</f>
        <v/>
      </c>
      <c r="BA18" s="31">
        <f>IF($A18="","",SUMIFS($E$139:$E$288,$B$139:$B$288,$A18,$U$139:$U$288,2,$Y$139:$Y$288,1,$C$139:$C$288,"&lt;="&amp;E$17,$D$139:$D$288,"&gt;="&amp;E$17))</f>
        <v/>
      </c>
      <c r="BB18" s="31">
        <f>IF($A18="","",SUMIFS($E$139:$E$288,$B$139:$B$288,$A18,$U$139:$U$288,2,$Y$139:$Y$288,1,$C$139:$C$288,"&lt;="&amp;F$17,$D$139:$D$288,"&gt;="&amp;F$17))</f>
        <v/>
      </c>
      <c r="BC18" s="31">
        <f>IF($A18="","",SUMIFS($E$139:$E$288,$B$139:$B$288,$A18,$U$139:$U$288,2,$Y$139:$Y$288,1,$C$139:$C$288,"&lt;="&amp;G$17,$D$139:$D$288,"&gt;="&amp;G$17))</f>
        <v/>
      </c>
      <c r="BD18" s="31">
        <f>IF($A18="","",SUMIFS($E$139:$E$288,$B$139:$B$288,$A18,$U$139:$U$288,2,$Y$139:$Y$288,1,$C$139:$C$288,"&lt;="&amp;H$17,$D$139:$D$288,"&gt;="&amp;H$17))</f>
        <v/>
      </c>
      <c r="BE18" s="31">
        <f>IF($A18="","",SUMIFS($E$139:$E$288,$B$139:$B$288,$A18,$U$139:$U$288,2,$Y$139:$Y$288,1,$C$139:$C$288,"&lt;="&amp;I$17,$D$139:$D$288,"&gt;="&amp;I$17))</f>
        <v/>
      </c>
      <c r="BF18" s="31">
        <f>IF($A18="","",SUMIFS($E$139:$E$288,$B$139:$B$288,$A18,$U$139:$U$288,2,$Y$139:$Y$288,1,$C$139:$C$288,"&lt;="&amp;J$17,$D$139:$D$288,"&gt;="&amp;J$17))</f>
        <v/>
      </c>
      <c r="BG18" s="31">
        <f>IF($A18="","",SUMIFS($E$139:$E$288,$B$139:$B$288,$A18,$U$139:$U$288,2,$Y$139:$Y$288,1,$C$139:$C$288,"&lt;="&amp;K$17,$D$139:$D$288,"&gt;="&amp;K$17))</f>
        <v/>
      </c>
      <c r="BH18" s="31">
        <f>IF($A18="","",SUMIFS($E$139:$E$288,$B$139:$B$288,$A18,$U$139:$U$288,2,$Y$139:$Y$288,1,$C$139:$C$288,"&lt;="&amp;L$17,$D$139:$D$288,"&gt;="&amp;L$17))</f>
        <v/>
      </c>
      <c r="BI18" s="31">
        <f>IF($A18="","",SUMIFS($E$139:$E$288,$B$139:$B$288,$A18,$U$139:$U$288,2,$Y$139:$Y$288,1,$C$139:$C$288,"&lt;="&amp;M$17,$D$139:$D$288,"&gt;="&amp;M$17))</f>
        <v/>
      </c>
      <c r="BJ18" s="31">
        <f>IF($A18="","",SUMIFS($E$139:$E$288,$B$139:$B$288,$A18,$U$139:$U$288,2,$Y$139:$Y$288,1,$C$139:$C$288,"&lt;="&amp;N$17,$D$139:$D$288,"&gt;="&amp;N$17))</f>
        <v/>
      </c>
      <c r="BK18" s="31">
        <f>IF($A18="","",SUMIFS($E$139:$E$288,$B$139:$B$288,$A18,$U$139:$U$288,2,$Y$139:$Y$288,1,$C$139:$C$288,"&lt;="&amp;O$17,$D$139:$D$288,"&gt;="&amp;O$17))</f>
        <v/>
      </c>
      <c r="BL18" s="31">
        <f>IF($A18="","",SUMIFS($E$139:$E$288,$B$139:$B$288,$A18,$U$139:$U$288,2,$Y$139:$Y$288,1,$C$139:$C$288,"&lt;="&amp;P$17,$D$139:$D$288,"&gt;="&amp;P$17))</f>
        <v/>
      </c>
      <c r="BM18" s="31">
        <f>IF(OR($A18="",$D$17=""),0,SUMPRODUCT(($D18:$P18&gt;=0)*(($D18:$P18-$AZ18:$BL18)&lt;0)))</f>
        <v/>
      </c>
      <c r="BN18" s="31">
        <f>IF(IFERROR(INDEX(Register!$A$6:$A$305,ROW()-5),"")="",0,SUMIF($A$139:$A$288,IFERROR(INDEX(Register!$A$6:$A$305,ROW()-5),""),$Z$139:$Z$288))</f>
        <v/>
      </c>
      <c r="BO18" s="31">
        <f>IF(OR(IFERROR(INDEX(Register!$A$6:$A$305,ROW()-5),"")="",SUM($Z$139:$Z$288)=0),0,IF(AND(IFERROR(INDEX(Register!$B$6:$B$305,ROW()-5),"")="Project",IFERROR(INDEX(Register!$D$6:$D$305,ROW()-5),"")="Active",IFERROR(INDEX(Register!$Z$6:$Z$305,ROW()-5),"")=1,$BN18=0),1,0))</f>
        <v/>
      </c>
      <c r="BP18" s="31">
        <f>IF(AND(IFERROR(INDEX(Register!$A$6:$A$305,ROW()-5),"")&lt;&gt;"",IFERROR(INDEX(Register!$D$6:$D$305,ROW()-5),"")="Proposed"),$BN18,0)</f>
        <v/>
      </c>
      <c r="BQ18" s="31">
        <f>IF(OR($A18="",$D$17=""),0,COUNTIF($D18:$P18,"&lt;0"))</f>
        <v/>
      </c>
      <c r="BR18" s="31">
        <f>IF(INDEX($A$63:$A$102,ROW()-6)="","",INDEX($A$63:$A$102,ROW()-6))</f>
        <v/>
      </c>
      <c r="BS18" s="31">
        <f>IF(INDEX($A$63:$A$102,ROW()-6)="","",INDEX($A$63:$A$102,ROW()-6))</f>
        <v/>
      </c>
    </row>
    <row r="19">
      <c r="A19" s="31">
        <f>IF(INDEX($A$63:$A$102,ROW()-17)="","",INDEX($A$63:$A$102,ROW()-17))</f>
        <v/>
      </c>
      <c r="B19" s="31">
        <f>IF(OR($A19="",$D$17=""),"",IF($BQ19=0,"○ Clear","△ "&amp;$BQ19&amp;IF($BQ19=1," week"," weeks")&amp;" over, from "&amp;TEXT(SUMPRODUCT(MIN($D$17:$P$17+($D19:$P19&gt;=0)*100000)),"d mmm")))</f>
        <v/>
      </c>
      <c r="C19" s="32">
        <f>IF($A19="","",IF(AND(ISNUMBER(INDEX($B$63:$B$102,ROW()-17)),INDEX($S$63:$S$102,ROW()-17)=0),INDEX($B$63:$B$102,ROW()-17),IF($C$7="",$B$7,5)))</f>
        <v/>
      </c>
      <c r="D19" s="51">
        <f>IF(OR($A19="",$D$17=""),"",ROUND(Z19-AM19,2))</f>
        <v/>
      </c>
      <c r="E19" s="51">
        <f>IF(OR($A19="",$D$17=""),"",ROUND(AA19-AN19,2))</f>
        <v/>
      </c>
      <c r="F19" s="51">
        <f>IF(OR($A19="",$D$17=""),"",ROUND(AB19-AO19,2))</f>
        <v/>
      </c>
      <c r="G19" s="51">
        <f>IF(OR($A19="",$D$17=""),"",ROUND(AC19-AP19,2))</f>
        <v/>
      </c>
      <c r="H19" s="51">
        <f>IF(OR($A19="",$D$17=""),"",ROUND(AD19-AQ19,2))</f>
        <v/>
      </c>
      <c r="I19" s="51">
        <f>IF(OR($A19="",$D$17=""),"",ROUND(AE19-AR19,2))</f>
        <v/>
      </c>
      <c r="J19" s="51">
        <f>IF(OR($A19="",$D$17=""),"",ROUND(AF19-AS19,2))</f>
        <v/>
      </c>
      <c r="K19" s="51">
        <f>IF(OR($A19="",$D$17=""),"",ROUND(AG19-AT19,2))</f>
        <v/>
      </c>
      <c r="L19" s="51">
        <f>IF(OR($A19="",$D$17=""),"",ROUND(AH19-AU19,2))</f>
        <v/>
      </c>
      <c r="M19" s="51">
        <f>IF(OR($A19="",$D$17=""),"",ROUND(AI19-AV19,2))</f>
        <v/>
      </c>
      <c r="N19" s="51">
        <f>IF(OR($A19="",$D$17=""),"",ROUND(AJ19-AW19,2))</f>
        <v/>
      </c>
      <c r="O19" s="51">
        <f>IF(OR($A19="",$D$17=""),"",ROUND(AK19-AX19,2))</f>
        <v/>
      </c>
      <c r="P19" s="51">
        <f>IF(OR($A19="",$D$17=""),"",ROUND(AL19-AY19,2))</f>
        <v/>
      </c>
      <c r="Q19" s="31">
        <f>IF(OR($A19="",$D$17=""),"",IF(SUM($AZ19:$BL19)=0,"",IF($BM19=0,"Fits","Over in "&amp;$BM19&amp;IF($BM19=1," week"," weeks")&amp;" if approved")))</f>
        <v/>
      </c>
      <c r="Z19" s="31">
        <f>IF(OR($A19="",$D$17=""),"",MAX(0,$C19-SUMIFS($D$106:$D$135,$A$106:$A$135,$A19,$B$106:$B$135,"&lt;="&amp;D$17,$C$106:$C$135,"&gt;="&amp;D$17,$S$106:$S$135,0)-SUMIFS($D$106:$D$135,$A$106:$A$135,"Everyone",$B$106:$B$135,"&lt;="&amp;D$17,$C$106:$C$135,"&gt;="&amp;D$17,$S$106:$S$135,0)))</f>
        <v/>
      </c>
      <c r="AA19" s="31">
        <f>IF(OR($A19="",$D$17=""),"",MAX(0,$C19-SUMIFS($D$106:$D$135,$A$106:$A$135,$A19,$B$106:$B$135,"&lt;="&amp;E$17,$C$106:$C$135,"&gt;="&amp;E$17,$S$106:$S$135,0)-SUMIFS($D$106:$D$135,$A$106:$A$135,"Everyone",$B$106:$B$135,"&lt;="&amp;E$17,$C$106:$C$135,"&gt;="&amp;E$17,$S$106:$S$135,0)))</f>
        <v/>
      </c>
      <c r="AB19" s="31">
        <f>IF(OR($A19="",$D$17=""),"",MAX(0,$C19-SUMIFS($D$106:$D$135,$A$106:$A$135,$A19,$B$106:$B$135,"&lt;="&amp;F$17,$C$106:$C$135,"&gt;="&amp;F$17,$S$106:$S$135,0)-SUMIFS($D$106:$D$135,$A$106:$A$135,"Everyone",$B$106:$B$135,"&lt;="&amp;F$17,$C$106:$C$135,"&gt;="&amp;F$17,$S$106:$S$135,0)))</f>
        <v/>
      </c>
      <c r="AC19" s="31">
        <f>IF(OR($A19="",$D$17=""),"",MAX(0,$C19-SUMIFS($D$106:$D$135,$A$106:$A$135,$A19,$B$106:$B$135,"&lt;="&amp;G$17,$C$106:$C$135,"&gt;="&amp;G$17,$S$106:$S$135,0)-SUMIFS($D$106:$D$135,$A$106:$A$135,"Everyone",$B$106:$B$135,"&lt;="&amp;G$17,$C$106:$C$135,"&gt;="&amp;G$17,$S$106:$S$135,0)))</f>
        <v/>
      </c>
      <c r="AD19" s="31">
        <f>IF(OR($A19="",$D$17=""),"",MAX(0,$C19-SUMIFS($D$106:$D$135,$A$106:$A$135,$A19,$B$106:$B$135,"&lt;="&amp;H$17,$C$106:$C$135,"&gt;="&amp;H$17,$S$106:$S$135,0)-SUMIFS($D$106:$D$135,$A$106:$A$135,"Everyone",$B$106:$B$135,"&lt;="&amp;H$17,$C$106:$C$135,"&gt;="&amp;H$17,$S$106:$S$135,0)))</f>
        <v/>
      </c>
      <c r="AE19" s="31">
        <f>IF(OR($A19="",$D$17=""),"",MAX(0,$C19-SUMIFS($D$106:$D$135,$A$106:$A$135,$A19,$B$106:$B$135,"&lt;="&amp;I$17,$C$106:$C$135,"&gt;="&amp;I$17,$S$106:$S$135,0)-SUMIFS($D$106:$D$135,$A$106:$A$135,"Everyone",$B$106:$B$135,"&lt;="&amp;I$17,$C$106:$C$135,"&gt;="&amp;I$17,$S$106:$S$135,0)))</f>
        <v/>
      </c>
      <c r="AF19" s="31">
        <f>IF(OR($A19="",$D$17=""),"",MAX(0,$C19-SUMIFS($D$106:$D$135,$A$106:$A$135,$A19,$B$106:$B$135,"&lt;="&amp;J$17,$C$106:$C$135,"&gt;="&amp;J$17,$S$106:$S$135,0)-SUMIFS($D$106:$D$135,$A$106:$A$135,"Everyone",$B$106:$B$135,"&lt;="&amp;J$17,$C$106:$C$135,"&gt;="&amp;J$17,$S$106:$S$135,0)))</f>
        <v/>
      </c>
      <c r="AG19" s="31">
        <f>IF(OR($A19="",$D$17=""),"",MAX(0,$C19-SUMIFS($D$106:$D$135,$A$106:$A$135,$A19,$B$106:$B$135,"&lt;="&amp;K$17,$C$106:$C$135,"&gt;="&amp;K$17,$S$106:$S$135,0)-SUMIFS($D$106:$D$135,$A$106:$A$135,"Everyone",$B$106:$B$135,"&lt;="&amp;K$17,$C$106:$C$135,"&gt;="&amp;K$17,$S$106:$S$135,0)))</f>
        <v/>
      </c>
      <c r="AH19" s="31">
        <f>IF(OR($A19="",$D$17=""),"",MAX(0,$C19-SUMIFS($D$106:$D$135,$A$106:$A$135,$A19,$B$106:$B$135,"&lt;="&amp;L$17,$C$106:$C$135,"&gt;="&amp;L$17,$S$106:$S$135,0)-SUMIFS($D$106:$D$135,$A$106:$A$135,"Everyone",$B$106:$B$135,"&lt;="&amp;L$17,$C$106:$C$135,"&gt;="&amp;L$17,$S$106:$S$135,0)))</f>
        <v/>
      </c>
      <c r="AI19" s="31">
        <f>IF(OR($A19="",$D$17=""),"",MAX(0,$C19-SUMIFS($D$106:$D$135,$A$106:$A$135,$A19,$B$106:$B$135,"&lt;="&amp;M$17,$C$106:$C$135,"&gt;="&amp;M$17,$S$106:$S$135,0)-SUMIFS($D$106:$D$135,$A$106:$A$135,"Everyone",$B$106:$B$135,"&lt;="&amp;M$17,$C$106:$C$135,"&gt;="&amp;M$17,$S$106:$S$135,0)))</f>
        <v/>
      </c>
      <c r="AJ19" s="31">
        <f>IF(OR($A19="",$D$17=""),"",MAX(0,$C19-SUMIFS($D$106:$D$135,$A$106:$A$135,$A19,$B$106:$B$135,"&lt;="&amp;N$17,$C$106:$C$135,"&gt;="&amp;N$17,$S$106:$S$135,0)-SUMIFS($D$106:$D$135,$A$106:$A$135,"Everyone",$B$106:$B$135,"&lt;="&amp;N$17,$C$106:$C$135,"&gt;="&amp;N$17,$S$106:$S$135,0)))</f>
        <v/>
      </c>
      <c r="AK19" s="31">
        <f>IF(OR($A19="",$D$17=""),"",MAX(0,$C19-SUMIFS($D$106:$D$135,$A$106:$A$135,$A19,$B$106:$B$135,"&lt;="&amp;O$17,$C$106:$C$135,"&gt;="&amp;O$17,$S$106:$S$135,0)-SUMIFS($D$106:$D$135,$A$106:$A$135,"Everyone",$B$106:$B$135,"&lt;="&amp;O$17,$C$106:$C$135,"&gt;="&amp;O$17,$S$106:$S$135,0)))</f>
        <v/>
      </c>
      <c r="AL19" s="31">
        <f>IF(OR($A19="",$D$17=""),"",MAX(0,$C19-SUMIFS($D$106:$D$135,$A$106:$A$135,$A19,$B$106:$B$135,"&lt;="&amp;P$17,$C$106:$C$135,"&gt;="&amp;P$17,$S$106:$S$135,0)-SUMIFS($D$106:$D$135,$A$106:$A$135,"Everyone",$B$106:$B$135,"&lt;="&amp;P$17,$C$106:$C$135,"&gt;="&amp;P$17,$S$106:$S$135,0)))</f>
        <v/>
      </c>
      <c r="AM19" s="31">
        <f>IF($A19="","",SUMIFS($E$139:$E$288,$B$139:$B$288,$A19,$U$139:$U$288,1,$Y$139:$Y$288,1,$C$139:$C$288,"&lt;="&amp;D$17,$D$139:$D$288,"&gt;="&amp;D$17))</f>
        <v/>
      </c>
      <c r="AN19" s="31">
        <f>IF($A19="","",SUMIFS($E$139:$E$288,$B$139:$B$288,$A19,$U$139:$U$288,1,$Y$139:$Y$288,1,$C$139:$C$288,"&lt;="&amp;E$17,$D$139:$D$288,"&gt;="&amp;E$17))</f>
        <v/>
      </c>
      <c r="AO19" s="31">
        <f>IF($A19="","",SUMIFS($E$139:$E$288,$B$139:$B$288,$A19,$U$139:$U$288,1,$Y$139:$Y$288,1,$C$139:$C$288,"&lt;="&amp;F$17,$D$139:$D$288,"&gt;="&amp;F$17))</f>
        <v/>
      </c>
      <c r="AP19" s="31">
        <f>IF($A19="","",SUMIFS($E$139:$E$288,$B$139:$B$288,$A19,$U$139:$U$288,1,$Y$139:$Y$288,1,$C$139:$C$288,"&lt;="&amp;G$17,$D$139:$D$288,"&gt;="&amp;G$17))</f>
        <v/>
      </c>
      <c r="AQ19" s="31">
        <f>IF($A19="","",SUMIFS($E$139:$E$288,$B$139:$B$288,$A19,$U$139:$U$288,1,$Y$139:$Y$288,1,$C$139:$C$288,"&lt;="&amp;H$17,$D$139:$D$288,"&gt;="&amp;H$17))</f>
        <v/>
      </c>
      <c r="AR19" s="31">
        <f>IF($A19="","",SUMIFS($E$139:$E$288,$B$139:$B$288,$A19,$U$139:$U$288,1,$Y$139:$Y$288,1,$C$139:$C$288,"&lt;="&amp;I$17,$D$139:$D$288,"&gt;="&amp;I$17))</f>
        <v/>
      </c>
      <c r="AS19" s="31">
        <f>IF($A19="","",SUMIFS($E$139:$E$288,$B$139:$B$288,$A19,$U$139:$U$288,1,$Y$139:$Y$288,1,$C$139:$C$288,"&lt;="&amp;J$17,$D$139:$D$288,"&gt;="&amp;J$17))</f>
        <v/>
      </c>
      <c r="AT19" s="31">
        <f>IF($A19="","",SUMIFS($E$139:$E$288,$B$139:$B$288,$A19,$U$139:$U$288,1,$Y$139:$Y$288,1,$C$139:$C$288,"&lt;="&amp;K$17,$D$139:$D$288,"&gt;="&amp;K$17))</f>
        <v/>
      </c>
      <c r="AU19" s="31">
        <f>IF($A19="","",SUMIFS($E$139:$E$288,$B$139:$B$288,$A19,$U$139:$U$288,1,$Y$139:$Y$288,1,$C$139:$C$288,"&lt;="&amp;L$17,$D$139:$D$288,"&gt;="&amp;L$17))</f>
        <v/>
      </c>
      <c r="AV19" s="31">
        <f>IF($A19="","",SUMIFS($E$139:$E$288,$B$139:$B$288,$A19,$U$139:$U$288,1,$Y$139:$Y$288,1,$C$139:$C$288,"&lt;="&amp;M$17,$D$139:$D$288,"&gt;="&amp;M$17))</f>
        <v/>
      </c>
      <c r="AW19" s="31">
        <f>IF($A19="","",SUMIFS($E$139:$E$288,$B$139:$B$288,$A19,$U$139:$U$288,1,$Y$139:$Y$288,1,$C$139:$C$288,"&lt;="&amp;N$17,$D$139:$D$288,"&gt;="&amp;N$17))</f>
        <v/>
      </c>
      <c r="AX19" s="31">
        <f>IF($A19="","",SUMIFS($E$139:$E$288,$B$139:$B$288,$A19,$U$139:$U$288,1,$Y$139:$Y$288,1,$C$139:$C$288,"&lt;="&amp;O$17,$D$139:$D$288,"&gt;="&amp;O$17))</f>
        <v/>
      </c>
      <c r="AY19" s="31">
        <f>IF($A19="","",SUMIFS($E$139:$E$288,$B$139:$B$288,$A19,$U$139:$U$288,1,$Y$139:$Y$288,1,$C$139:$C$288,"&lt;="&amp;P$17,$D$139:$D$288,"&gt;="&amp;P$17))</f>
        <v/>
      </c>
      <c r="AZ19" s="31">
        <f>IF($A19="","",SUMIFS($E$139:$E$288,$B$139:$B$288,$A19,$U$139:$U$288,2,$Y$139:$Y$288,1,$C$139:$C$288,"&lt;="&amp;D$17,$D$139:$D$288,"&gt;="&amp;D$17))</f>
        <v/>
      </c>
      <c r="BA19" s="31">
        <f>IF($A19="","",SUMIFS($E$139:$E$288,$B$139:$B$288,$A19,$U$139:$U$288,2,$Y$139:$Y$288,1,$C$139:$C$288,"&lt;="&amp;E$17,$D$139:$D$288,"&gt;="&amp;E$17))</f>
        <v/>
      </c>
      <c r="BB19" s="31">
        <f>IF($A19="","",SUMIFS($E$139:$E$288,$B$139:$B$288,$A19,$U$139:$U$288,2,$Y$139:$Y$288,1,$C$139:$C$288,"&lt;="&amp;F$17,$D$139:$D$288,"&gt;="&amp;F$17))</f>
        <v/>
      </c>
      <c r="BC19" s="31">
        <f>IF($A19="","",SUMIFS($E$139:$E$288,$B$139:$B$288,$A19,$U$139:$U$288,2,$Y$139:$Y$288,1,$C$139:$C$288,"&lt;="&amp;G$17,$D$139:$D$288,"&gt;="&amp;G$17))</f>
        <v/>
      </c>
      <c r="BD19" s="31">
        <f>IF($A19="","",SUMIFS($E$139:$E$288,$B$139:$B$288,$A19,$U$139:$U$288,2,$Y$139:$Y$288,1,$C$139:$C$288,"&lt;="&amp;H$17,$D$139:$D$288,"&gt;="&amp;H$17))</f>
        <v/>
      </c>
      <c r="BE19" s="31">
        <f>IF($A19="","",SUMIFS($E$139:$E$288,$B$139:$B$288,$A19,$U$139:$U$288,2,$Y$139:$Y$288,1,$C$139:$C$288,"&lt;="&amp;I$17,$D$139:$D$288,"&gt;="&amp;I$17))</f>
        <v/>
      </c>
      <c r="BF19" s="31">
        <f>IF($A19="","",SUMIFS($E$139:$E$288,$B$139:$B$288,$A19,$U$139:$U$288,2,$Y$139:$Y$288,1,$C$139:$C$288,"&lt;="&amp;J$17,$D$139:$D$288,"&gt;="&amp;J$17))</f>
        <v/>
      </c>
      <c r="BG19" s="31">
        <f>IF($A19="","",SUMIFS($E$139:$E$288,$B$139:$B$288,$A19,$U$139:$U$288,2,$Y$139:$Y$288,1,$C$139:$C$288,"&lt;="&amp;K$17,$D$139:$D$288,"&gt;="&amp;K$17))</f>
        <v/>
      </c>
      <c r="BH19" s="31">
        <f>IF($A19="","",SUMIFS($E$139:$E$288,$B$139:$B$288,$A19,$U$139:$U$288,2,$Y$139:$Y$288,1,$C$139:$C$288,"&lt;="&amp;L$17,$D$139:$D$288,"&gt;="&amp;L$17))</f>
        <v/>
      </c>
      <c r="BI19" s="31">
        <f>IF($A19="","",SUMIFS($E$139:$E$288,$B$139:$B$288,$A19,$U$139:$U$288,2,$Y$139:$Y$288,1,$C$139:$C$288,"&lt;="&amp;M$17,$D$139:$D$288,"&gt;="&amp;M$17))</f>
        <v/>
      </c>
      <c r="BJ19" s="31">
        <f>IF($A19="","",SUMIFS($E$139:$E$288,$B$139:$B$288,$A19,$U$139:$U$288,2,$Y$139:$Y$288,1,$C$139:$C$288,"&lt;="&amp;N$17,$D$139:$D$288,"&gt;="&amp;N$17))</f>
        <v/>
      </c>
      <c r="BK19" s="31">
        <f>IF($A19="","",SUMIFS($E$139:$E$288,$B$139:$B$288,$A19,$U$139:$U$288,2,$Y$139:$Y$288,1,$C$139:$C$288,"&lt;="&amp;O$17,$D$139:$D$288,"&gt;="&amp;O$17))</f>
        <v/>
      </c>
      <c r="BL19" s="31">
        <f>IF($A19="","",SUMIFS($E$139:$E$288,$B$139:$B$288,$A19,$U$139:$U$288,2,$Y$139:$Y$288,1,$C$139:$C$288,"&lt;="&amp;P$17,$D$139:$D$288,"&gt;="&amp;P$17))</f>
        <v/>
      </c>
      <c r="BM19" s="31">
        <f>IF(OR($A19="",$D$17=""),0,SUMPRODUCT(($D19:$P19&gt;=0)*(($D19:$P19-$AZ19:$BL19)&lt;0)))</f>
        <v/>
      </c>
      <c r="BN19" s="31">
        <f>IF(IFERROR(INDEX(Register!$A$6:$A$305,ROW()-5),"")="",0,SUMIF($A$139:$A$288,IFERROR(INDEX(Register!$A$6:$A$305,ROW()-5),""),$Z$139:$Z$288))</f>
        <v/>
      </c>
      <c r="BO19" s="31">
        <f>IF(OR(IFERROR(INDEX(Register!$A$6:$A$305,ROW()-5),"")="",SUM($Z$139:$Z$288)=0),0,IF(AND(IFERROR(INDEX(Register!$B$6:$B$305,ROW()-5),"")="Project",IFERROR(INDEX(Register!$D$6:$D$305,ROW()-5),"")="Active",IFERROR(INDEX(Register!$Z$6:$Z$305,ROW()-5),"")=1,$BN19=0),1,0))</f>
        <v/>
      </c>
      <c r="BP19" s="31">
        <f>IF(AND(IFERROR(INDEX(Register!$A$6:$A$305,ROW()-5),"")&lt;&gt;"",IFERROR(INDEX(Register!$D$6:$D$305,ROW()-5),"")="Proposed"),$BN19,0)</f>
        <v/>
      </c>
      <c r="BQ19" s="31">
        <f>IF(OR($A19="",$D$17=""),0,COUNTIF($D19:$P19,"&lt;0"))</f>
        <v/>
      </c>
      <c r="BR19" s="31">
        <f>IF(INDEX($A$63:$A$102,ROW()-6)="","",INDEX($A$63:$A$102,ROW()-6))</f>
        <v/>
      </c>
      <c r="BS19" s="31">
        <f>IF(INDEX($A$63:$A$102,ROW()-6)="","",INDEX($A$63:$A$102,ROW()-6))</f>
        <v/>
      </c>
    </row>
    <row r="20">
      <c r="A20" s="31">
        <f>IF(INDEX($A$63:$A$102,ROW()-17)="","",INDEX($A$63:$A$102,ROW()-17))</f>
        <v/>
      </c>
      <c r="B20" s="31">
        <f>IF(OR($A20="",$D$17=""),"",IF($BQ20=0,"○ Clear","△ "&amp;$BQ20&amp;IF($BQ20=1," week"," weeks")&amp;" over, from "&amp;TEXT(SUMPRODUCT(MIN($D$17:$P$17+($D20:$P20&gt;=0)*100000)),"d mmm")))</f>
        <v/>
      </c>
      <c r="C20" s="32">
        <f>IF($A20="","",IF(AND(ISNUMBER(INDEX($B$63:$B$102,ROW()-17)),INDEX($S$63:$S$102,ROW()-17)=0),INDEX($B$63:$B$102,ROW()-17),IF($C$7="",$B$7,5)))</f>
        <v/>
      </c>
      <c r="D20" s="51">
        <f>IF(OR($A20="",$D$17=""),"",ROUND(Z20-AM20,2))</f>
        <v/>
      </c>
      <c r="E20" s="51">
        <f>IF(OR($A20="",$D$17=""),"",ROUND(AA20-AN20,2))</f>
        <v/>
      </c>
      <c r="F20" s="51">
        <f>IF(OR($A20="",$D$17=""),"",ROUND(AB20-AO20,2))</f>
        <v/>
      </c>
      <c r="G20" s="51">
        <f>IF(OR($A20="",$D$17=""),"",ROUND(AC20-AP20,2))</f>
        <v/>
      </c>
      <c r="H20" s="51">
        <f>IF(OR($A20="",$D$17=""),"",ROUND(AD20-AQ20,2))</f>
        <v/>
      </c>
      <c r="I20" s="51">
        <f>IF(OR($A20="",$D$17=""),"",ROUND(AE20-AR20,2))</f>
        <v/>
      </c>
      <c r="J20" s="51">
        <f>IF(OR($A20="",$D$17=""),"",ROUND(AF20-AS20,2))</f>
        <v/>
      </c>
      <c r="K20" s="51">
        <f>IF(OR($A20="",$D$17=""),"",ROUND(AG20-AT20,2))</f>
        <v/>
      </c>
      <c r="L20" s="51">
        <f>IF(OR($A20="",$D$17=""),"",ROUND(AH20-AU20,2))</f>
        <v/>
      </c>
      <c r="M20" s="51">
        <f>IF(OR($A20="",$D$17=""),"",ROUND(AI20-AV20,2))</f>
        <v/>
      </c>
      <c r="N20" s="51">
        <f>IF(OR($A20="",$D$17=""),"",ROUND(AJ20-AW20,2))</f>
        <v/>
      </c>
      <c r="O20" s="51">
        <f>IF(OR($A20="",$D$17=""),"",ROUND(AK20-AX20,2))</f>
        <v/>
      </c>
      <c r="P20" s="51">
        <f>IF(OR($A20="",$D$17=""),"",ROUND(AL20-AY20,2))</f>
        <v/>
      </c>
      <c r="Q20" s="31">
        <f>IF(OR($A20="",$D$17=""),"",IF(SUM($AZ20:$BL20)=0,"",IF($BM20=0,"Fits","Over in "&amp;$BM20&amp;IF($BM20=1," week"," weeks")&amp;" if approved")))</f>
        <v/>
      </c>
      <c r="Z20" s="31">
        <f>IF(OR($A20="",$D$17=""),"",MAX(0,$C20-SUMIFS($D$106:$D$135,$A$106:$A$135,$A20,$B$106:$B$135,"&lt;="&amp;D$17,$C$106:$C$135,"&gt;="&amp;D$17,$S$106:$S$135,0)-SUMIFS($D$106:$D$135,$A$106:$A$135,"Everyone",$B$106:$B$135,"&lt;="&amp;D$17,$C$106:$C$135,"&gt;="&amp;D$17,$S$106:$S$135,0)))</f>
        <v/>
      </c>
      <c r="AA20" s="31">
        <f>IF(OR($A20="",$D$17=""),"",MAX(0,$C20-SUMIFS($D$106:$D$135,$A$106:$A$135,$A20,$B$106:$B$135,"&lt;="&amp;E$17,$C$106:$C$135,"&gt;="&amp;E$17,$S$106:$S$135,0)-SUMIFS($D$106:$D$135,$A$106:$A$135,"Everyone",$B$106:$B$135,"&lt;="&amp;E$17,$C$106:$C$135,"&gt;="&amp;E$17,$S$106:$S$135,0)))</f>
        <v/>
      </c>
      <c r="AB20" s="31">
        <f>IF(OR($A20="",$D$17=""),"",MAX(0,$C20-SUMIFS($D$106:$D$135,$A$106:$A$135,$A20,$B$106:$B$135,"&lt;="&amp;F$17,$C$106:$C$135,"&gt;="&amp;F$17,$S$106:$S$135,0)-SUMIFS($D$106:$D$135,$A$106:$A$135,"Everyone",$B$106:$B$135,"&lt;="&amp;F$17,$C$106:$C$135,"&gt;="&amp;F$17,$S$106:$S$135,0)))</f>
        <v/>
      </c>
      <c r="AC20" s="31">
        <f>IF(OR($A20="",$D$17=""),"",MAX(0,$C20-SUMIFS($D$106:$D$135,$A$106:$A$135,$A20,$B$106:$B$135,"&lt;="&amp;G$17,$C$106:$C$135,"&gt;="&amp;G$17,$S$106:$S$135,0)-SUMIFS($D$106:$D$135,$A$106:$A$135,"Everyone",$B$106:$B$135,"&lt;="&amp;G$17,$C$106:$C$135,"&gt;="&amp;G$17,$S$106:$S$135,0)))</f>
        <v/>
      </c>
      <c r="AD20" s="31">
        <f>IF(OR($A20="",$D$17=""),"",MAX(0,$C20-SUMIFS($D$106:$D$135,$A$106:$A$135,$A20,$B$106:$B$135,"&lt;="&amp;H$17,$C$106:$C$135,"&gt;="&amp;H$17,$S$106:$S$135,0)-SUMIFS($D$106:$D$135,$A$106:$A$135,"Everyone",$B$106:$B$135,"&lt;="&amp;H$17,$C$106:$C$135,"&gt;="&amp;H$17,$S$106:$S$135,0)))</f>
        <v/>
      </c>
      <c r="AE20" s="31">
        <f>IF(OR($A20="",$D$17=""),"",MAX(0,$C20-SUMIFS($D$106:$D$135,$A$106:$A$135,$A20,$B$106:$B$135,"&lt;="&amp;I$17,$C$106:$C$135,"&gt;="&amp;I$17,$S$106:$S$135,0)-SUMIFS($D$106:$D$135,$A$106:$A$135,"Everyone",$B$106:$B$135,"&lt;="&amp;I$17,$C$106:$C$135,"&gt;="&amp;I$17,$S$106:$S$135,0)))</f>
        <v/>
      </c>
      <c r="AF20" s="31">
        <f>IF(OR($A20="",$D$17=""),"",MAX(0,$C20-SUMIFS($D$106:$D$135,$A$106:$A$135,$A20,$B$106:$B$135,"&lt;="&amp;J$17,$C$106:$C$135,"&gt;="&amp;J$17,$S$106:$S$135,0)-SUMIFS($D$106:$D$135,$A$106:$A$135,"Everyone",$B$106:$B$135,"&lt;="&amp;J$17,$C$106:$C$135,"&gt;="&amp;J$17,$S$106:$S$135,0)))</f>
        <v/>
      </c>
      <c r="AG20" s="31">
        <f>IF(OR($A20="",$D$17=""),"",MAX(0,$C20-SUMIFS($D$106:$D$135,$A$106:$A$135,$A20,$B$106:$B$135,"&lt;="&amp;K$17,$C$106:$C$135,"&gt;="&amp;K$17,$S$106:$S$135,0)-SUMIFS($D$106:$D$135,$A$106:$A$135,"Everyone",$B$106:$B$135,"&lt;="&amp;K$17,$C$106:$C$135,"&gt;="&amp;K$17,$S$106:$S$135,0)))</f>
        <v/>
      </c>
      <c r="AH20" s="31">
        <f>IF(OR($A20="",$D$17=""),"",MAX(0,$C20-SUMIFS($D$106:$D$135,$A$106:$A$135,$A20,$B$106:$B$135,"&lt;="&amp;L$17,$C$106:$C$135,"&gt;="&amp;L$17,$S$106:$S$135,0)-SUMIFS($D$106:$D$135,$A$106:$A$135,"Everyone",$B$106:$B$135,"&lt;="&amp;L$17,$C$106:$C$135,"&gt;="&amp;L$17,$S$106:$S$135,0)))</f>
        <v/>
      </c>
      <c r="AI20" s="31">
        <f>IF(OR($A20="",$D$17=""),"",MAX(0,$C20-SUMIFS($D$106:$D$135,$A$106:$A$135,$A20,$B$106:$B$135,"&lt;="&amp;M$17,$C$106:$C$135,"&gt;="&amp;M$17,$S$106:$S$135,0)-SUMIFS($D$106:$D$135,$A$106:$A$135,"Everyone",$B$106:$B$135,"&lt;="&amp;M$17,$C$106:$C$135,"&gt;="&amp;M$17,$S$106:$S$135,0)))</f>
        <v/>
      </c>
      <c r="AJ20" s="31">
        <f>IF(OR($A20="",$D$17=""),"",MAX(0,$C20-SUMIFS($D$106:$D$135,$A$106:$A$135,$A20,$B$106:$B$135,"&lt;="&amp;N$17,$C$106:$C$135,"&gt;="&amp;N$17,$S$106:$S$135,0)-SUMIFS($D$106:$D$135,$A$106:$A$135,"Everyone",$B$106:$B$135,"&lt;="&amp;N$17,$C$106:$C$135,"&gt;="&amp;N$17,$S$106:$S$135,0)))</f>
        <v/>
      </c>
      <c r="AK20" s="31">
        <f>IF(OR($A20="",$D$17=""),"",MAX(0,$C20-SUMIFS($D$106:$D$135,$A$106:$A$135,$A20,$B$106:$B$135,"&lt;="&amp;O$17,$C$106:$C$135,"&gt;="&amp;O$17,$S$106:$S$135,0)-SUMIFS($D$106:$D$135,$A$106:$A$135,"Everyone",$B$106:$B$135,"&lt;="&amp;O$17,$C$106:$C$135,"&gt;="&amp;O$17,$S$106:$S$135,0)))</f>
        <v/>
      </c>
      <c r="AL20" s="31">
        <f>IF(OR($A20="",$D$17=""),"",MAX(0,$C20-SUMIFS($D$106:$D$135,$A$106:$A$135,$A20,$B$106:$B$135,"&lt;="&amp;P$17,$C$106:$C$135,"&gt;="&amp;P$17,$S$106:$S$135,0)-SUMIFS($D$106:$D$135,$A$106:$A$135,"Everyone",$B$106:$B$135,"&lt;="&amp;P$17,$C$106:$C$135,"&gt;="&amp;P$17,$S$106:$S$135,0)))</f>
        <v/>
      </c>
      <c r="AM20" s="31">
        <f>IF($A20="","",SUMIFS($E$139:$E$288,$B$139:$B$288,$A20,$U$139:$U$288,1,$Y$139:$Y$288,1,$C$139:$C$288,"&lt;="&amp;D$17,$D$139:$D$288,"&gt;="&amp;D$17))</f>
        <v/>
      </c>
      <c r="AN20" s="31">
        <f>IF($A20="","",SUMIFS($E$139:$E$288,$B$139:$B$288,$A20,$U$139:$U$288,1,$Y$139:$Y$288,1,$C$139:$C$288,"&lt;="&amp;E$17,$D$139:$D$288,"&gt;="&amp;E$17))</f>
        <v/>
      </c>
      <c r="AO20" s="31">
        <f>IF($A20="","",SUMIFS($E$139:$E$288,$B$139:$B$288,$A20,$U$139:$U$288,1,$Y$139:$Y$288,1,$C$139:$C$288,"&lt;="&amp;F$17,$D$139:$D$288,"&gt;="&amp;F$17))</f>
        <v/>
      </c>
      <c r="AP20" s="31">
        <f>IF($A20="","",SUMIFS($E$139:$E$288,$B$139:$B$288,$A20,$U$139:$U$288,1,$Y$139:$Y$288,1,$C$139:$C$288,"&lt;="&amp;G$17,$D$139:$D$288,"&gt;="&amp;G$17))</f>
        <v/>
      </c>
      <c r="AQ20" s="31">
        <f>IF($A20="","",SUMIFS($E$139:$E$288,$B$139:$B$288,$A20,$U$139:$U$288,1,$Y$139:$Y$288,1,$C$139:$C$288,"&lt;="&amp;H$17,$D$139:$D$288,"&gt;="&amp;H$17))</f>
        <v/>
      </c>
      <c r="AR20" s="31">
        <f>IF($A20="","",SUMIFS($E$139:$E$288,$B$139:$B$288,$A20,$U$139:$U$288,1,$Y$139:$Y$288,1,$C$139:$C$288,"&lt;="&amp;I$17,$D$139:$D$288,"&gt;="&amp;I$17))</f>
        <v/>
      </c>
      <c r="AS20" s="31">
        <f>IF($A20="","",SUMIFS($E$139:$E$288,$B$139:$B$288,$A20,$U$139:$U$288,1,$Y$139:$Y$288,1,$C$139:$C$288,"&lt;="&amp;J$17,$D$139:$D$288,"&gt;="&amp;J$17))</f>
        <v/>
      </c>
      <c r="AT20" s="31">
        <f>IF($A20="","",SUMIFS($E$139:$E$288,$B$139:$B$288,$A20,$U$139:$U$288,1,$Y$139:$Y$288,1,$C$139:$C$288,"&lt;="&amp;K$17,$D$139:$D$288,"&gt;="&amp;K$17))</f>
        <v/>
      </c>
      <c r="AU20" s="31">
        <f>IF($A20="","",SUMIFS($E$139:$E$288,$B$139:$B$288,$A20,$U$139:$U$288,1,$Y$139:$Y$288,1,$C$139:$C$288,"&lt;="&amp;L$17,$D$139:$D$288,"&gt;="&amp;L$17))</f>
        <v/>
      </c>
      <c r="AV20" s="31">
        <f>IF($A20="","",SUMIFS($E$139:$E$288,$B$139:$B$288,$A20,$U$139:$U$288,1,$Y$139:$Y$288,1,$C$139:$C$288,"&lt;="&amp;M$17,$D$139:$D$288,"&gt;="&amp;M$17))</f>
        <v/>
      </c>
      <c r="AW20" s="31">
        <f>IF($A20="","",SUMIFS($E$139:$E$288,$B$139:$B$288,$A20,$U$139:$U$288,1,$Y$139:$Y$288,1,$C$139:$C$288,"&lt;="&amp;N$17,$D$139:$D$288,"&gt;="&amp;N$17))</f>
        <v/>
      </c>
      <c r="AX20" s="31">
        <f>IF($A20="","",SUMIFS($E$139:$E$288,$B$139:$B$288,$A20,$U$139:$U$288,1,$Y$139:$Y$288,1,$C$139:$C$288,"&lt;="&amp;O$17,$D$139:$D$288,"&gt;="&amp;O$17))</f>
        <v/>
      </c>
      <c r="AY20" s="31">
        <f>IF($A20="","",SUMIFS($E$139:$E$288,$B$139:$B$288,$A20,$U$139:$U$288,1,$Y$139:$Y$288,1,$C$139:$C$288,"&lt;="&amp;P$17,$D$139:$D$288,"&gt;="&amp;P$17))</f>
        <v/>
      </c>
      <c r="AZ20" s="31">
        <f>IF($A20="","",SUMIFS($E$139:$E$288,$B$139:$B$288,$A20,$U$139:$U$288,2,$Y$139:$Y$288,1,$C$139:$C$288,"&lt;="&amp;D$17,$D$139:$D$288,"&gt;="&amp;D$17))</f>
        <v/>
      </c>
      <c r="BA20" s="31">
        <f>IF($A20="","",SUMIFS($E$139:$E$288,$B$139:$B$288,$A20,$U$139:$U$288,2,$Y$139:$Y$288,1,$C$139:$C$288,"&lt;="&amp;E$17,$D$139:$D$288,"&gt;="&amp;E$17))</f>
        <v/>
      </c>
      <c r="BB20" s="31">
        <f>IF($A20="","",SUMIFS($E$139:$E$288,$B$139:$B$288,$A20,$U$139:$U$288,2,$Y$139:$Y$288,1,$C$139:$C$288,"&lt;="&amp;F$17,$D$139:$D$288,"&gt;="&amp;F$17))</f>
        <v/>
      </c>
      <c r="BC20" s="31">
        <f>IF($A20="","",SUMIFS($E$139:$E$288,$B$139:$B$288,$A20,$U$139:$U$288,2,$Y$139:$Y$288,1,$C$139:$C$288,"&lt;="&amp;G$17,$D$139:$D$288,"&gt;="&amp;G$17))</f>
        <v/>
      </c>
      <c r="BD20" s="31">
        <f>IF($A20="","",SUMIFS($E$139:$E$288,$B$139:$B$288,$A20,$U$139:$U$288,2,$Y$139:$Y$288,1,$C$139:$C$288,"&lt;="&amp;H$17,$D$139:$D$288,"&gt;="&amp;H$17))</f>
        <v/>
      </c>
      <c r="BE20" s="31">
        <f>IF($A20="","",SUMIFS($E$139:$E$288,$B$139:$B$288,$A20,$U$139:$U$288,2,$Y$139:$Y$288,1,$C$139:$C$288,"&lt;="&amp;I$17,$D$139:$D$288,"&gt;="&amp;I$17))</f>
        <v/>
      </c>
      <c r="BF20" s="31">
        <f>IF($A20="","",SUMIFS($E$139:$E$288,$B$139:$B$288,$A20,$U$139:$U$288,2,$Y$139:$Y$288,1,$C$139:$C$288,"&lt;="&amp;J$17,$D$139:$D$288,"&gt;="&amp;J$17))</f>
        <v/>
      </c>
      <c r="BG20" s="31">
        <f>IF($A20="","",SUMIFS($E$139:$E$288,$B$139:$B$288,$A20,$U$139:$U$288,2,$Y$139:$Y$288,1,$C$139:$C$288,"&lt;="&amp;K$17,$D$139:$D$288,"&gt;="&amp;K$17))</f>
        <v/>
      </c>
      <c r="BH20" s="31">
        <f>IF($A20="","",SUMIFS($E$139:$E$288,$B$139:$B$288,$A20,$U$139:$U$288,2,$Y$139:$Y$288,1,$C$139:$C$288,"&lt;="&amp;L$17,$D$139:$D$288,"&gt;="&amp;L$17))</f>
        <v/>
      </c>
      <c r="BI20" s="31">
        <f>IF($A20="","",SUMIFS($E$139:$E$288,$B$139:$B$288,$A20,$U$139:$U$288,2,$Y$139:$Y$288,1,$C$139:$C$288,"&lt;="&amp;M$17,$D$139:$D$288,"&gt;="&amp;M$17))</f>
        <v/>
      </c>
      <c r="BJ20" s="31">
        <f>IF($A20="","",SUMIFS($E$139:$E$288,$B$139:$B$288,$A20,$U$139:$U$288,2,$Y$139:$Y$288,1,$C$139:$C$288,"&lt;="&amp;N$17,$D$139:$D$288,"&gt;="&amp;N$17))</f>
        <v/>
      </c>
      <c r="BK20" s="31">
        <f>IF($A20="","",SUMIFS($E$139:$E$288,$B$139:$B$288,$A20,$U$139:$U$288,2,$Y$139:$Y$288,1,$C$139:$C$288,"&lt;="&amp;O$17,$D$139:$D$288,"&gt;="&amp;O$17))</f>
        <v/>
      </c>
      <c r="BL20" s="31">
        <f>IF($A20="","",SUMIFS($E$139:$E$288,$B$139:$B$288,$A20,$U$139:$U$288,2,$Y$139:$Y$288,1,$C$139:$C$288,"&lt;="&amp;P$17,$D$139:$D$288,"&gt;="&amp;P$17))</f>
        <v/>
      </c>
      <c r="BM20" s="31">
        <f>IF(OR($A20="",$D$17=""),0,SUMPRODUCT(($D20:$P20&gt;=0)*(($D20:$P20-$AZ20:$BL20)&lt;0)))</f>
        <v/>
      </c>
      <c r="BN20" s="31">
        <f>IF(IFERROR(INDEX(Register!$A$6:$A$305,ROW()-5),"")="",0,SUMIF($A$139:$A$288,IFERROR(INDEX(Register!$A$6:$A$305,ROW()-5),""),$Z$139:$Z$288))</f>
        <v/>
      </c>
      <c r="BO20" s="31">
        <f>IF(OR(IFERROR(INDEX(Register!$A$6:$A$305,ROW()-5),"")="",SUM($Z$139:$Z$288)=0),0,IF(AND(IFERROR(INDEX(Register!$B$6:$B$305,ROW()-5),"")="Project",IFERROR(INDEX(Register!$D$6:$D$305,ROW()-5),"")="Active",IFERROR(INDEX(Register!$Z$6:$Z$305,ROW()-5),"")=1,$BN20=0),1,0))</f>
        <v/>
      </c>
      <c r="BP20" s="31">
        <f>IF(AND(IFERROR(INDEX(Register!$A$6:$A$305,ROW()-5),"")&lt;&gt;"",IFERROR(INDEX(Register!$D$6:$D$305,ROW()-5),"")="Proposed"),$BN20,0)</f>
        <v/>
      </c>
      <c r="BQ20" s="31">
        <f>IF(OR($A20="",$D$17=""),0,COUNTIF($D20:$P20,"&lt;0"))</f>
        <v/>
      </c>
      <c r="BR20" s="31">
        <f>IF(INDEX($A$63:$A$102,ROW()-6)="","",INDEX($A$63:$A$102,ROW()-6))</f>
        <v/>
      </c>
      <c r="BS20" s="31">
        <f>IF(INDEX($A$63:$A$102,ROW()-6)="","",INDEX($A$63:$A$102,ROW()-6))</f>
        <v/>
      </c>
    </row>
    <row r="21">
      <c r="A21" s="31">
        <f>IF(INDEX($A$63:$A$102,ROW()-17)="","",INDEX($A$63:$A$102,ROW()-17))</f>
        <v/>
      </c>
      <c r="B21" s="31">
        <f>IF(OR($A21="",$D$17=""),"",IF($BQ21=0,"○ Clear","△ "&amp;$BQ21&amp;IF($BQ21=1," week"," weeks")&amp;" over, from "&amp;TEXT(SUMPRODUCT(MIN($D$17:$P$17+($D21:$P21&gt;=0)*100000)),"d mmm")))</f>
        <v/>
      </c>
      <c r="C21" s="32">
        <f>IF($A21="","",IF(AND(ISNUMBER(INDEX($B$63:$B$102,ROW()-17)),INDEX($S$63:$S$102,ROW()-17)=0),INDEX($B$63:$B$102,ROW()-17),IF($C$7="",$B$7,5)))</f>
        <v/>
      </c>
      <c r="D21" s="51">
        <f>IF(OR($A21="",$D$17=""),"",ROUND(Z21-AM21,2))</f>
        <v/>
      </c>
      <c r="E21" s="51">
        <f>IF(OR($A21="",$D$17=""),"",ROUND(AA21-AN21,2))</f>
        <v/>
      </c>
      <c r="F21" s="51">
        <f>IF(OR($A21="",$D$17=""),"",ROUND(AB21-AO21,2))</f>
        <v/>
      </c>
      <c r="G21" s="51">
        <f>IF(OR($A21="",$D$17=""),"",ROUND(AC21-AP21,2))</f>
        <v/>
      </c>
      <c r="H21" s="51">
        <f>IF(OR($A21="",$D$17=""),"",ROUND(AD21-AQ21,2))</f>
        <v/>
      </c>
      <c r="I21" s="51">
        <f>IF(OR($A21="",$D$17=""),"",ROUND(AE21-AR21,2))</f>
        <v/>
      </c>
      <c r="J21" s="51">
        <f>IF(OR($A21="",$D$17=""),"",ROUND(AF21-AS21,2))</f>
        <v/>
      </c>
      <c r="K21" s="51">
        <f>IF(OR($A21="",$D$17=""),"",ROUND(AG21-AT21,2))</f>
        <v/>
      </c>
      <c r="L21" s="51">
        <f>IF(OR($A21="",$D$17=""),"",ROUND(AH21-AU21,2))</f>
        <v/>
      </c>
      <c r="M21" s="51">
        <f>IF(OR($A21="",$D$17=""),"",ROUND(AI21-AV21,2))</f>
        <v/>
      </c>
      <c r="N21" s="51">
        <f>IF(OR($A21="",$D$17=""),"",ROUND(AJ21-AW21,2))</f>
        <v/>
      </c>
      <c r="O21" s="51">
        <f>IF(OR($A21="",$D$17=""),"",ROUND(AK21-AX21,2))</f>
        <v/>
      </c>
      <c r="P21" s="51">
        <f>IF(OR($A21="",$D$17=""),"",ROUND(AL21-AY21,2))</f>
        <v/>
      </c>
      <c r="Q21" s="31">
        <f>IF(OR($A21="",$D$17=""),"",IF(SUM($AZ21:$BL21)=0,"",IF($BM21=0,"Fits","Over in "&amp;$BM21&amp;IF($BM21=1," week"," weeks")&amp;" if approved")))</f>
        <v/>
      </c>
      <c r="Z21" s="31">
        <f>IF(OR($A21="",$D$17=""),"",MAX(0,$C21-SUMIFS($D$106:$D$135,$A$106:$A$135,$A21,$B$106:$B$135,"&lt;="&amp;D$17,$C$106:$C$135,"&gt;="&amp;D$17,$S$106:$S$135,0)-SUMIFS($D$106:$D$135,$A$106:$A$135,"Everyone",$B$106:$B$135,"&lt;="&amp;D$17,$C$106:$C$135,"&gt;="&amp;D$17,$S$106:$S$135,0)))</f>
        <v/>
      </c>
      <c r="AA21" s="31">
        <f>IF(OR($A21="",$D$17=""),"",MAX(0,$C21-SUMIFS($D$106:$D$135,$A$106:$A$135,$A21,$B$106:$B$135,"&lt;="&amp;E$17,$C$106:$C$135,"&gt;="&amp;E$17,$S$106:$S$135,0)-SUMIFS($D$106:$D$135,$A$106:$A$135,"Everyone",$B$106:$B$135,"&lt;="&amp;E$17,$C$106:$C$135,"&gt;="&amp;E$17,$S$106:$S$135,0)))</f>
        <v/>
      </c>
      <c r="AB21" s="31">
        <f>IF(OR($A21="",$D$17=""),"",MAX(0,$C21-SUMIFS($D$106:$D$135,$A$106:$A$135,$A21,$B$106:$B$135,"&lt;="&amp;F$17,$C$106:$C$135,"&gt;="&amp;F$17,$S$106:$S$135,0)-SUMIFS($D$106:$D$135,$A$106:$A$135,"Everyone",$B$106:$B$135,"&lt;="&amp;F$17,$C$106:$C$135,"&gt;="&amp;F$17,$S$106:$S$135,0)))</f>
        <v/>
      </c>
      <c r="AC21" s="31">
        <f>IF(OR($A21="",$D$17=""),"",MAX(0,$C21-SUMIFS($D$106:$D$135,$A$106:$A$135,$A21,$B$106:$B$135,"&lt;="&amp;G$17,$C$106:$C$135,"&gt;="&amp;G$17,$S$106:$S$135,0)-SUMIFS($D$106:$D$135,$A$106:$A$135,"Everyone",$B$106:$B$135,"&lt;="&amp;G$17,$C$106:$C$135,"&gt;="&amp;G$17,$S$106:$S$135,0)))</f>
        <v/>
      </c>
      <c r="AD21" s="31">
        <f>IF(OR($A21="",$D$17=""),"",MAX(0,$C21-SUMIFS($D$106:$D$135,$A$106:$A$135,$A21,$B$106:$B$135,"&lt;="&amp;H$17,$C$106:$C$135,"&gt;="&amp;H$17,$S$106:$S$135,0)-SUMIFS($D$106:$D$135,$A$106:$A$135,"Everyone",$B$106:$B$135,"&lt;="&amp;H$17,$C$106:$C$135,"&gt;="&amp;H$17,$S$106:$S$135,0)))</f>
        <v/>
      </c>
      <c r="AE21" s="31">
        <f>IF(OR($A21="",$D$17=""),"",MAX(0,$C21-SUMIFS($D$106:$D$135,$A$106:$A$135,$A21,$B$106:$B$135,"&lt;="&amp;I$17,$C$106:$C$135,"&gt;="&amp;I$17,$S$106:$S$135,0)-SUMIFS($D$106:$D$135,$A$106:$A$135,"Everyone",$B$106:$B$135,"&lt;="&amp;I$17,$C$106:$C$135,"&gt;="&amp;I$17,$S$106:$S$135,0)))</f>
        <v/>
      </c>
      <c r="AF21" s="31">
        <f>IF(OR($A21="",$D$17=""),"",MAX(0,$C21-SUMIFS($D$106:$D$135,$A$106:$A$135,$A21,$B$106:$B$135,"&lt;="&amp;J$17,$C$106:$C$135,"&gt;="&amp;J$17,$S$106:$S$135,0)-SUMIFS($D$106:$D$135,$A$106:$A$135,"Everyone",$B$106:$B$135,"&lt;="&amp;J$17,$C$106:$C$135,"&gt;="&amp;J$17,$S$106:$S$135,0)))</f>
        <v/>
      </c>
      <c r="AG21" s="31">
        <f>IF(OR($A21="",$D$17=""),"",MAX(0,$C21-SUMIFS($D$106:$D$135,$A$106:$A$135,$A21,$B$106:$B$135,"&lt;="&amp;K$17,$C$106:$C$135,"&gt;="&amp;K$17,$S$106:$S$135,0)-SUMIFS($D$106:$D$135,$A$106:$A$135,"Everyone",$B$106:$B$135,"&lt;="&amp;K$17,$C$106:$C$135,"&gt;="&amp;K$17,$S$106:$S$135,0)))</f>
        <v/>
      </c>
      <c r="AH21" s="31">
        <f>IF(OR($A21="",$D$17=""),"",MAX(0,$C21-SUMIFS($D$106:$D$135,$A$106:$A$135,$A21,$B$106:$B$135,"&lt;="&amp;L$17,$C$106:$C$135,"&gt;="&amp;L$17,$S$106:$S$135,0)-SUMIFS($D$106:$D$135,$A$106:$A$135,"Everyone",$B$106:$B$135,"&lt;="&amp;L$17,$C$106:$C$135,"&gt;="&amp;L$17,$S$106:$S$135,0)))</f>
        <v/>
      </c>
      <c r="AI21" s="31">
        <f>IF(OR($A21="",$D$17=""),"",MAX(0,$C21-SUMIFS($D$106:$D$135,$A$106:$A$135,$A21,$B$106:$B$135,"&lt;="&amp;M$17,$C$106:$C$135,"&gt;="&amp;M$17,$S$106:$S$135,0)-SUMIFS($D$106:$D$135,$A$106:$A$135,"Everyone",$B$106:$B$135,"&lt;="&amp;M$17,$C$106:$C$135,"&gt;="&amp;M$17,$S$106:$S$135,0)))</f>
        <v/>
      </c>
      <c r="AJ21" s="31">
        <f>IF(OR($A21="",$D$17=""),"",MAX(0,$C21-SUMIFS($D$106:$D$135,$A$106:$A$135,$A21,$B$106:$B$135,"&lt;="&amp;N$17,$C$106:$C$135,"&gt;="&amp;N$17,$S$106:$S$135,0)-SUMIFS($D$106:$D$135,$A$106:$A$135,"Everyone",$B$106:$B$135,"&lt;="&amp;N$17,$C$106:$C$135,"&gt;="&amp;N$17,$S$106:$S$135,0)))</f>
        <v/>
      </c>
      <c r="AK21" s="31">
        <f>IF(OR($A21="",$D$17=""),"",MAX(0,$C21-SUMIFS($D$106:$D$135,$A$106:$A$135,$A21,$B$106:$B$135,"&lt;="&amp;O$17,$C$106:$C$135,"&gt;="&amp;O$17,$S$106:$S$135,0)-SUMIFS($D$106:$D$135,$A$106:$A$135,"Everyone",$B$106:$B$135,"&lt;="&amp;O$17,$C$106:$C$135,"&gt;="&amp;O$17,$S$106:$S$135,0)))</f>
        <v/>
      </c>
      <c r="AL21" s="31">
        <f>IF(OR($A21="",$D$17=""),"",MAX(0,$C21-SUMIFS($D$106:$D$135,$A$106:$A$135,$A21,$B$106:$B$135,"&lt;="&amp;P$17,$C$106:$C$135,"&gt;="&amp;P$17,$S$106:$S$135,0)-SUMIFS($D$106:$D$135,$A$106:$A$135,"Everyone",$B$106:$B$135,"&lt;="&amp;P$17,$C$106:$C$135,"&gt;="&amp;P$17,$S$106:$S$135,0)))</f>
        <v/>
      </c>
      <c r="AM21" s="31">
        <f>IF($A21="","",SUMIFS($E$139:$E$288,$B$139:$B$288,$A21,$U$139:$U$288,1,$Y$139:$Y$288,1,$C$139:$C$288,"&lt;="&amp;D$17,$D$139:$D$288,"&gt;="&amp;D$17))</f>
        <v/>
      </c>
      <c r="AN21" s="31">
        <f>IF($A21="","",SUMIFS($E$139:$E$288,$B$139:$B$288,$A21,$U$139:$U$288,1,$Y$139:$Y$288,1,$C$139:$C$288,"&lt;="&amp;E$17,$D$139:$D$288,"&gt;="&amp;E$17))</f>
        <v/>
      </c>
      <c r="AO21" s="31">
        <f>IF($A21="","",SUMIFS($E$139:$E$288,$B$139:$B$288,$A21,$U$139:$U$288,1,$Y$139:$Y$288,1,$C$139:$C$288,"&lt;="&amp;F$17,$D$139:$D$288,"&gt;="&amp;F$17))</f>
        <v/>
      </c>
      <c r="AP21" s="31">
        <f>IF($A21="","",SUMIFS($E$139:$E$288,$B$139:$B$288,$A21,$U$139:$U$288,1,$Y$139:$Y$288,1,$C$139:$C$288,"&lt;="&amp;G$17,$D$139:$D$288,"&gt;="&amp;G$17))</f>
        <v/>
      </c>
      <c r="AQ21" s="31">
        <f>IF($A21="","",SUMIFS($E$139:$E$288,$B$139:$B$288,$A21,$U$139:$U$288,1,$Y$139:$Y$288,1,$C$139:$C$288,"&lt;="&amp;H$17,$D$139:$D$288,"&gt;="&amp;H$17))</f>
        <v/>
      </c>
      <c r="AR21" s="31">
        <f>IF($A21="","",SUMIFS($E$139:$E$288,$B$139:$B$288,$A21,$U$139:$U$288,1,$Y$139:$Y$288,1,$C$139:$C$288,"&lt;="&amp;I$17,$D$139:$D$288,"&gt;="&amp;I$17))</f>
        <v/>
      </c>
      <c r="AS21" s="31">
        <f>IF($A21="","",SUMIFS($E$139:$E$288,$B$139:$B$288,$A21,$U$139:$U$288,1,$Y$139:$Y$288,1,$C$139:$C$288,"&lt;="&amp;J$17,$D$139:$D$288,"&gt;="&amp;J$17))</f>
        <v/>
      </c>
      <c r="AT21" s="31">
        <f>IF($A21="","",SUMIFS($E$139:$E$288,$B$139:$B$288,$A21,$U$139:$U$288,1,$Y$139:$Y$288,1,$C$139:$C$288,"&lt;="&amp;K$17,$D$139:$D$288,"&gt;="&amp;K$17))</f>
        <v/>
      </c>
      <c r="AU21" s="31">
        <f>IF($A21="","",SUMIFS($E$139:$E$288,$B$139:$B$288,$A21,$U$139:$U$288,1,$Y$139:$Y$288,1,$C$139:$C$288,"&lt;="&amp;L$17,$D$139:$D$288,"&gt;="&amp;L$17))</f>
        <v/>
      </c>
      <c r="AV21" s="31">
        <f>IF($A21="","",SUMIFS($E$139:$E$288,$B$139:$B$288,$A21,$U$139:$U$288,1,$Y$139:$Y$288,1,$C$139:$C$288,"&lt;="&amp;M$17,$D$139:$D$288,"&gt;="&amp;M$17))</f>
        <v/>
      </c>
      <c r="AW21" s="31">
        <f>IF($A21="","",SUMIFS($E$139:$E$288,$B$139:$B$288,$A21,$U$139:$U$288,1,$Y$139:$Y$288,1,$C$139:$C$288,"&lt;="&amp;N$17,$D$139:$D$288,"&gt;="&amp;N$17))</f>
        <v/>
      </c>
      <c r="AX21" s="31">
        <f>IF($A21="","",SUMIFS($E$139:$E$288,$B$139:$B$288,$A21,$U$139:$U$288,1,$Y$139:$Y$288,1,$C$139:$C$288,"&lt;="&amp;O$17,$D$139:$D$288,"&gt;="&amp;O$17))</f>
        <v/>
      </c>
      <c r="AY21" s="31">
        <f>IF($A21="","",SUMIFS($E$139:$E$288,$B$139:$B$288,$A21,$U$139:$U$288,1,$Y$139:$Y$288,1,$C$139:$C$288,"&lt;="&amp;P$17,$D$139:$D$288,"&gt;="&amp;P$17))</f>
        <v/>
      </c>
      <c r="AZ21" s="31">
        <f>IF($A21="","",SUMIFS($E$139:$E$288,$B$139:$B$288,$A21,$U$139:$U$288,2,$Y$139:$Y$288,1,$C$139:$C$288,"&lt;="&amp;D$17,$D$139:$D$288,"&gt;="&amp;D$17))</f>
        <v/>
      </c>
      <c r="BA21" s="31">
        <f>IF($A21="","",SUMIFS($E$139:$E$288,$B$139:$B$288,$A21,$U$139:$U$288,2,$Y$139:$Y$288,1,$C$139:$C$288,"&lt;="&amp;E$17,$D$139:$D$288,"&gt;="&amp;E$17))</f>
        <v/>
      </c>
      <c r="BB21" s="31">
        <f>IF($A21="","",SUMIFS($E$139:$E$288,$B$139:$B$288,$A21,$U$139:$U$288,2,$Y$139:$Y$288,1,$C$139:$C$288,"&lt;="&amp;F$17,$D$139:$D$288,"&gt;="&amp;F$17))</f>
        <v/>
      </c>
      <c r="BC21" s="31">
        <f>IF($A21="","",SUMIFS($E$139:$E$288,$B$139:$B$288,$A21,$U$139:$U$288,2,$Y$139:$Y$288,1,$C$139:$C$288,"&lt;="&amp;G$17,$D$139:$D$288,"&gt;="&amp;G$17))</f>
        <v/>
      </c>
      <c r="BD21" s="31">
        <f>IF($A21="","",SUMIFS($E$139:$E$288,$B$139:$B$288,$A21,$U$139:$U$288,2,$Y$139:$Y$288,1,$C$139:$C$288,"&lt;="&amp;H$17,$D$139:$D$288,"&gt;="&amp;H$17))</f>
        <v/>
      </c>
      <c r="BE21" s="31">
        <f>IF($A21="","",SUMIFS($E$139:$E$288,$B$139:$B$288,$A21,$U$139:$U$288,2,$Y$139:$Y$288,1,$C$139:$C$288,"&lt;="&amp;I$17,$D$139:$D$288,"&gt;="&amp;I$17))</f>
        <v/>
      </c>
      <c r="BF21" s="31">
        <f>IF($A21="","",SUMIFS($E$139:$E$288,$B$139:$B$288,$A21,$U$139:$U$288,2,$Y$139:$Y$288,1,$C$139:$C$288,"&lt;="&amp;J$17,$D$139:$D$288,"&gt;="&amp;J$17))</f>
        <v/>
      </c>
      <c r="BG21" s="31">
        <f>IF($A21="","",SUMIFS($E$139:$E$288,$B$139:$B$288,$A21,$U$139:$U$288,2,$Y$139:$Y$288,1,$C$139:$C$288,"&lt;="&amp;K$17,$D$139:$D$288,"&gt;="&amp;K$17))</f>
        <v/>
      </c>
      <c r="BH21" s="31">
        <f>IF($A21="","",SUMIFS($E$139:$E$288,$B$139:$B$288,$A21,$U$139:$U$288,2,$Y$139:$Y$288,1,$C$139:$C$288,"&lt;="&amp;L$17,$D$139:$D$288,"&gt;="&amp;L$17))</f>
        <v/>
      </c>
      <c r="BI21" s="31">
        <f>IF($A21="","",SUMIFS($E$139:$E$288,$B$139:$B$288,$A21,$U$139:$U$288,2,$Y$139:$Y$288,1,$C$139:$C$288,"&lt;="&amp;M$17,$D$139:$D$288,"&gt;="&amp;M$17))</f>
        <v/>
      </c>
      <c r="BJ21" s="31">
        <f>IF($A21="","",SUMIFS($E$139:$E$288,$B$139:$B$288,$A21,$U$139:$U$288,2,$Y$139:$Y$288,1,$C$139:$C$288,"&lt;="&amp;N$17,$D$139:$D$288,"&gt;="&amp;N$17))</f>
        <v/>
      </c>
      <c r="BK21" s="31">
        <f>IF($A21="","",SUMIFS($E$139:$E$288,$B$139:$B$288,$A21,$U$139:$U$288,2,$Y$139:$Y$288,1,$C$139:$C$288,"&lt;="&amp;O$17,$D$139:$D$288,"&gt;="&amp;O$17))</f>
        <v/>
      </c>
      <c r="BL21" s="31">
        <f>IF($A21="","",SUMIFS($E$139:$E$288,$B$139:$B$288,$A21,$U$139:$U$288,2,$Y$139:$Y$288,1,$C$139:$C$288,"&lt;="&amp;P$17,$D$139:$D$288,"&gt;="&amp;P$17))</f>
        <v/>
      </c>
      <c r="BM21" s="31">
        <f>IF(OR($A21="",$D$17=""),0,SUMPRODUCT(($D21:$P21&gt;=0)*(($D21:$P21-$AZ21:$BL21)&lt;0)))</f>
        <v/>
      </c>
      <c r="BN21" s="31">
        <f>IF(IFERROR(INDEX(Register!$A$6:$A$305,ROW()-5),"")="",0,SUMIF($A$139:$A$288,IFERROR(INDEX(Register!$A$6:$A$305,ROW()-5),""),$Z$139:$Z$288))</f>
        <v/>
      </c>
      <c r="BO21" s="31">
        <f>IF(OR(IFERROR(INDEX(Register!$A$6:$A$305,ROW()-5),"")="",SUM($Z$139:$Z$288)=0),0,IF(AND(IFERROR(INDEX(Register!$B$6:$B$305,ROW()-5),"")="Project",IFERROR(INDEX(Register!$D$6:$D$305,ROW()-5),"")="Active",IFERROR(INDEX(Register!$Z$6:$Z$305,ROW()-5),"")=1,$BN21=0),1,0))</f>
        <v/>
      </c>
      <c r="BP21" s="31">
        <f>IF(AND(IFERROR(INDEX(Register!$A$6:$A$305,ROW()-5),"")&lt;&gt;"",IFERROR(INDEX(Register!$D$6:$D$305,ROW()-5),"")="Proposed"),$BN21,0)</f>
        <v/>
      </c>
      <c r="BQ21" s="31">
        <f>IF(OR($A21="",$D$17=""),0,COUNTIF($D21:$P21,"&lt;0"))</f>
        <v/>
      </c>
      <c r="BR21" s="31">
        <f>IF(INDEX($A$63:$A$102,ROW()-6)="","",INDEX($A$63:$A$102,ROW()-6))</f>
        <v/>
      </c>
      <c r="BS21" s="31">
        <f>IF(INDEX($A$63:$A$102,ROW()-6)="","",INDEX($A$63:$A$102,ROW()-6))</f>
        <v/>
      </c>
    </row>
    <row r="22">
      <c r="A22" s="31">
        <f>IF(INDEX($A$63:$A$102,ROW()-17)="","",INDEX($A$63:$A$102,ROW()-17))</f>
        <v/>
      </c>
      <c r="B22" s="31">
        <f>IF(OR($A22="",$D$17=""),"",IF($BQ22=0,"○ Clear","△ "&amp;$BQ22&amp;IF($BQ22=1," week"," weeks")&amp;" over, from "&amp;TEXT(SUMPRODUCT(MIN($D$17:$P$17+($D22:$P22&gt;=0)*100000)),"d mmm")))</f>
        <v/>
      </c>
      <c r="C22" s="32">
        <f>IF($A22="","",IF(AND(ISNUMBER(INDEX($B$63:$B$102,ROW()-17)),INDEX($S$63:$S$102,ROW()-17)=0),INDEX($B$63:$B$102,ROW()-17),IF($C$7="",$B$7,5)))</f>
        <v/>
      </c>
      <c r="D22" s="51">
        <f>IF(OR($A22="",$D$17=""),"",ROUND(Z22-AM22,2))</f>
        <v/>
      </c>
      <c r="E22" s="51">
        <f>IF(OR($A22="",$D$17=""),"",ROUND(AA22-AN22,2))</f>
        <v/>
      </c>
      <c r="F22" s="51">
        <f>IF(OR($A22="",$D$17=""),"",ROUND(AB22-AO22,2))</f>
        <v/>
      </c>
      <c r="G22" s="51">
        <f>IF(OR($A22="",$D$17=""),"",ROUND(AC22-AP22,2))</f>
        <v/>
      </c>
      <c r="H22" s="51">
        <f>IF(OR($A22="",$D$17=""),"",ROUND(AD22-AQ22,2))</f>
        <v/>
      </c>
      <c r="I22" s="51">
        <f>IF(OR($A22="",$D$17=""),"",ROUND(AE22-AR22,2))</f>
        <v/>
      </c>
      <c r="J22" s="51">
        <f>IF(OR($A22="",$D$17=""),"",ROUND(AF22-AS22,2))</f>
        <v/>
      </c>
      <c r="K22" s="51">
        <f>IF(OR($A22="",$D$17=""),"",ROUND(AG22-AT22,2))</f>
        <v/>
      </c>
      <c r="L22" s="51">
        <f>IF(OR($A22="",$D$17=""),"",ROUND(AH22-AU22,2))</f>
        <v/>
      </c>
      <c r="M22" s="51">
        <f>IF(OR($A22="",$D$17=""),"",ROUND(AI22-AV22,2))</f>
        <v/>
      </c>
      <c r="N22" s="51">
        <f>IF(OR($A22="",$D$17=""),"",ROUND(AJ22-AW22,2))</f>
        <v/>
      </c>
      <c r="O22" s="51">
        <f>IF(OR($A22="",$D$17=""),"",ROUND(AK22-AX22,2))</f>
        <v/>
      </c>
      <c r="P22" s="51">
        <f>IF(OR($A22="",$D$17=""),"",ROUND(AL22-AY22,2))</f>
        <v/>
      </c>
      <c r="Q22" s="31">
        <f>IF(OR($A22="",$D$17=""),"",IF(SUM($AZ22:$BL22)=0,"",IF($BM22=0,"Fits","Over in "&amp;$BM22&amp;IF($BM22=1," week"," weeks")&amp;" if approved")))</f>
        <v/>
      </c>
      <c r="Z22" s="31">
        <f>IF(OR($A22="",$D$17=""),"",MAX(0,$C22-SUMIFS($D$106:$D$135,$A$106:$A$135,$A22,$B$106:$B$135,"&lt;="&amp;D$17,$C$106:$C$135,"&gt;="&amp;D$17,$S$106:$S$135,0)-SUMIFS($D$106:$D$135,$A$106:$A$135,"Everyone",$B$106:$B$135,"&lt;="&amp;D$17,$C$106:$C$135,"&gt;="&amp;D$17,$S$106:$S$135,0)))</f>
        <v/>
      </c>
      <c r="AA22" s="31">
        <f>IF(OR($A22="",$D$17=""),"",MAX(0,$C22-SUMIFS($D$106:$D$135,$A$106:$A$135,$A22,$B$106:$B$135,"&lt;="&amp;E$17,$C$106:$C$135,"&gt;="&amp;E$17,$S$106:$S$135,0)-SUMIFS($D$106:$D$135,$A$106:$A$135,"Everyone",$B$106:$B$135,"&lt;="&amp;E$17,$C$106:$C$135,"&gt;="&amp;E$17,$S$106:$S$135,0)))</f>
        <v/>
      </c>
      <c r="AB22" s="31">
        <f>IF(OR($A22="",$D$17=""),"",MAX(0,$C22-SUMIFS($D$106:$D$135,$A$106:$A$135,$A22,$B$106:$B$135,"&lt;="&amp;F$17,$C$106:$C$135,"&gt;="&amp;F$17,$S$106:$S$135,0)-SUMIFS($D$106:$D$135,$A$106:$A$135,"Everyone",$B$106:$B$135,"&lt;="&amp;F$17,$C$106:$C$135,"&gt;="&amp;F$17,$S$106:$S$135,0)))</f>
        <v/>
      </c>
      <c r="AC22" s="31">
        <f>IF(OR($A22="",$D$17=""),"",MAX(0,$C22-SUMIFS($D$106:$D$135,$A$106:$A$135,$A22,$B$106:$B$135,"&lt;="&amp;G$17,$C$106:$C$135,"&gt;="&amp;G$17,$S$106:$S$135,0)-SUMIFS($D$106:$D$135,$A$106:$A$135,"Everyone",$B$106:$B$135,"&lt;="&amp;G$17,$C$106:$C$135,"&gt;="&amp;G$17,$S$106:$S$135,0)))</f>
        <v/>
      </c>
      <c r="AD22" s="31">
        <f>IF(OR($A22="",$D$17=""),"",MAX(0,$C22-SUMIFS($D$106:$D$135,$A$106:$A$135,$A22,$B$106:$B$135,"&lt;="&amp;H$17,$C$106:$C$135,"&gt;="&amp;H$17,$S$106:$S$135,0)-SUMIFS($D$106:$D$135,$A$106:$A$135,"Everyone",$B$106:$B$135,"&lt;="&amp;H$17,$C$106:$C$135,"&gt;="&amp;H$17,$S$106:$S$135,0)))</f>
        <v/>
      </c>
      <c r="AE22" s="31">
        <f>IF(OR($A22="",$D$17=""),"",MAX(0,$C22-SUMIFS($D$106:$D$135,$A$106:$A$135,$A22,$B$106:$B$135,"&lt;="&amp;I$17,$C$106:$C$135,"&gt;="&amp;I$17,$S$106:$S$135,0)-SUMIFS($D$106:$D$135,$A$106:$A$135,"Everyone",$B$106:$B$135,"&lt;="&amp;I$17,$C$106:$C$135,"&gt;="&amp;I$17,$S$106:$S$135,0)))</f>
        <v/>
      </c>
      <c r="AF22" s="31">
        <f>IF(OR($A22="",$D$17=""),"",MAX(0,$C22-SUMIFS($D$106:$D$135,$A$106:$A$135,$A22,$B$106:$B$135,"&lt;="&amp;J$17,$C$106:$C$135,"&gt;="&amp;J$17,$S$106:$S$135,0)-SUMIFS($D$106:$D$135,$A$106:$A$135,"Everyone",$B$106:$B$135,"&lt;="&amp;J$17,$C$106:$C$135,"&gt;="&amp;J$17,$S$106:$S$135,0)))</f>
        <v/>
      </c>
      <c r="AG22" s="31">
        <f>IF(OR($A22="",$D$17=""),"",MAX(0,$C22-SUMIFS($D$106:$D$135,$A$106:$A$135,$A22,$B$106:$B$135,"&lt;="&amp;K$17,$C$106:$C$135,"&gt;="&amp;K$17,$S$106:$S$135,0)-SUMIFS($D$106:$D$135,$A$106:$A$135,"Everyone",$B$106:$B$135,"&lt;="&amp;K$17,$C$106:$C$135,"&gt;="&amp;K$17,$S$106:$S$135,0)))</f>
        <v/>
      </c>
      <c r="AH22" s="31">
        <f>IF(OR($A22="",$D$17=""),"",MAX(0,$C22-SUMIFS($D$106:$D$135,$A$106:$A$135,$A22,$B$106:$B$135,"&lt;="&amp;L$17,$C$106:$C$135,"&gt;="&amp;L$17,$S$106:$S$135,0)-SUMIFS($D$106:$D$135,$A$106:$A$135,"Everyone",$B$106:$B$135,"&lt;="&amp;L$17,$C$106:$C$135,"&gt;="&amp;L$17,$S$106:$S$135,0)))</f>
        <v/>
      </c>
      <c r="AI22" s="31">
        <f>IF(OR($A22="",$D$17=""),"",MAX(0,$C22-SUMIFS($D$106:$D$135,$A$106:$A$135,$A22,$B$106:$B$135,"&lt;="&amp;M$17,$C$106:$C$135,"&gt;="&amp;M$17,$S$106:$S$135,0)-SUMIFS($D$106:$D$135,$A$106:$A$135,"Everyone",$B$106:$B$135,"&lt;="&amp;M$17,$C$106:$C$135,"&gt;="&amp;M$17,$S$106:$S$135,0)))</f>
        <v/>
      </c>
      <c r="AJ22" s="31">
        <f>IF(OR($A22="",$D$17=""),"",MAX(0,$C22-SUMIFS($D$106:$D$135,$A$106:$A$135,$A22,$B$106:$B$135,"&lt;="&amp;N$17,$C$106:$C$135,"&gt;="&amp;N$17,$S$106:$S$135,0)-SUMIFS($D$106:$D$135,$A$106:$A$135,"Everyone",$B$106:$B$135,"&lt;="&amp;N$17,$C$106:$C$135,"&gt;="&amp;N$17,$S$106:$S$135,0)))</f>
        <v/>
      </c>
      <c r="AK22" s="31">
        <f>IF(OR($A22="",$D$17=""),"",MAX(0,$C22-SUMIFS($D$106:$D$135,$A$106:$A$135,$A22,$B$106:$B$135,"&lt;="&amp;O$17,$C$106:$C$135,"&gt;="&amp;O$17,$S$106:$S$135,0)-SUMIFS($D$106:$D$135,$A$106:$A$135,"Everyone",$B$106:$B$135,"&lt;="&amp;O$17,$C$106:$C$135,"&gt;="&amp;O$17,$S$106:$S$135,0)))</f>
        <v/>
      </c>
      <c r="AL22" s="31">
        <f>IF(OR($A22="",$D$17=""),"",MAX(0,$C22-SUMIFS($D$106:$D$135,$A$106:$A$135,$A22,$B$106:$B$135,"&lt;="&amp;P$17,$C$106:$C$135,"&gt;="&amp;P$17,$S$106:$S$135,0)-SUMIFS($D$106:$D$135,$A$106:$A$135,"Everyone",$B$106:$B$135,"&lt;="&amp;P$17,$C$106:$C$135,"&gt;="&amp;P$17,$S$106:$S$135,0)))</f>
        <v/>
      </c>
      <c r="AM22" s="31">
        <f>IF($A22="","",SUMIFS($E$139:$E$288,$B$139:$B$288,$A22,$U$139:$U$288,1,$Y$139:$Y$288,1,$C$139:$C$288,"&lt;="&amp;D$17,$D$139:$D$288,"&gt;="&amp;D$17))</f>
        <v/>
      </c>
      <c r="AN22" s="31">
        <f>IF($A22="","",SUMIFS($E$139:$E$288,$B$139:$B$288,$A22,$U$139:$U$288,1,$Y$139:$Y$288,1,$C$139:$C$288,"&lt;="&amp;E$17,$D$139:$D$288,"&gt;="&amp;E$17))</f>
        <v/>
      </c>
      <c r="AO22" s="31">
        <f>IF($A22="","",SUMIFS($E$139:$E$288,$B$139:$B$288,$A22,$U$139:$U$288,1,$Y$139:$Y$288,1,$C$139:$C$288,"&lt;="&amp;F$17,$D$139:$D$288,"&gt;="&amp;F$17))</f>
        <v/>
      </c>
      <c r="AP22" s="31">
        <f>IF($A22="","",SUMIFS($E$139:$E$288,$B$139:$B$288,$A22,$U$139:$U$288,1,$Y$139:$Y$288,1,$C$139:$C$288,"&lt;="&amp;G$17,$D$139:$D$288,"&gt;="&amp;G$17))</f>
        <v/>
      </c>
      <c r="AQ22" s="31">
        <f>IF($A22="","",SUMIFS($E$139:$E$288,$B$139:$B$288,$A22,$U$139:$U$288,1,$Y$139:$Y$288,1,$C$139:$C$288,"&lt;="&amp;H$17,$D$139:$D$288,"&gt;="&amp;H$17))</f>
        <v/>
      </c>
      <c r="AR22" s="31">
        <f>IF($A22="","",SUMIFS($E$139:$E$288,$B$139:$B$288,$A22,$U$139:$U$288,1,$Y$139:$Y$288,1,$C$139:$C$288,"&lt;="&amp;I$17,$D$139:$D$288,"&gt;="&amp;I$17))</f>
        <v/>
      </c>
      <c r="AS22" s="31">
        <f>IF($A22="","",SUMIFS($E$139:$E$288,$B$139:$B$288,$A22,$U$139:$U$288,1,$Y$139:$Y$288,1,$C$139:$C$288,"&lt;="&amp;J$17,$D$139:$D$288,"&gt;="&amp;J$17))</f>
        <v/>
      </c>
      <c r="AT22" s="31">
        <f>IF($A22="","",SUMIFS($E$139:$E$288,$B$139:$B$288,$A22,$U$139:$U$288,1,$Y$139:$Y$288,1,$C$139:$C$288,"&lt;="&amp;K$17,$D$139:$D$288,"&gt;="&amp;K$17))</f>
        <v/>
      </c>
      <c r="AU22" s="31">
        <f>IF($A22="","",SUMIFS($E$139:$E$288,$B$139:$B$288,$A22,$U$139:$U$288,1,$Y$139:$Y$288,1,$C$139:$C$288,"&lt;="&amp;L$17,$D$139:$D$288,"&gt;="&amp;L$17))</f>
        <v/>
      </c>
      <c r="AV22" s="31">
        <f>IF($A22="","",SUMIFS($E$139:$E$288,$B$139:$B$288,$A22,$U$139:$U$288,1,$Y$139:$Y$288,1,$C$139:$C$288,"&lt;="&amp;M$17,$D$139:$D$288,"&gt;="&amp;M$17))</f>
        <v/>
      </c>
      <c r="AW22" s="31">
        <f>IF($A22="","",SUMIFS($E$139:$E$288,$B$139:$B$288,$A22,$U$139:$U$288,1,$Y$139:$Y$288,1,$C$139:$C$288,"&lt;="&amp;N$17,$D$139:$D$288,"&gt;="&amp;N$17))</f>
        <v/>
      </c>
      <c r="AX22" s="31">
        <f>IF($A22="","",SUMIFS($E$139:$E$288,$B$139:$B$288,$A22,$U$139:$U$288,1,$Y$139:$Y$288,1,$C$139:$C$288,"&lt;="&amp;O$17,$D$139:$D$288,"&gt;="&amp;O$17))</f>
        <v/>
      </c>
      <c r="AY22" s="31">
        <f>IF($A22="","",SUMIFS($E$139:$E$288,$B$139:$B$288,$A22,$U$139:$U$288,1,$Y$139:$Y$288,1,$C$139:$C$288,"&lt;="&amp;P$17,$D$139:$D$288,"&gt;="&amp;P$17))</f>
        <v/>
      </c>
      <c r="AZ22" s="31">
        <f>IF($A22="","",SUMIFS($E$139:$E$288,$B$139:$B$288,$A22,$U$139:$U$288,2,$Y$139:$Y$288,1,$C$139:$C$288,"&lt;="&amp;D$17,$D$139:$D$288,"&gt;="&amp;D$17))</f>
        <v/>
      </c>
      <c r="BA22" s="31">
        <f>IF($A22="","",SUMIFS($E$139:$E$288,$B$139:$B$288,$A22,$U$139:$U$288,2,$Y$139:$Y$288,1,$C$139:$C$288,"&lt;="&amp;E$17,$D$139:$D$288,"&gt;="&amp;E$17))</f>
        <v/>
      </c>
      <c r="BB22" s="31">
        <f>IF($A22="","",SUMIFS($E$139:$E$288,$B$139:$B$288,$A22,$U$139:$U$288,2,$Y$139:$Y$288,1,$C$139:$C$288,"&lt;="&amp;F$17,$D$139:$D$288,"&gt;="&amp;F$17))</f>
        <v/>
      </c>
      <c r="BC22" s="31">
        <f>IF($A22="","",SUMIFS($E$139:$E$288,$B$139:$B$288,$A22,$U$139:$U$288,2,$Y$139:$Y$288,1,$C$139:$C$288,"&lt;="&amp;G$17,$D$139:$D$288,"&gt;="&amp;G$17))</f>
        <v/>
      </c>
      <c r="BD22" s="31">
        <f>IF($A22="","",SUMIFS($E$139:$E$288,$B$139:$B$288,$A22,$U$139:$U$288,2,$Y$139:$Y$288,1,$C$139:$C$288,"&lt;="&amp;H$17,$D$139:$D$288,"&gt;="&amp;H$17))</f>
        <v/>
      </c>
      <c r="BE22" s="31">
        <f>IF($A22="","",SUMIFS($E$139:$E$288,$B$139:$B$288,$A22,$U$139:$U$288,2,$Y$139:$Y$288,1,$C$139:$C$288,"&lt;="&amp;I$17,$D$139:$D$288,"&gt;="&amp;I$17))</f>
        <v/>
      </c>
      <c r="BF22" s="31">
        <f>IF($A22="","",SUMIFS($E$139:$E$288,$B$139:$B$288,$A22,$U$139:$U$288,2,$Y$139:$Y$288,1,$C$139:$C$288,"&lt;="&amp;J$17,$D$139:$D$288,"&gt;="&amp;J$17))</f>
        <v/>
      </c>
      <c r="BG22" s="31">
        <f>IF($A22="","",SUMIFS($E$139:$E$288,$B$139:$B$288,$A22,$U$139:$U$288,2,$Y$139:$Y$288,1,$C$139:$C$288,"&lt;="&amp;K$17,$D$139:$D$288,"&gt;="&amp;K$17))</f>
        <v/>
      </c>
      <c r="BH22" s="31">
        <f>IF($A22="","",SUMIFS($E$139:$E$288,$B$139:$B$288,$A22,$U$139:$U$288,2,$Y$139:$Y$288,1,$C$139:$C$288,"&lt;="&amp;L$17,$D$139:$D$288,"&gt;="&amp;L$17))</f>
        <v/>
      </c>
      <c r="BI22" s="31">
        <f>IF($A22="","",SUMIFS($E$139:$E$288,$B$139:$B$288,$A22,$U$139:$U$288,2,$Y$139:$Y$288,1,$C$139:$C$288,"&lt;="&amp;M$17,$D$139:$D$288,"&gt;="&amp;M$17))</f>
        <v/>
      </c>
      <c r="BJ22" s="31">
        <f>IF($A22="","",SUMIFS($E$139:$E$288,$B$139:$B$288,$A22,$U$139:$U$288,2,$Y$139:$Y$288,1,$C$139:$C$288,"&lt;="&amp;N$17,$D$139:$D$288,"&gt;="&amp;N$17))</f>
        <v/>
      </c>
      <c r="BK22" s="31">
        <f>IF($A22="","",SUMIFS($E$139:$E$288,$B$139:$B$288,$A22,$U$139:$U$288,2,$Y$139:$Y$288,1,$C$139:$C$288,"&lt;="&amp;O$17,$D$139:$D$288,"&gt;="&amp;O$17))</f>
        <v/>
      </c>
      <c r="BL22" s="31">
        <f>IF($A22="","",SUMIFS($E$139:$E$288,$B$139:$B$288,$A22,$U$139:$U$288,2,$Y$139:$Y$288,1,$C$139:$C$288,"&lt;="&amp;P$17,$D$139:$D$288,"&gt;="&amp;P$17))</f>
        <v/>
      </c>
      <c r="BM22" s="31">
        <f>IF(OR($A22="",$D$17=""),0,SUMPRODUCT(($D22:$P22&gt;=0)*(($D22:$P22-$AZ22:$BL22)&lt;0)))</f>
        <v/>
      </c>
      <c r="BN22" s="31">
        <f>IF(IFERROR(INDEX(Register!$A$6:$A$305,ROW()-5),"")="",0,SUMIF($A$139:$A$288,IFERROR(INDEX(Register!$A$6:$A$305,ROW()-5),""),$Z$139:$Z$288))</f>
        <v/>
      </c>
      <c r="BO22" s="31">
        <f>IF(OR(IFERROR(INDEX(Register!$A$6:$A$305,ROW()-5),"")="",SUM($Z$139:$Z$288)=0),0,IF(AND(IFERROR(INDEX(Register!$B$6:$B$305,ROW()-5),"")="Project",IFERROR(INDEX(Register!$D$6:$D$305,ROW()-5),"")="Active",IFERROR(INDEX(Register!$Z$6:$Z$305,ROW()-5),"")=1,$BN22=0),1,0))</f>
        <v/>
      </c>
      <c r="BP22" s="31">
        <f>IF(AND(IFERROR(INDEX(Register!$A$6:$A$305,ROW()-5),"")&lt;&gt;"",IFERROR(INDEX(Register!$D$6:$D$305,ROW()-5),"")="Proposed"),$BN22,0)</f>
        <v/>
      </c>
      <c r="BQ22" s="31">
        <f>IF(OR($A22="",$D$17=""),0,COUNTIF($D22:$P22,"&lt;0"))</f>
        <v/>
      </c>
      <c r="BR22" s="31">
        <f>IF(INDEX($A$63:$A$102,ROW()-6)="","",INDEX($A$63:$A$102,ROW()-6))</f>
        <v/>
      </c>
      <c r="BS22" s="31">
        <f>IF(INDEX($A$63:$A$102,ROW()-6)="","",INDEX($A$63:$A$102,ROW()-6))</f>
        <v/>
      </c>
    </row>
    <row r="23">
      <c r="A23" s="31">
        <f>IF(INDEX($A$63:$A$102,ROW()-17)="","",INDEX($A$63:$A$102,ROW()-17))</f>
        <v/>
      </c>
      <c r="B23" s="31">
        <f>IF(OR($A23="",$D$17=""),"",IF($BQ23=0,"○ Clear","△ "&amp;$BQ23&amp;IF($BQ23=1," week"," weeks")&amp;" over, from "&amp;TEXT(SUMPRODUCT(MIN($D$17:$P$17+($D23:$P23&gt;=0)*100000)),"d mmm")))</f>
        <v/>
      </c>
      <c r="C23" s="32">
        <f>IF($A23="","",IF(AND(ISNUMBER(INDEX($B$63:$B$102,ROW()-17)),INDEX($S$63:$S$102,ROW()-17)=0),INDEX($B$63:$B$102,ROW()-17),IF($C$7="",$B$7,5)))</f>
        <v/>
      </c>
      <c r="D23" s="51">
        <f>IF(OR($A23="",$D$17=""),"",ROUND(Z23-AM23,2))</f>
        <v/>
      </c>
      <c r="E23" s="51">
        <f>IF(OR($A23="",$D$17=""),"",ROUND(AA23-AN23,2))</f>
        <v/>
      </c>
      <c r="F23" s="51">
        <f>IF(OR($A23="",$D$17=""),"",ROUND(AB23-AO23,2))</f>
        <v/>
      </c>
      <c r="G23" s="51">
        <f>IF(OR($A23="",$D$17=""),"",ROUND(AC23-AP23,2))</f>
        <v/>
      </c>
      <c r="H23" s="51">
        <f>IF(OR($A23="",$D$17=""),"",ROUND(AD23-AQ23,2))</f>
        <v/>
      </c>
      <c r="I23" s="51">
        <f>IF(OR($A23="",$D$17=""),"",ROUND(AE23-AR23,2))</f>
        <v/>
      </c>
      <c r="J23" s="51">
        <f>IF(OR($A23="",$D$17=""),"",ROUND(AF23-AS23,2))</f>
        <v/>
      </c>
      <c r="K23" s="51">
        <f>IF(OR($A23="",$D$17=""),"",ROUND(AG23-AT23,2))</f>
        <v/>
      </c>
      <c r="L23" s="51">
        <f>IF(OR($A23="",$D$17=""),"",ROUND(AH23-AU23,2))</f>
        <v/>
      </c>
      <c r="M23" s="51">
        <f>IF(OR($A23="",$D$17=""),"",ROUND(AI23-AV23,2))</f>
        <v/>
      </c>
      <c r="N23" s="51">
        <f>IF(OR($A23="",$D$17=""),"",ROUND(AJ23-AW23,2))</f>
        <v/>
      </c>
      <c r="O23" s="51">
        <f>IF(OR($A23="",$D$17=""),"",ROUND(AK23-AX23,2))</f>
        <v/>
      </c>
      <c r="P23" s="51">
        <f>IF(OR($A23="",$D$17=""),"",ROUND(AL23-AY23,2))</f>
        <v/>
      </c>
      <c r="Q23" s="31">
        <f>IF(OR($A23="",$D$17=""),"",IF(SUM($AZ23:$BL23)=0,"",IF($BM23=0,"Fits","Over in "&amp;$BM23&amp;IF($BM23=1," week"," weeks")&amp;" if approved")))</f>
        <v/>
      </c>
      <c r="Z23" s="31">
        <f>IF(OR($A23="",$D$17=""),"",MAX(0,$C23-SUMIFS($D$106:$D$135,$A$106:$A$135,$A23,$B$106:$B$135,"&lt;="&amp;D$17,$C$106:$C$135,"&gt;="&amp;D$17,$S$106:$S$135,0)-SUMIFS($D$106:$D$135,$A$106:$A$135,"Everyone",$B$106:$B$135,"&lt;="&amp;D$17,$C$106:$C$135,"&gt;="&amp;D$17,$S$106:$S$135,0)))</f>
        <v/>
      </c>
      <c r="AA23" s="31">
        <f>IF(OR($A23="",$D$17=""),"",MAX(0,$C23-SUMIFS($D$106:$D$135,$A$106:$A$135,$A23,$B$106:$B$135,"&lt;="&amp;E$17,$C$106:$C$135,"&gt;="&amp;E$17,$S$106:$S$135,0)-SUMIFS($D$106:$D$135,$A$106:$A$135,"Everyone",$B$106:$B$135,"&lt;="&amp;E$17,$C$106:$C$135,"&gt;="&amp;E$17,$S$106:$S$135,0)))</f>
        <v/>
      </c>
      <c r="AB23" s="31">
        <f>IF(OR($A23="",$D$17=""),"",MAX(0,$C23-SUMIFS($D$106:$D$135,$A$106:$A$135,$A23,$B$106:$B$135,"&lt;="&amp;F$17,$C$106:$C$135,"&gt;="&amp;F$17,$S$106:$S$135,0)-SUMIFS($D$106:$D$135,$A$106:$A$135,"Everyone",$B$106:$B$135,"&lt;="&amp;F$17,$C$106:$C$135,"&gt;="&amp;F$17,$S$106:$S$135,0)))</f>
        <v/>
      </c>
      <c r="AC23" s="31">
        <f>IF(OR($A23="",$D$17=""),"",MAX(0,$C23-SUMIFS($D$106:$D$135,$A$106:$A$135,$A23,$B$106:$B$135,"&lt;="&amp;G$17,$C$106:$C$135,"&gt;="&amp;G$17,$S$106:$S$135,0)-SUMIFS($D$106:$D$135,$A$106:$A$135,"Everyone",$B$106:$B$135,"&lt;="&amp;G$17,$C$106:$C$135,"&gt;="&amp;G$17,$S$106:$S$135,0)))</f>
        <v/>
      </c>
      <c r="AD23" s="31">
        <f>IF(OR($A23="",$D$17=""),"",MAX(0,$C23-SUMIFS($D$106:$D$135,$A$106:$A$135,$A23,$B$106:$B$135,"&lt;="&amp;H$17,$C$106:$C$135,"&gt;="&amp;H$17,$S$106:$S$135,0)-SUMIFS($D$106:$D$135,$A$106:$A$135,"Everyone",$B$106:$B$135,"&lt;="&amp;H$17,$C$106:$C$135,"&gt;="&amp;H$17,$S$106:$S$135,0)))</f>
        <v/>
      </c>
      <c r="AE23" s="31">
        <f>IF(OR($A23="",$D$17=""),"",MAX(0,$C23-SUMIFS($D$106:$D$135,$A$106:$A$135,$A23,$B$106:$B$135,"&lt;="&amp;I$17,$C$106:$C$135,"&gt;="&amp;I$17,$S$106:$S$135,0)-SUMIFS($D$106:$D$135,$A$106:$A$135,"Everyone",$B$106:$B$135,"&lt;="&amp;I$17,$C$106:$C$135,"&gt;="&amp;I$17,$S$106:$S$135,0)))</f>
        <v/>
      </c>
      <c r="AF23" s="31">
        <f>IF(OR($A23="",$D$17=""),"",MAX(0,$C23-SUMIFS($D$106:$D$135,$A$106:$A$135,$A23,$B$106:$B$135,"&lt;="&amp;J$17,$C$106:$C$135,"&gt;="&amp;J$17,$S$106:$S$135,0)-SUMIFS($D$106:$D$135,$A$106:$A$135,"Everyone",$B$106:$B$135,"&lt;="&amp;J$17,$C$106:$C$135,"&gt;="&amp;J$17,$S$106:$S$135,0)))</f>
        <v/>
      </c>
      <c r="AG23" s="31">
        <f>IF(OR($A23="",$D$17=""),"",MAX(0,$C23-SUMIFS($D$106:$D$135,$A$106:$A$135,$A23,$B$106:$B$135,"&lt;="&amp;K$17,$C$106:$C$135,"&gt;="&amp;K$17,$S$106:$S$135,0)-SUMIFS($D$106:$D$135,$A$106:$A$135,"Everyone",$B$106:$B$135,"&lt;="&amp;K$17,$C$106:$C$135,"&gt;="&amp;K$17,$S$106:$S$135,0)))</f>
        <v/>
      </c>
      <c r="AH23" s="31">
        <f>IF(OR($A23="",$D$17=""),"",MAX(0,$C23-SUMIFS($D$106:$D$135,$A$106:$A$135,$A23,$B$106:$B$135,"&lt;="&amp;L$17,$C$106:$C$135,"&gt;="&amp;L$17,$S$106:$S$135,0)-SUMIFS($D$106:$D$135,$A$106:$A$135,"Everyone",$B$106:$B$135,"&lt;="&amp;L$17,$C$106:$C$135,"&gt;="&amp;L$17,$S$106:$S$135,0)))</f>
        <v/>
      </c>
      <c r="AI23" s="31">
        <f>IF(OR($A23="",$D$17=""),"",MAX(0,$C23-SUMIFS($D$106:$D$135,$A$106:$A$135,$A23,$B$106:$B$135,"&lt;="&amp;M$17,$C$106:$C$135,"&gt;="&amp;M$17,$S$106:$S$135,0)-SUMIFS($D$106:$D$135,$A$106:$A$135,"Everyone",$B$106:$B$135,"&lt;="&amp;M$17,$C$106:$C$135,"&gt;="&amp;M$17,$S$106:$S$135,0)))</f>
        <v/>
      </c>
      <c r="AJ23" s="31">
        <f>IF(OR($A23="",$D$17=""),"",MAX(0,$C23-SUMIFS($D$106:$D$135,$A$106:$A$135,$A23,$B$106:$B$135,"&lt;="&amp;N$17,$C$106:$C$135,"&gt;="&amp;N$17,$S$106:$S$135,0)-SUMIFS($D$106:$D$135,$A$106:$A$135,"Everyone",$B$106:$B$135,"&lt;="&amp;N$17,$C$106:$C$135,"&gt;="&amp;N$17,$S$106:$S$135,0)))</f>
        <v/>
      </c>
      <c r="AK23" s="31">
        <f>IF(OR($A23="",$D$17=""),"",MAX(0,$C23-SUMIFS($D$106:$D$135,$A$106:$A$135,$A23,$B$106:$B$135,"&lt;="&amp;O$17,$C$106:$C$135,"&gt;="&amp;O$17,$S$106:$S$135,0)-SUMIFS($D$106:$D$135,$A$106:$A$135,"Everyone",$B$106:$B$135,"&lt;="&amp;O$17,$C$106:$C$135,"&gt;="&amp;O$17,$S$106:$S$135,0)))</f>
        <v/>
      </c>
      <c r="AL23" s="31">
        <f>IF(OR($A23="",$D$17=""),"",MAX(0,$C23-SUMIFS($D$106:$D$135,$A$106:$A$135,$A23,$B$106:$B$135,"&lt;="&amp;P$17,$C$106:$C$135,"&gt;="&amp;P$17,$S$106:$S$135,0)-SUMIFS($D$106:$D$135,$A$106:$A$135,"Everyone",$B$106:$B$135,"&lt;="&amp;P$17,$C$106:$C$135,"&gt;="&amp;P$17,$S$106:$S$135,0)))</f>
        <v/>
      </c>
      <c r="AM23" s="31">
        <f>IF($A23="","",SUMIFS($E$139:$E$288,$B$139:$B$288,$A23,$U$139:$U$288,1,$Y$139:$Y$288,1,$C$139:$C$288,"&lt;="&amp;D$17,$D$139:$D$288,"&gt;="&amp;D$17))</f>
        <v/>
      </c>
      <c r="AN23" s="31">
        <f>IF($A23="","",SUMIFS($E$139:$E$288,$B$139:$B$288,$A23,$U$139:$U$288,1,$Y$139:$Y$288,1,$C$139:$C$288,"&lt;="&amp;E$17,$D$139:$D$288,"&gt;="&amp;E$17))</f>
        <v/>
      </c>
      <c r="AO23" s="31">
        <f>IF($A23="","",SUMIFS($E$139:$E$288,$B$139:$B$288,$A23,$U$139:$U$288,1,$Y$139:$Y$288,1,$C$139:$C$288,"&lt;="&amp;F$17,$D$139:$D$288,"&gt;="&amp;F$17))</f>
        <v/>
      </c>
      <c r="AP23" s="31">
        <f>IF($A23="","",SUMIFS($E$139:$E$288,$B$139:$B$288,$A23,$U$139:$U$288,1,$Y$139:$Y$288,1,$C$139:$C$288,"&lt;="&amp;G$17,$D$139:$D$288,"&gt;="&amp;G$17))</f>
        <v/>
      </c>
      <c r="AQ23" s="31">
        <f>IF($A23="","",SUMIFS($E$139:$E$288,$B$139:$B$288,$A23,$U$139:$U$288,1,$Y$139:$Y$288,1,$C$139:$C$288,"&lt;="&amp;H$17,$D$139:$D$288,"&gt;="&amp;H$17))</f>
        <v/>
      </c>
      <c r="AR23" s="31">
        <f>IF($A23="","",SUMIFS($E$139:$E$288,$B$139:$B$288,$A23,$U$139:$U$288,1,$Y$139:$Y$288,1,$C$139:$C$288,"&lt;="&amp;I$17,$D$139:$D$288,"&gt;="&amp;I$17))</f>
        <v/>
      </c>
      <c r="AS23" s="31">
        <f>IF($A23="","",SUMIFS($E$139:$E$288,$B$139:$B$288,$A23,$U$139:$U$288,1,$Y$139:$Y$288,1,$C$139:$C$288,"&lt;="&amp;J$17,$D$139:$D$288,"&gt;="&amp;J$17))</f>
        <v/>
      </c>
      <c r="AT23" s="31">
        <f>IF($A23="","",SUMIFS($E$139:$E$288,$B$139:$B$288,$A23,$U$139:$U$288,1,$Y$139:$Y$288,1,$C$139:$C$288,"&lt;="&amp;K$17,$D$139:$D$288,"&gt;="&amp;K$17))</f>
        <v/>
      </c>
      <c r="AU23" s="31">
        <f>IF($A23="","",SUMIFS($E$139:$E$288,$B$139:$B$288,$A23,$U$139:$U$288,1,$Y$139:$Y$288,1,$C$139:$C$288,"&lt;="&amp;L$17,$D$139:$D$288,"&gt;="&amp;L$17))</f>
        <v/>
      </c>
      <c r="AV23" s="31">
        <f>IF($A23="","",SUMIFS($E$139:$E$288,$B$139:$B$288,$A23,$U$139:$U$288,1,$Y$139:$Y$288,1,$C$139:$C$288,"&lt;="&amp;M$17,$D$139:$D$288,"&gt;="&amp;M$17))</f>
        <v/>
      </c>
      <c r="AW23" s="31">
        <f>IF($A23="","",SUMIFS($E$139:$E$288,$B$139:$B$288,$A23,$U$139:$U$288,1,$Y$139:$Y$288,1,$C$139:$C$288,"&lt;="&amp;N$17,$D$139:$D$288,"&gt;="&amp;N$17))</f>
        <v/>
      </c>
      <c r="AX23" s="31">
        <f>IF($A23="","",SUMIFS($E$139:$E$288,$B$139:$B$288,$A23,$U$139:$U$288,1,$Y$139:$Y$288,1,$C$139:$C$288,"&lt;="&amp;O$17,$D$139:$D$288,"&gt;="&amp;O$17))</f>
        <v/>
      </c>
      <c r="AY23" s="31">
        <f>IF($A23="","",SUMIFS($E$139:$E$288,$B$139:$B$288,$A23,$U$139:$U$288,1,$Y$139:$Y$288,1,$C$139:$C$288,"&lt;="&amp;P$17,$D$139:$D$288,"&gt;="&amp;P$17))</f>
        <v/>
      </c>
      <c r="AZ23" s="31">
        <f>IF($A23="","",SUMIFS($E$139:$E$288,$B$139:$B$288,$A23,$U$139:$U$288,2,$Y$139:$Y$288,1,$C$139:$C$288,"&lt;="&amp;D$17,$D$139:$D$288,"&gt;="&amp;D$17))</f>
        <v/>
      </c>
      <c r="BA23" s="31">
        <f>IF($A23="","",SUMIFS($E$139:$E$288,$B$139:$B$288,$A23,$U$139:$U$288,2,$Y$139:$Y$288,1,$C$139:$C$288,"&lt;="&amp;E$17,$D$139:$D$288,"&gt;="&amp;E$17))</f>
        <v/>
      </c>
      <c r="BB23" s="31">
        <f>IF($A23="","",SUMIFS($E$139:$E$288,$B$139:$B$288,$A23,$U$139:$U$288,2,$Y$139:$Y$288,1,$C$139:$C$288,"&lt;="&amp;F$17,$D$139:$D$288,"&gt;="&amp;F$17))</f>
        <v/>
      </c>
      <c r="BC23" s="31">
        <f>IF($A23="","",SUMIFS($E$139:$E$288,$B$139:$B$288,$A23,$U$139:$U$288,2,$Y$139:$Y$288,1,$C$139:$C$288,"&lt;="&amp;G$17,$D$139:$D$288,"&gt;="&amp;G$17))</f>
        <v/>
      </c>
      <c r="BD23" s="31">
        <f>IF($A23="","",SUMIFS($E$139:$E$288,$B$139:$B$288,$A23,$U$139:$U$288,2,$Y$139:$Y$288,1,$C$139:$C$288,"&lt;="&amp;H$17,$D$139:$D$288,"&gt;="&amp;H$17))</f>
        <v/>
      </c>
      <c r="BE23" s="31">
        <f>IF($A23="","",SUMIFS($E$139:$E$288,$B$139:$B$288,$A23,$U$139:$U$288,2,$Y$139:$Y$288,1,$C$139:$C$288,"&lt;="&amp;I$17,$D$139:$D$288,"&gt;="&amp;I$17))</f>
        <v/>
      </c>
      <c r="BF23" s="31">
        <f>IF($A23="","",SUMIFS($E$139:$E$288,$B$139:$B$288,$A23,$U$139:$U$288,2,$Y$139:$Y$288,1,$C$139:$C$288,"&lt;="&amp;J$17,$D$139:$D$288,"&gt;="&amp;J$17))</f>
        <v/>
      </c>
      <c r="BG23" s="31">
        <f>IF($A23="","",SUMIFS($E$139:$E$288,$B$139:$B$288,$A23,$U$139:$U$288,2,$Y$139:$Y$288,1,$C$139:$C$288,"&lt;="&amp;K$17,$D$139:$D$288,"&gt;="&amp;K$17))</f>
        <v/>
      </c>
      <c r="BH23" s="31">
        <f>IF($A23="","",SUMIFS($E$139:$E$288,$B$139:$B$288,$A23,$U$139:$U$288,2,$Y$139:$Y$288,1,$C$139:$C$288,"&lt;="&amp;L$17,$D$139:$D$288,"&gt;="&amp;L$17))</f>
        <v/>
      </c>
      <c r="BI23" s="31">
        <f>IF($A23="","",SUMIFS($E$139:$E$288,$B$139:$B$288,$A23,$U$139:$U$288,2,$Y$139:$Y$288,1,$C$139:$C$288,"&lt;="&amp;M$17,$D$139:$D$288,"&gt;="&amp;M$17))</f>
        <v/>
      </c>
      <c r="BJ23" s="31">
        <f>IF($A23="","",SUMIFS($E$139:$E$288,$B$139:$B$288,$A23,$U$139:$U$288,2,$Y$139:$Y$288,1,$C$139:$C$288,"&lt;="&amp;N$17,$D$139:$D$288,"&gt;="&amp;N$17))</f>
        <v/>
      </c>
      <c r="BK23" s="31">
        <f>IF($A23="","",SUMIFS($E$139:$E$288,$B$139:$B$288,$A23,$U$139:$U$288,2,$Y$139:$Y$288,1,$C$139:$C$288,"&lt;="&amp;O$17,$D$139:$D$288,"&gt;="&amp;O$17))</f>
        <v/>
      </c>
      <c r="BL23" s="31">
        <f>IF($A23="","",SUMIFS($E$139:$E$288,$B$139:$B$288,$A23,$U$139:$U$288,2,$Y$139:$Y$288,1,$C$139:$C$288,"&lt;="&amp;P$17,$D$139:$D$288,"&gt;="&amp;P$17))</f>
        <v/>
      </c>
      <c r="BM23" s="31">
        <f>IF(OR($A23="",$D$17=""),0,SUMPRODUCT(($D23:$P23&gt;=0)*(($D23:$P23-$AZ23:$BL23)&lt;0)))</f>
        <v/>
      </c>
      <c r="BN23" s="31">
        <f>IF(IFERROR(INDEX(Register!$A$6:$A$305,ROW()-5),"")="",0,SUMIF($A$139:$A$288,IFERROR(INDEX(Register!$A$6:$A$305,ROW()-5),""),$Z$139:$Z$288))</f>
        <v/>
      </c>
      <c r="BO23" s="31">
        <f>IF(OR(IFERROR(INDEX(Register!$A$6:$A$305,ROW()-5),"")="",SUM($Z$139:$Z$288)=0),0,IF(AND(IFERROR(INDEX(Register!$B$6:$B$305,ROW()-5),"")="Project",IFERROR(INDEX(Register!$D$6:$D$305,ROW()-5),"")="Active",IFERROR(INDEX(Register!$Z$6:$Z$305,ROW()-5),"")=1,$BN23=0),1,0))</f>
        <v/>
      </c>
      <c r="BP23" s="31">
        <f>IF(AND(IFERROR(INDEX(Register!$A$6:$A$305,ROW()-5),"")&lt;&gt;"",IFERROR(INDEX(Register!$D$6:$D$305,ROW()-5),"")="Proposed"),$BN23,0)</f>
        <v/>
      </c>
      <c r="BQ23" s="31">
        <f>IF(OR($A23="",$D$17=""),0,COUNTIF($D23:$P23,"&lt;0"))</f>
        <v/>
      </c>
      <c r="BR23" s="31">
        <f>IF(INDEX($A$63:$A$102,ROW()-6)="","",INDEX($A$63:$A$102,ROW()-6))</f>
        <v/>
      </c>
      <c r="BS23" s="31">
        <f>IF(INDEX($A$63:$A$102,ROW()-6)="","",INDEX($A$63:$A$102,ROW()-6))</f>
        <v/>
      </c>
    </row>
    <row r="24">
      <c r="A24" s="31">
        <f>IF(INDEX($A$63:$A$102,ROW()-17)="","",INDEX($A$63:$A$102,ROW()-17))</f>
        <v/>
      </c>
      <c r="B24" s="31">
        <f>IF(OR($A24="",$D$17=""),"",IF($BQ24=0,"○ Clear","△ "&amp;$BQ24&amp;IF($BQ24=1," week"," weeks")&amp;" over, from "&amp;TEXT(SUMPRODUCT(MIN($D$17:$P$17+($D24:$P24&gt;=0)*100000)),"d mmm")))</f>
        <v/>
      </c>
      <c r="C24" s="32">
        <f>IF($A24="","",IF(AND(ISNUMBER(INDEX($B$63:$B$102,ROW()-17)),INDEX($S$63:$S$102,ROW()-17)=0),INDEX($B$63:$B$102,ROW()-17),IF($C$7="",$B$7,5)))</f>
        <v/>
      </c>
      <c r="D24" s="51">
        <f>IF(OR($A24="",$D$17=""),"",ROUND(Z24-AM24,2))</f>
        <v/>
      </c>
      <c r="E24" s="51">
        <f>IF(OR($A24="",$D$17=""),"",ROUND(AA24-AN24,2))</f>
        <v/>
      </c>
      <c r="F24" s="51">
        <f>IF(OR($A24="",$D$17=""),"",ROUND(AB24-AO24,2))</f>
        <v/>
      </c>
      <c r="G24" s="51">
        <f>IF(OR($A24="",$D$17=""),"",ROUND(AC24-AP24,2))</f>
        <v/>
      </c>
      <c r="H24" s="51">
        <f>IF(OR($A24="",$D$17=""),"",ROUND(AD24-AQ24,2))</f>
        <v/>
      </c>
      <c r="I24" s="51">
        <f>IF(OR($A24="",$D$17=""),"",ROUND(AE24-AR24,2))</f>
        <v/>
      </c>
      <c r="J24" s="51">
        <f>IF(OR($A24="",$D$17=""),"",ROUND(AF24-AS24,2))</f>
        <v/>
      </c>
      <c r="K24" s="51">
        <f>IF(OR($A24="",$D$17=""),"",ROUND(AG24-AT24,2))</f>
        <v/>
      </c>
      <c r="L24" s="51">
        <f>IF(OR($A24="",$D$17=""),"",ROUND(AH24-AU24,2))</f>
        <v/>
      </c>
      <c r="M24" s="51">
        <f>IF(OR($A24="",$D$17=""),"",ROUND(AI24-AV24,2))</f>
        <v/>
      </c>
      <c r="N24" s="51">
        <f>IF(OR($A24="",$D$17=""),"",ROUND(AJ24-AW24,2))</f>
        <v/>
      </c>
      <c r="O24" s="51">
        <f>IF(OR($A24="",$D$17=""),"",ROUND(AK24-AX24,2))</f>
        <v/>
      </c>
      <c r="P24" s="51">
        <f>IF(OR($A24="",$D$17=""),"",ROUND(AL24-AY24,2))</f>
        <v/>
      </c>
      <c r="Q24" s="31">
        <f>IF(OR($A24="",$D$17=""),"",IF(SUM($AZ24:$BL24)=0,"",IF($BM24=0,"Fits","Over in "&amp;$BM24&amp;IF($BM24=1," week"," weeks")&amp;" if approved")))</f>
        <v/>
      </c>
      <c r="Z24" s="31">
        <f>IF(OR($A24="",$D$17=""),"",MAX(0,$C24-SUMIFS($D$106:$D$135,$A$106:$A$135,$A24,$B$106:$B$135,"&lt;="&amp;D$17,$C$106:$C$135,"&gt;="&amp;D$17,$S$106:$S$135,0)-SUMIFS($D$106:$D$135,$A$106:$A$135,"Everyone",$B$106:$B$135,"&lt;="&amp;D$17,$C$106:$C$135,"&gt;="&amp;D$17,$S$106:$S$135,0)))</f>
        <v/>
      </c>
      <c r="AA24" s="31">
        <f>IF(OR($A24="",$D$17=""),"",MAX(0,$C24-SUMIFS($D$106:$D$135,$A$106:$A$135,$A24,$B$106:$B$135,"&lt;="&amp;E$17,$C$106:$C$135,"&gt;="&amp;E$17,$S$106:$S$135,0)-SUMIFS($D$106:$D$135,$A$106:$A$135,"Everyone",$B$106:$B$135,"&lt;="&amp;E$17,$C$106:$C$135,"&gt;="&amp;E$17,$S$106:$S$135,0)))</f>
        <v/>
      </c>
      <c r="AB24" s="31">
        <f>IF(OR($A24="",$D$17=""),"",MAX(0,$C24-SUMIFS($D$106:$D$135,$A$106:$A$135,$A24,$B$106:$B$135,"&lt;="&amp;F$17,$C$106:$C$135,"&gt;="&amp;F$17,$S$106:$S$135,0)-SUMIFS($D$106:$D$135,$A$106:$A$135,"Everyone",$B$106:$B$135,"&lt;="&amp;F$17,$C$106:$C$135,"&gt;="&amp;F$17,$S$106:$S$135,0)))</f>
        <v/>
      </c>
      <c r="AC24" s="31">
        <f>IF(OR($A24="",$D$17=""),"",MAX(0,$C24-SUMIFS($D$106:$D$135,$A$106:$A$135,$A24,$B$106:$B$135,"&lt;="&amp;G$17,$C$106:$C$135,"&gt;="&amp;G$17,$S$106:$S$135,0)-SUMIFS($D$106:$D$135,$A$106:$A$135,"Everyone",$B$106:$B$135,"&lt;="&amp;G$17,$C$106:$C$135,"&gt;="&amp;G$17,$S$106:$S$135,0)))</f>
        <v/>
      </c>
      <c r="AD24" s="31">
        <f>IF(OR($A24="",$D$17=""),"",MAX(0,$C24-SUMIFS($D$106:$D$135,$A$106:$A$135,$A24,$B$106:$B$135,"&lt;="&amp;H$17,$C$106:$C$135,"&gt;="&amp;H$17,$S$106:$S$135,0)-SUMIFS($D$106:$D$135,$A$106:$A$135,"Everyone",$B$106:$B$135,"&lt;="&amp;H$17,$C$106:$C$135,"&gt;="&amp;H$17,$S$106:$S$135,0)))</f>
        <v/>
      </c>
      <c r="AE24" s="31">
        <f>IF(OR($A24="",$D$17=""),"",MAX(0,$C24-SUMIFS($D$106:$D$135,$A$106:$A$135,$A24,$B$106:$B$135,"&lt;="&amp;I$17,$C$106:$C$135,"&gt;="&amp;I$17,$S$106:$S$135,0)-SUMIFS($D$106:$D$135,$A$106:$A$135,"Everyone",$B$106:$B$135,"&lt;="&amp;I$17,$C$106:$C$135,"&gt;="&amp;I$17,$S$106:$S$135,0)))</f>
        <v/>
      </c>
      <c r="AF24" s="31">
        <f>IF(OR($A24="",$D$17=""),"",MAX(0,$C24-SUMIFS($D$106:$D$135,$A$106:$A$135,$A24,$B$106:$B$135,"&lt;="&amp;J$17,$C$106:$C$135,"&gt;="&amp;J$17,$S$106:$S$135,0)-SUMIFS($D$106:$D$135,$A$106:$A$135,"Everyone",$B$106:$B$135,"&lt;="&amp;J$17,$C$106:$C$135,"&gt;="&amp;J$17,$S$106:$S$135,0)))</f>
        <v/>
      </c>
      <c r="AG24" s="31">
        <f>IF(OR($A24="",$D$17=""),"",MAX(0,$C24-SUMIFS($D$106:$D$135,$A$106:$A$135,$A24,$B$106:$B$135,"&lt;="&amp;K$17,$C$106:$C$135,"&gt;="&amp;K$17,$S$106:$S$135,0)-SUMIFS($D$106:$D$135,$A$106:$A$135,"Everyone",$B$106:$B$135,"&lt;="&amp;K$17,$C$106:$C$135,"&gt;="&amp;K$17,$S$106:$S$135,0)))</f>
        <v/>
      </c>
      <c r="AH24" s="31">
        <f>IF(OR($A24="",$D$17=""),"",MAX(0,$C24-SUMIFS($D$106:$D$135,$A$106:$A$135,$A24,$B$106:$B$135,"&lt;="&amp;L$17,$C$106:$C$135,"&gt;="&amp;L$17,$S$106:$S$135,0)-SUMIFS($D$106:$D$135,$A$106:$A$135,"Everyone",$B$106:$B$135,"&lt;="&amp;L$17,$C$106:$C$135,"&gt;="&amp;L$17,$S$106:$S$135,0)))</f>
        <v/>
      </c>
      <c r="AI24" s="31">
        <f>IF(OR($A24="",$D$17=""),"",MAX(0,$C24-SUMIFS($D$106:$D$135,$A$106:$A$135,$A24,$B$106:$B$135,"&lt;="&amp;M$17,$C$106:$C$135,"&gt;="&amp;M$17,$S$106:$S$135,0)-SUMIFS($D$106:$D$135,$A$106:$A$135,"Everyone",$B$106:$B$135,"&lt;="&amp;M$17,$C$106:$C$135,"&gt;="&amp;M$17,$S$106:$S$135,0)))</f>
        <v/>
      </c>
      <c r="AJ24" s="31">
        <f>IF(OR($A24="",$D$17=""),"",MAX(0,$C24-SUMIFS($D$106:$D$135,$A$106:$A$135,$A24,$B$106:$B$135,"&lt;="&amp;N$17,$C$106:$C$135,"&gt;="&amp;N$17,$S$106:$S$135,0)-SUMIFS($D$106:$D$135,$A$106:$A$135,"Everyone",$B$106:$B$135,"&lt;="&amp;N$17,$C$106:$C$135,"&gt;="&amp;N$17,$S$106:$S$135,0)))</f>
        <v/>
      </c>
      <c r="AK24" s="31">
        <f>IF(OR($A24="",$D$17=""),"",MAX(0,$C24-SUMIFS($D$106:$D$135,$A$106:$A$135,$A24,$B$106:$B$135,"&lt;="&amp;O$17,$C$106:$C$135,"&gt;="&amp;O$17,$S$106:$S$135,0)-SUMIFS($D$106:$D$135,$A$106:$A$135,"Everyone",$B$106:$B$135,"&lt;="&amp;O$17,$C$106:$C$135,"&gt;="&amp;O$17,$S$106:$S$135,0)))</f>
        <v/>
      </c>
      <c r="AL24" s="31">
        <f>IF(OR($A24="",$D$17=""),"",MAX(0,$C24-SUMIFS($D$106:$D$135,$A$106:$A$135,$A24,$B$106:$B$135,"&lt;="&amp;P$17,$C$106:$C$135,"&gt;="&amp;P$17,$S$106:$S$135,0)-SUMIFS($D$106:$D$135,$A$106:$A$135,"Everyone",$B$106:$B$135,"&lt;="&amp;P$17,$C$106:$C$135,"&gt;="&amp;P$17,$S$106:$S$135,0)))</f>
        <v/>
      </c>
      <c r="AM24" s="31">
        <f>IF($A24="","",SUMIFS($E$139:$E$288,$B$139:$B$288,$A24,$U$139:$U$288,1,$Y$139:$Y$288,1,$C$139:$C$288,"&lt;="&amp;D$17,$D$139:$D$288,"&gt;="&amp;D$17))</f>
        <v/>
      </c>
      <c r="AN24" s="31">
        <f>IF($A24="","",SUMIFS($E$139:$E$288,$B$139:$B$288,$A24,$U$139:$U$288,1,$Y$139:$Y$288,1,$C$139:$C$288,"&lt;="&amp;E$17,$D$139:$D$288,"&gt;="&amp;E$17))</f>
        <v/>
      </c>
      <c r="AO24" s="31">
        <f>IF($A24="","",SUMIFS($E$139:$E$288,$B$139:$B$288,$A24,$U$139:$U$288,1,$Y$139:$Y$288,1,$C$139:$C$288,"&lt;="&amp;F$17,$D$139:$D$288,"&gt;="&amp;F$17))</f>
        <v/>
      </c>
      <c r="AP24" s="31">
        <f>IF($A24="","",SUMIFS($E$139:$E$288,$B$139:$B$288,$A24,$U$139:$U$288,1,$Y$139:$Y$288,1,$C$139:$C$288,"&lt;="&amp;G$17,$D$139:$D$288,"&gt;="&amp;G$17))</f>
        <v/>
      </c>
      <c r="AQ24" s="31">
        <f>IF($A24="","",SUMIFS($E$139:$E$288,$B$139:$B$288,$A24,$U$139:$U$288,1,$Y$139:$Y$288,1,$C$139:$C$288,"&lt;="&amp;H$17,$D$139:$D$288,"&gt;="&amp;H$17))</f>
        <v/>
      </c>
      <c r="AR24" s="31">
        <f>IF($A24="","",SUMIFS($E$139:$E$288,$B$139:$B$288,$A24,$U$139:$U$288,1,$Y$139:$Y$288,1,$C$139:$C$288,"&lt;="&amp;I$17,$D$139:$D$288,"&gt;="&amp;I$17))</f>
        <v/>
      </c>
      <c r="AS24" s="31">
        <f>IF($A24="","",SUMIFS($E$139:$E$288,$B$139:$B$288,$A24,$U$139:$U$288,1,$Y$139:$Y$288,1,$C$139:$C$288,"&lt;="&amp;J$17,$D$139:$D$288,"&gt;="&amp;J$17))</f>
        <v/>
      </c>
      <c r="AT24" s="31">
        <f>IF($A24="","",SUMIFS($E$139:$E$288,$B$139:$B$288,$A24,$U$139:$U$288,1,$Y$139:$Y$288,1,$C$139:$C$288,"&lt;="&amp;K$17,$D$139:$D$288,"&gt;="&amp;K$17))</f>
        <v/>
      </c>
      <c r="AU24" s="31">
        <f>IF($A24="","",SUMIFS($E$139:$E$288,$B$139:$B$288,$A24,$U$139:$U$288,1,$Y$139:$Y$288,1,$C$139:$C$288,"&lt;="&amp;L$17,$D$139:$D$288,"&gt;="&amp;L$17))</f>
        <v/>
      </c>
      <c r="AV24" s="31">
        <f>IF($A24="","",SUMIFS($E$139:$E$288,$B$139:$B$288,$A24,$U$139:$U$288,1,$Y$139:$Y$288,1,$C$139:$C$288,"&lt;="&amp;M$17,$D$139:$D$288,"&gt;="&amp;M$17))</f>
        <v/>
      </c>
      <c r="AW24" s="31">
        <f>IF($A24="","",SUMIFS($E$139:$E$288,$B$139:$B$288,$A24,$U$139:$U$288,1,$Y$139:$Y$288,1,$C$139:$C$288,"&lt;="&amp;N$17,$D$139:$D$288,"&gt;="&amp;N$17))</f>
        <v/>
      </c>
      <c r="AX24" s="31">
        <f>IF($A24="","",SUMIFS($E$139:$E$288,$B$139:$B$288,$A24,$U$139:$U$288,1,$Y$139:$Y$288,1,$C$139:$C$288,"&lt;="&amp;O$17,$D$139:$D$288,"&gt;="&amp;O$17))</f>
        <v/>
      </c>
      <c r="AY24" s="31">
        <f>IF($A24="","",SUMIFS($E$139:$E$288,$B$139:$B$288,$A24,$U$139:$U$288,1,$Y$139:$Y$288,1,$C$139:$C$288,"&lt;="&amp;P$17,$D$139:$D$288,"&gt;="&amp;P$17))</f>
        <v/>
      </c>
      <c r="AZ24" s="31">
        <f>IF($A24="","",SUMIFS($E$139:$E$288,$B$139:$B$288,$A24,$U$139:$U$288,2,$Y$139:$Y$288,1,$C$139:$C$288,"&lt;="&amp;D$17,$D$139:$D$288,"&gt;="&amp;D$17))</f>
        <v/>
      </c>
      <c r="BA24" s="31">
        <f>IF($A24="","",SUMIFS($E$139:$E$288,$B$139:$B$288,$A24,$U$139:$U$288,2,$Y$139:$Y$288,1,$C$139:$C$288,"&lt;="&amp;E$17,$D$139:$D$288,"&gt;="&amp;E$17))</f>
        <v/>
      </c>
      <c r="BB24" s="31">
        <f>IF($A24="","",SUMIFS($E$139:$E$288,$B$139:$B$288,$A24,$U$139:$U$288,2,$Y$139:$Y$288,1,$C$139:$C$288,"&lt;="&amp;F$17,$D$139:$D$288,"&gt;="&amp;F$17))</f>
        <v/>
      </c>
      <c r="BC24" s="31">
        <f>IF($A24="","",SUMIFS($E$139:$E$288,$B$139:$B$288,$A24,$U$139:$U$288,2,$Y$139:$Y$288,1,$C$139:$C$288,"&lt;="&amp;G$17,$D$139:$D$288,"&gt;="&amp;G$17))</f>
        <v/>
      </c>
      <c r="BD24" s="31">
        <f>IF($A24="","",SUMIFS($E$139:$E$288,$B$139:$B$288,$A24,$U$139:$U$288,2,$Y$139:$Y$288,1,$C$139:$C$288,"&lt;="&amp;H$17,$D$139:$D$288,"&gt;="&amp;H$17))</f>
        <v/>
      </c>
      <c r="BE24" s="31">
        <f>IF($A24="","",SUMIFS($E$139:$E$288,$B$139:$B$288,$A24,$U$139:$U$288,2,$Y$139:$Y$288,1,$C$139:$C$288,"&lt;="&amp;I$17,$D$139:$D$288,"&gt;="&amp;I$17))</f>
        <v/>
      </c>
      <c r="BF24" s="31">
        <f>IF($A24="","",SUMIFS($E$139:$E$288,$B$139:$B$288,$A24,$U$139:$U$288,2,$Y$139:$Y$288,1,$C$139:$C$288,"&lt;="&amp;J$17,$D$139:$D$288,"&gt;="&amp;J$17))</f>
        <v/>
      </c>
      <c r="BG24" s="31">
        <f>IF($A24="","",SUMIFS($E$139:$E$288,$B$139:$B$288,$A24,$U$139:$U$288,2,$Y$139:$Y$288,1,$C$139:$C$288,"&lt;="&amp;K$17,$D$139:$D$288,"&gt;="&amp;K$17))</f>
        <v/>
      </c>
      <c r="BH24" s="31">
        <f>IF($A24="","",SUMIFS($E$139:$E$288,$B$139:$B$288,$A24,$U$139:$U$288,2,$Y$139:$Y$288,1,$C$139:$C$288,"&lt;="&amp;L$17,$D$139:$D$288,"&gt;="&amp;L$17))</f>
        <v/>
      </c>
      <c r="BI24" s="31">
        <f>IF($A24="","",SUMIFS($E$139:$E$288,$B$139:$B$288,$A24,$U$139:$U$288,2,$Y$139:$Y$288,1,$C$139:$C$288,"&lt;="&amp;M$17,$D$139:$D$288,"&gt;="&amp;M$17))</f>
        <v/>
      </c>
      <c r="BJ24" s="31">
        <f>IF($A24="","",SUMIFS($E$139:$E$288,$B$139:$B$288,$A24,$U$139:$U$288,2,$Y$139:$Y$288,1,$C$139:$C$288,"&lt;="&amp;N$17,$D$139:$D$288,"&gt;="&amp;N$17))</f>
        <v/>
      </c>
      <c r="BK24" s="31">
        <f>IF($A24="","",SUMIFS($E$139:$E$288,$B$139:$B$288,$A24,$U$139:$U$288,2,$Y$139:$Y$288,1,$C$139:$C$288,"&lt;="&amp;O$17,$D$139:$D$288,"&gt;="&amp;O$17))</f>
        <v/>
      </c>
      <c r="BL24" s="31">
        <f>IF($A24="","",SUMIFS($E$139:$E$288,$B$139:$B$288,$A24,$U$139:$U$288,2,$Y$139:$Y$288,1,$C$139:$C$288,"&lt;="&amp;P$17,$D$139:$D$288,"&gt;="&amp;P$17))</f>
        <v/>
      </c>
      <c r="BM24" s="31">
        <f>IF(OR($A24="",$D$17=""),0,SUMPRODUCT(($D24:$P24&gt;=0)*(($D24:$P24-$AZ24:$BL24)&lt;0)))</f>
        <v/>
      </c>
      <c r="BN24" s="31">
        <f>IF(IFERROR(INDEX(Register!$A$6:$A$305,ROW()-5),"")="",0,SUMIF($A$139:$A$288,IFERROR(INDEX(Register!$A$6:$A$305,ROW()-5),""),$Z$139:$Z$288))</f>
        <v/>
      </c>
      <c r="BO24" s="31">
        <f>IF(OR(IFERROR(INDEX(Register!$A$6:$A$305,ROW()-5),"")="",SUM($Z$139:$Z$288)=0),0,IF(AND(IFERROR(INDEX(Register!$B$6:$B$305,ROW()-5),"")="Project",IFERROR(INDEX(Register!$D$6:$D$305,ROW()-5),"")="Active",IFERROR(INDEX(Register!$Z$6:$Z$305,ROW()-5),"")=1,$BN24=0),1,0))</f>
        <v/>
      </c>
      <c r="BP24" s="31">
        <f>IF(AND(IFERROR(INDEX(Register!$A$6:$A$305,ROW()-5),"")&lt;&gt;"",IFERROR(INDEX(Register!$D$6:$D$305,ROW()-5),"")="Proposed"),$BN24,0)</f>
        <v/>
      </c>
      <c r="BQ24" s="31">
        <f>IF(OR($A24="",$D$17=""),0,COUNTIF($D24:$P24,"&lt;0"))</f>
        <v/>
      </c>
      <c r="BR24" s="31">
        <f>IF(INDEX($A$63:$A$102,ROW()-6)="","",INDEX($A$63:$A$102,ROW()-6))</f>
        <v/>
      </c>
      <c r="BS24" s="31">
        <f>IF(INDEX($A$63:$A$102,ROW()-6)="","",INDEX($A$63:$A$102,ROW()-6))</f>
        <v/>
      </c>
    </row>
    <row r="25">
      <c r="A25" s="31">
        <f>IF(INDEX($A$63:$A$102,ROW()-17)="","",INDEX($A$63:$A$102,ROW()-17))</f>
        <v/>
      </c>
      <c r="B25" s="31">
        <f>IF(OR($A25="",$D$17=""),"",IF($BQ25=0,"○ Clear","△ "&amp;$BQ25&amp;IF($BQ25=1," week"," weeks")&amp;" over, from "&amp;TEXT(SUMPRODUCT(MIN($D$17:$P$17+($D25:$P25&gt;=0)*100000)),"d mmm")))</f>
        <v/>
      </c>
      <c r="C25" s="32">
        <f>IF($A25="","",IF(AND(ISNUMBER(INDEX($B$63:$B$102,ROW()-17)),INDEX($S$63:$S$102,ROW()-17)=0),INDEX($B$63:$B$102,ROW()-17),IF($C$7="",$B$7,5)))</f>
        <v/>
      </c>
      <c r="D25" s="51">
        <f>IF(OR($A25="",$D$17=""),"",ROUND(Z25-AM25,2))</f>
        <v/>
      </c>
      <c r="E25" s="51">
        <f>IF(OR($A25="",$D$17=""),"",ROUND(AA25-AN25,2))</f>
        <v/>
      </c>
      <c r="F25" s="51">
        <f>IF(OR($A25="",$D$17=""),"",ROUND(AB25-AO25,2))</f>
        <v/>
      </c>
      <c r="G25" s="51">
        <f>IF(OR($A25="",$D$17=""),"",ROUND(AC25-AP25,2))</f>
        <v/>
      </c>
      <c r="H25" s="51">
        <f>IF(OR($A25="",$D$17=""),"",ROUND(AD25-AQ25,2))</f>
        <v/>
      </c>
      <c r="I25" s="51">
        <f>IF(OR($A25="",$D$17=""),"",ROUND(AE25-AR25,2))</f>
        <v/>
      </c>
      <c r="J25" s="51">
        <f>IF(OR($A25="",$D$17=""),"",ROUND(AF25-AS25,2))</f>
        <v/>
      </c>
      <c r="K25" s="51">
        <f>IF(OR($A25="",$D$17=""),"",ROUND(AG25-AT25,2))</f>
        <v/>
      </c>
      <c r="L25" s="51">
        <f>IF(OR($A25="",$D$17=""),"",ROUND(AH25-AU25,2))</f>
        <v/>
      </c>
      <c r="M25" s="51">
        <f>IF(OR($A25="",$D$17=""),"",ROUND(AI25-AV25,2))</f>
        <v/>
      </c>
      <c r="N25" s="51">
        <f>IF(OR($A25="",$D$17=""),"",ROUND(AJ25-AW25,2))</f>
        <v/>
      </c>
      <c r="O25" s="51">
        <f>IF(OR($A25="",$D$17=""),"",ROUND(AK25-AX25,2))</f>
        <v/>
      </c>
      <c r="P25" s="51">
        <f>IF(OR($A25="",$D$17=""),"",ROUND(AL25-AY25,2))</f>
        <v/>
      </c>
      <c r="Q25" s="31">
        <f>IF(OR($A25="",$D$17=""),"",IF(SUM($AZ25:$BL25)=0,"",IF($BM25=0,"Fits","Over in "&amp;$BM25&amp;IF($BM25=1," week"," weeks")&amp;" if approved")))</f>
        <v/>
      </c>
      <c r="Z25" s="31">
        <f>IF(OR($A25="",$D$17=""),"",MAX(0,$C25-SUMIFS($D$106:$D$135,$A$106:$A$135,$A25,$B$106:$B$135,"&lt;="&amp;D$17,$C$106:$C$135,"&gt;="&amp;D$17,$S$106:$S$135,0)-SUMIFS($D$106:$D$135,$A$106:$A$135,"Everyone",$B$106:$B$135,"&lt;="&amp;D$17,$C$106:$C$135,"&gt;="&amp;D$17,$S$106:$S$135,0)))</f>
        <v/>
      </c>
      <c r="AA25" s="31">
        <f>IF(OR($A25="",$D$17=""),"",MAX(0,$C25-SUMIFS($D$106:$D$135,$A$106:$A$135,$A25,$B$106:$B$135,"&lt;="&amp;E$17,$C$106:$C$135,"&gt;="&amp;E$17,$S$106:$S$135,0)-SUMIFS($D$106:$D$135,$A$106:$A$135,"Everyone",$B$106:$B$135,"&lt;="&amp;E$17,$C$106:$C$135,"&gt;="&amp;E$17,$S$106:$S$135,0)))</f>
        <v/>
      </c>
      <c r="AB25" s="31">
        <f>IF(OR($A25="",$D$17=""),"",MAX(0,$C25-SUMIFS($D$106:$D$135,$A$106:$A$135,$A25,$B$106:$B$135,"&lt;="&amp;F$17,$C$106:$C$135,"&gt;="&amp;F$17,$S$106:$S$135,0)-SUMIFS($D$106:$D$135,$A$106:$A$135,"Everyone",$B$106:$B$135,"&lt;="&amp;F$17,$C$106:$C$135,"&gt;="&amp;F$17,$S$106:$S$135,0)))</f>
        <v/>
      </c>
      <c r="AC25" s="31">
        <f>IF(OR($A25="",$D$17=""),"",MAX(0,$C25-SUMIFS($D$106:$D$135,$A$106:$A$135,$A25,$B$106:$B$135,"&lt;="&amp;G$17,$C$106:$C$135,"&gt;="&amp;G$17,$S$106:$S$135,0)-SUMIFS($D$106:$D$135,$A$106:$A$135,"Everyone",$B$106:$B$135,"&lt;="&amp;G$17,$C$106:$C$135,"&gt;="&amp;G$17,$S$106:$S$135,0)))</f>
        <v/>
      </c>
      <c r="AD25" s="31">
        <f>IF(OR($A25="",$D$17=""),"",MAX(0,$C25-SUMIFS($D$106:$D$135,$A$106:$A$135,$A25,$B$106:$B$135,"&lt;="&amp;H$17,$C$106:$C$135,"&gt;="&amp;H$17,$S$106:$S$135,0)-SUMIFS($D$106:$D$135,$A$106:$A$135,"Everyone",$B$106:$B$135,"&lt;="&amp;H$17,$C$106:$C$135,"&gt;="&amp;H$17,$S$106:$S$135,0)))</f>
        <v/>
      </c>
      <c r="AE25" s="31">
        <f>IF(OR($A25="",$D$17=""),"",MAX(0,$C25-SUMIFS($D$106:$D$135,$A$106:$A$135,$A25,$B$106:$B$135,"&lt;="&amp;I$17,$C$106:$C$135,"&gt;="&amp;I$17,$S$106:$S$135,0)-SUMIFS($D$106:$D$135,$A$106:$A$135,"Everyone",$B$106:$B$135,"&lt;="&amp;I$17,$C$106:$C$135,"&gt;="&amp;I$17,$S$106:$S$135,0)))</f>
        <v/>
      </c>
      <c r="AF25" s="31">
        <f>IF(OR($A25="",$D$17=""),"",MAX(0,$C25-SUMIFS($D$106:$D$135,$A$106:$A$135,$A25,$B$106:$B$135,"&lt;="&amp;J$17,$C$106:$C$135,"&gt;="&amp;J$17,$S$106:$S$135,0)-SUMIFS($D$106:$D$135,$A$106:$A$135,"Everyone",$B$106:$B$135,"&lt;="&amp;J$17,$C$106:$C$135,"&gt;="&amp;J$17,$S$106:$S$135,0)))</f>
        <v/>
      </c>
      <c r="AG25" s="31">
        <f>IF(OR($A25="",$D$17=""),"",MAX(0,$C25-SUMIFS($D$106:$D$135,$A$106:$A$135,$A25,$B$106:$B$135,"&lt;="&amp;K$17,$C$106:$C$135,"&gt;="&amp;K$17,$S$106:$S$135,0)-SUMIFS($D$106:$D$135,$A$106:$A$135,"Everyone",$B$106:$B$135,"&lt;="&amp;K$17,$C$106:$C$135,"&gt;="&amp;K$17,$S$106:$S$135,0)))</f>
        <v/>
      </c>
      <c r="AH25" s="31">
        <f>IF(OR($A25="",$D$17=""),"",MAX(0,$C25-SUMIFS($D$106:$D$135,$A$106:$A$135,$A25,$B$106:$B$135,"&lt;="&amp;L$17,$C$106:$C$135,"&gt;="&amp;L$17,$S$106:$S$135,0)-SUMIFS($D$106:$D$135,$A$106:$A$135,"Everyone",$B$106:$B$135,"&lt;="&amp;L$17,$C$106:$C$135,"&gt;="&amp;L$17,$S$106:$S$135,0)))</f>
        <v/>
      </c>
      <c r="AI25" s="31">
        <f>IF(OR($A25="",$D$17=""),"",MAX(0,$C25-SUMIFS($D$106:$D$135,$A$106:$A$135,$A25,$B$106:$B$135,"&lt;="&amp;M$17,$C$106:$C$135,"&gt;="&amp;M$17,$S$106:$S$135,0)-SUMIFS($D$106:$D$135,$A$106:$A$135,"Everyone",$B$106:$B$135,"&lt;="&amp;M$17,$C$106:$C$135,"&gt;="&amp;M$17,$S$106:$S$135,0)))</f>
        <v/>
      </c>
      <c r="AJ25" s="31">
        <f>IF(OR($A25="",$D$17=""),"",MAX(0,$C25-SUMIFS($D$106:$D$135,$A$106:$A$135,$A25,$B$106:$B$135,"&lt;="&amp;N$17,$C$106:$C$135,"&gt;="&amp;N$17,$S$106:$S$135,0)-SUMIFS($D$106:$D$135,$A$106:$A$135,"Everyone",$B$106:$B$135,"&lt;="&amp;N$17,$C$106:$C$135,"&gt;="&amp;N$17,$S$106:$S$135,0)))</f>
        <v/>
      </c>
      <c r="AK25" s="31">
        <f>IF(OR($A25="",$D$17=""),"",MAX(0,$C25-SUMIFS($D$106:$D$135,$A$106:$A$135,$A25,$B$106:$B$135,"&lt;="&amp;O$17,$C$106:$C$135,"&gt;="&amp;O$17,$S$106:$S$135,0)-SUMIFS($D$106:$D$135,$A$106:$A$135,"Everyone",$B$106:$B$135,"&lt;="&amp;O$17,$C$106:$C$135,"&gt;="&amp;O$17,$S$106:$S$135,0)))</f>
        <v/>
      </c>
      <c r="AL25" s="31">
        <f>IF(OR($A25="",$D$17=""),"",MAX(0,$C25-SUMIFS($D$106:$D$135,$A$106:$A$135,$A25,$B$106:$B$135,"&lt;="&amp;P$17,$C$106:$C$135,"&gt;="&amp;P$17,$S$106:$S$135,0)-SUMIFS($D$106:$D$135,$A$106:$A$135,"Everyone",$B$106:$B$135,"&lt;="&amp;P$17,$C$106:$C$135,"&gt;="&amp;P$17,$S$106:$S$135,0)))</f>
        <v/>
      </c>
      <c r="AM25" s="31">
        <f>IF($A25="","",SUMIFS($E$139:$E$288,$B$139:$B$288,$A25,$U$139:$U$288,1,$Y$139:$Y$288,1,$C$139:$C$288,"&lt;="&amp;D$17,$D$139:$D$288,"&gt;="&amp;D$17))</f>
        <v/>
      </c>
      <c r="AN25" s="31">
        <f>IF($A25="","",SUMIFS($E$139:$E$288,$B$139:$B$288,$A25,$U$139:$U$288,1,$Y$139:$Y$288,1,$C$139:$C$288,"&lt;="&amp;E$17,$D$139:$D$288,"&gt;="&amp;E$17))</f>
        <v/>
      </c>
      <c r="AO25" s="31">
        <f>IF($A25="","",SUMIFS($E$139:$E$288,$B$139:$B$288,$A25,$U$139:$U$288,1,$Y$139:$Y$288,1,$C$139:$C$288,"&lt;="&amp;F$17,$D$139:$D$288,"&gt;="&amp;F$17))</f>
        <v/>
      </c>
      <c r="AP25" s="31">
        <f>IF($A25="","",SUMIFS($E$139:$E$288,$B$139:$B$288,$A25,$U$139:$U$288,1,$Y$139:$Y$288,1,$C$139:$C$288,"&lt;="&amp;G$17,$D$139:$D$288,"&gt;="&amp;G$17))</f>
        <v/>
      </c>
      <c r="AQ25" s="31">
        <f>IF($A25="","",SUMIFS($E$139:$E$288,$B$139:$B$288,$A25,$U$139:$U$288,1,$Y$139:$Y$288,1,$C$139:$C$288,"&lt;="&amp;H$17,$D$139:$D$288,"&gt;="&amp;H$17))</f>
        <v/>
      </c>
      <c r="AR25" s="31">
        <f>IF($A25="","",SUMIFS($E$139:$E$288,$B$139:$B$288,$A25,$U$139:$U$288,1,$Y$139:$Y$288,1,$C$139:$C$288,"&lt;="&amp;I$17,$D$139:$D$288,"&gt;="&amp;I$17))</f>
        <v/>
      </c>
      <c r="AS25" s="31">
        <f>IF($A25="","",SUMIFS($E$139:$E$288,$B$139:$B$288,$A25,$U$139:$U$288,1,$Y$139:$Y$288,1,$C$139:$C$288,"&lt;="&amp;J$17,$D$139:$D$288,"&gt;="&amp;J$17))</f>
        <v/>
      </c>
      <c r="AT25" s="31">
        <f>IF($A25="","",SUMIFS($E$139:$E$288,$B$139:$B$288,$A25,$U$139:$U$288,1,$Y$139:$Y$288,1,$C$139:$C$288,"&lt;="&amp;K$17,$D$139:$D$288,"&gt;="&amp;K$17))</f>
        <v/>
      </c>
      <c r="AU25" s="31">
        <f>IF($A25="","",SUMIFS($E$139:$E$288,$B$139:$B$288,$A25,$U$139:$U$288,1,$Y$139:$Y$288,1,$C$139:$C$288,"&lt;="&amp;L$17,$D$139:$D$288,"&gt;="&amp;L$17))</f>
        <v/>
      </c>
      <c r="AV25" s="31">
        <f>IF($A25="","",SUMIFS($E$139:$E$288,$B$139:$B$288,$A25,$U$139:$U$288,1,$Y$139:$Y$288,1,$C$139:$C$288,"&lt;="&amp;M$17,$D$139:$D$288,"&gt;="&amp;M$17))</f>
        <v/>
      </c>
      <c r="AW25" s="31">
        <f>IF($A25="","",SUMIFS($E$139:$E$288,$B$139:$B$288,$A25,$U$139:$U$288,1,$Y$139:$Y$288,1,$C$139:$C$288,"&lt;="&amp;N$17,$D$139:$D$288,"&gt;="&amp;N$17))</f>
        <v/>
      </c>
      <c r="AX25" s="31">
        <f>IF($A25="","",SUMIFS($E$139:$E$288,$B$139:$B$288,$A25,$U$139:$U$288,1,$Y$139:$Y$288,1,$C$139:$C$288,"&lt;="&amp;O$17,$D$139:$D$288,"&gt;="&amp;O$17))</f>
        <v/>
      </c>
      <c r="AY25" s="31">
        <f>IF($A25="","",SUMIFS($E$139:$E$288,$B$139:$B$288,$A25,$U$139:$U$288,1,$Y$139:$Y$288,1,$C$139:$C$288,"&lt;="&amp;P$17,$D$139:$D$288,"&gt;="&amp;P$17))</f>
        <v/>
      </c>
      <c r="AZ25" s="31">
        <f>IF($A25="","",SUMIFS($E$139:$E$288,$B$139:$B$288,$A25,$U$139:$U$288,2,$Y$139:$Y$288,1,$C$139:$C$288,"&lt;="&amp;D$17,$D$139:$D$288,"&gt;="&amp;D$17))</f>
        <v/>
      </c>
      <c r="BA25" s="31">
        <f>IF($A25="","",SUMIFS($E$139:$E$288,$B$139:$B$288,$A25,$U$139:$U$288,2,$Y$139:$Y$288,1,$C$139:$C$288,"&lt;="&amp;E$17,$D$139:$D$288,"&gt;="&amp;E$17))</f>
        <v/>
      </c>
      <c r="BB25" s="31">
        <f>IF($A25="","",SUMIFS($E$139:$E$288,$B$139:$B$288,$A25,$U$139:$U$288,2,$Y$139:$Y$288,1,$C$139:$C$288,"&lt;="&amp;F$17,$D$139:$D$288,"&gt;="&amp;F$17))</f>
        <v/>
      </c>
      <c r="BC25" s="31">
        <f>IF($A25="","",SUMIFS($E$139:$E$288,$B$139:$B$288,$A25,$U$139:$U$288,2,$Y$139:$Y$288,1,$C$139:$C$288,"&lt;="&amp;G$17,$D$139:$D$288,"&gt;="&amp;G$17))</f>
        <v/>
      </c>
      <c r="BD25" s="31">
        <f>IF($A25="","",SUMIFS($E$139:$E$288,$B$139:$B$288,$A25,$U$139:$U$288,2,$Y$139:$Y$288,1,$C$139:$C$288,"&lt;="&amp;H$17,$D$139:$D$288,"&gt;="&amp;H$17))</f>
        <v/>
      </c>
      <c r="BE25" s="31">
        <f>IF($A25="","",SUMIFS($E$139:$E$288,$B$139:$B$288,$A25,$U$139:$U$288,2,$Y$139:$Y$288,1,$C$139:$C$288,"&lt;="&amp;I$17,$D$139:$D$288,"&gt;="&amp;I$17))</f>
        <v/>
      </c>
      <c r="BF25" s="31">
        <f>IF($A25="","",SUMIFS($E$139:$E$288,$B$139:$B$288,$A25,$U$139:$U$288,2,$Y$139:$Y$288,1,$C$139:$C$288,"&lt;="&amp;J$17,$D$139:$D$288,"&gt;="&amp;J$17))</f>
        <v/>
      </c>
      <c r="BG25" s="31">
        <f>IF($A25="","",SUMIFS($E$139:$E$288,$B$139:$B$288,$A25,$U$139:$U$288,2,$Y$139:$Y$288,1,$C$139:$C$288,"&lt;="&amp;K$17,$D$139:$D$288,"&gt;="&amp;K$17))</f>
        <v/>
      </c>
      <c r="BH25" s="31">
        <f>IF($A25="","",SUMIFS($E$139:$E$288,$B$139:$B$288,$A25,$U$139:$U$288,2,$Y$139:$Y$288,1,$C$139:$C$288,"&lt;="&amp;L$17,$D$139:$D$288,"&gt;="&amp;L$17))</f>
        <v/>
      </c>
      <c r="BI25" s="31">
        <f>IF($A25="","",SUMIFS($E$139:$E$288,$B$139:$B$288,$A25,$U$139:$U$288,2,$Y$139:$Y$288,1,$C$139:$C$288,"&lt;="&amp;M$17,$D$139:$D$288,"&gt;="&amp;M$17))</f>
        <v/>
      </c>
      <c r="BJ25" s="31">
        <f>IF($A25="","",SUMIFS($E$139:$E$288,$B$139:$B$288,$A25,$U$139:$U$288,2,$Y$139:$Y$288,1,$C$139:$C$288,"&lt;="&amp;N$17,$D$139:$D$288,"&gt;="&amp;N$17))</f>
        <v/>
      </c>
      <c r="BK25" s="31">
        <f>IF($A25="","",SUMIFS($E$139:$E$288,$B$139:$B$288,$A25,$U$139:$U$288,2,$Y$139:$Y$288,1,$C$139:$C$288,"&lt;="&amp;O$17,$D$139:$D$288,"&gt;="&amp;O$17))</f>
        <v/>
      </c>
      <c r="BL25" s="31">
        <f>IF($A25="","",SUMIFS($E$139:$E$288,$B$139:$B$288,$A25,$U$139:$U$288,2,$Y$139:$Y$288,1,$C$139:$C$288,"&lt;="&amp;P$17,$D$139:$D$288,"&gt;="&amp;P$17))</f>
        <v/>
      </c>
      <c r="BM25" s="31">
        <f>IF(OR($A25="",$D$17=""),0,SUMPRODUCT(($D25:$P25&gt;=0)*(($D25:$P25-$AZ25:$BL25)&lt;0)))</f>
        <v/>
      </c>
      <c r="BN25" s="31">
        <f>IF(IFERROR(INDEX(Register!$A$6:$A$305,ROW()-5),"")="",0,SUMIF($A$139:$A$288,IFERROR(INDEX(Register!$A$6:$A$305,ROW()-5),""),$Z$139:$Z$288))</f>
        <v/>
      </c>
      <c r="BO25" s="31">
        <f>IF(OR(IFERROR(INDEX(Register!$A$6:$A$305,ROW()-5),"")="",SUM($Z$139:$Z$288)=0),0,IF(AND(IFERROR(INDEX(Register!$B$6:$B$305,ROW()-5),"")="Project",IFERROR(INDEX(Register!$D$6:$D$305,ROW()-5),"")="Active",IFERROR(INDEX(Register!$Z$6:$Z$305,ROW()-5),"")=1,$BN25=0),1,0))</f>
        <v/>
      </c>
      <c r="BP25" s="31">
        <f>IF(AND(IFERROR(INDEX(Register!$A$6:$A$305,ROW()-5),"")&lt;&gt;"",IFERROR(INDEX(Register!$D$6:$D$305,ROW()-5),"")="Proposed"),$BN25,0)</f>
        <v/>
      </c>
      <c r="BQ25" s="31">
        <f>IF(OR($A25="",$D$17=""),0,COUNTIF($D25:$P25,"&lt;0"))</f>
        <v/>
      </c>
      <c r="BR25" s="31">
        <f>IF(INDEX($A$63:$A$102,ROW()-6)="","",INDEX($A$63:$A$102,ROW()-6))</f>
        <v/>
      </c>
      <c r="BS25" s="31">
        <f>IF(INDEX($A$63:$A$102,ROW()-6)="","",INDEX($A$63:$A$102,ROW()-6))</f>
        <v/>
      </c>
    </row>
    <row r="26">
      <c r="A26" s="31">
        <f>IF(INDEX($A$63:$A$102,ROW()-17)="","",INDEX($A$63:$A$102,ROW()-17))</f>
        <v/>
      </c>
      <c r="B26" s="31">
        <f>IF(OR($A26="",$D$17=""),"",IF($BQ26=0,"○ Clear","△ "&amp;$BQ26&amp;IF($BQ26=1," week"," weeks")&amp;" over, from "&amp;TEXT(SUMPRODUCT(MIN($D$17:$P$17+($D26:$P26&gt;=0)*100000)),"d mmm")))</f>
        <v/>
      </c>
      <c r="C26" s="32">
        <f>IF($A26="","",IF(AND(ISNUMBER(INDEX($B$63:$B$102,ROW()-17)),INDEX($S$63:$S$102,ROW()-17)=0),INDEX($B$63:$B$102,ROW()-17),IF($C$7="",$B$7,5)))</f>
        <v/>
      </c>
      <c r="D26" s="51">
        <f>IF(OR($A26="",$D$17=""),"",ROUND(Z26-AM26,2))</f>
        <v/>
      </c>
      <c r="E26" s="51">
        <f>IF(OR($A26="",$D$17=""),"",ROUND(AA26-AN26,2))</f>
        <v/>
      </c>
      <c r="F26" s="51">
        <f>IF(OR($A26="",$D$17=""),"",ROUND(AB26-AO26,2))</f>
        <v/>
      </c>
      <c r="G26" s="51">
        <f>IF(OR($A26="",$D$17=""),"",ROUND(AC26-AP26,2))</f>
        <v/>
      </c>
      <c r="H26" s="51">
        <f>IF(OR($A26="",$D$17=""),"",ROUND(AD26-AQ26,2))</f>
        <v/>
      </c>
      <c r="I26" s="51">
        <f>IF(OR($A26="",$D$17=""),"",ROUND(AE26-AR26,2))</f>
        <v/>
      </c>
      <c r="J26" s="51">
        <f>IF(OR($A26="",$D$17=""),"",ROUND(AF26-AS26,2))</f>
        <v/>
      </c>
      <c r="K26" s="51">
        <f>IF(OR($A26="",$D$17=""),"",ROUND(AG26-AT26,2))</f>
        <v/>
      </c>
      <c r="L26" s="51">
        <f>IF(OR($A26="",$D$17=""),"",ROUND(AH26-AU26,2))</f>
        <v/>
      </c>
      <c r="M26" s="51">
        <f>IF(OR($A26="",$D$17=""),"",ROUND(AI26-AV26,2))</f>
        <v/>
      </c>
      <c r="N26" s="51">
        <f>IF(OR($A26="",$D$17=""),"",ROUND(AJ26-AW26,2))</f>
        <v/>
      </c>
      <c r="O26" s="51">
        <f>IF(OR($A26="",$D$17=""),"",ROUND(AK26-AX26,2))</f>
        <v/>
      </c>
      <c r="P26" s="51">
        <f>IF(OR($A26="",$D$17=""),"",ROUND(AL26-AY26,2))</f>
        <v/>
      </c>
      <c r="Q26" s="31">
        <f>IF(OR($A26="",$D$17=""),"",IF(SUM($AZ26:$BL26)=0,"",IF($BM26=0,"Fits","Over in "&amp;$BM26&amp;IF($BM26=1," week"," weeks")&amp;" if approved")))</f>
        <v/>
      </c>
      <c r="Z26" s="31">
        <f>IF(OR($A26="",$D$17=""),"",MAX(0,$C26-SUMIFS($D$106:$D$135,$A$106:$A$135,$A26,$B$106:$B$135,"&lt;="&amp;D$17,$C$106:$C$135,"&gt;="&amp;D$17,$S$106:$S$135,0)-SUMIFS($D$106:$D$135,$A$106:$A$135,"Everyone",$B$106:$B$135,"&lt;="&amp;D$17,$C$106:$C$135,"&gt;="&amp;D$17,$S$106:$S$135,0)))</f>
        <v/>
      </c>
      <c r="AA26" s="31">
        <f>IF(OR($A26="",$D$17=""),"",MAX(0,$C26-SUMIFS($D$106:$D$135,$A$106:$A$135,$A26,$B$106:$B$135,"&lt;="&amp;E$17,$C$106:$C$135,"&gt;="&amp;E$17,$S$106:$S$135,0)-SUMIFS($D$106:$D$135,$A$106:$A$135,"Everyone",$B$106:$B$135,"&lt;="&amp;E$17,$C$106:$C$135,"&gt;="&amp;E$17,$S$106:$S$135,0)))</f>
        <v/>
      </c>
      <c r="AB26" s="31">
        <f>IF(OR($A26="",$D$17=""),"",MAX(0,$C26-SUMIFS($D$106:$D$135,$A$106:$A$135,$A26,$B$106:$B$135,"&lt;="&amp;F$17,$C$106:$C$135,"&gt;="&amp;F$17,$S$106:$S$135,0)-SUMIFS($D$106:$D$135,$A$106:$A$135,"Everyone",$B$106:$B$135,"&lt;="&amp;F$17,$C$106:$C$135,"&gt;="&amp;F$17,$S$106:$S$135,0)))</f>
        <v/>
      </c>
      <c r="AC26" s="31">
        <f>IF(OR($A26="",$D$17=""),"",MAX(0,$C26-SUMIFS($D$106:$D$135,$A$106:$A$135,$A26,$B$106:$B$135,"&lt;="&amp;G$17,$C$106:$C$135,"&gt;="&amp;G$17,$S$106:$S$135,0)-SUMIFS($D$106:$D$135,$A$106:$A$135,"Everyone",$B$106:$B$135,"&lt;="&amp;G$17,$C$106:$C$135,"&gt;="&amp;G$17,$S$106:$S$135,0)))</f>
        <v/>
      </c>
      <c r="AD26" s="31">
        <f>IF(OR($A26="",$D$17=""),"",MAX(0,$C26-SUMIFS($D$106:$D$135,$A$106:$A$135,$A26,$B$106:$B$135,"&lt;="&amp;H$17,$C$106:$C$135,"&gt;="&amp;H$17,$S$106:$S$135,0)-SUMIFS($D$106:$D$135,$A$106:$A$135,"Everyone",$B$106:$B$135,"&lt;="&amp;H$17,$C$106:$C$135,"&gt;="&amp;H$17,$S$106:$S$135,0)))</f>
        <v/>
      </c>
      <c r="AE26" s="31">
        <f>IF(OR($A26="",$D$17=""),"",MAX(0,$C26-SUMIFS($D$106:$D$135,$A$106:$A$135,$A26,$B$106:$B$135,"&lt;="&amp;I$17,$C$106:$C$135,"&gt;="&amp;I$17,$S$106:$S$135,0)-SUMIFS($D$106:$D$135,$A$106:$A$135,"Everyone",$B$106:$B$135,"&lt;="&amp;I$17,$C$106:$C$135,"&gt;="&amp;I$17,$S$106:$S$135,0)))</f>
        <v/>
      </c>
      <c r="AF26" s="31">
        <f>IF(OR($A26="",$D$17=""),"",MAX(0,$C26-SUMIFS($D$106:$D$135,$A$106:$A$135,$A26,$B$106:$B$135,"&lt;="&amp;J$17,$C$106:$C$135,"&gt;="&amp;J$17,$S$106:$S$135,0)-SUMIFS($D$106:$D$135,$A$106:$A$135,"Everyone",$B$106:$B$135,"&lt;="&amp;J$17,$C$106:$C$135,"&gt;="&amp;J$17,$S$106:$S$135,0)))</f>
        <v/>
      </c>
      <c r="AG26" s="31">
        <f>IF(OR($A26="",$D$17=""),"",MAX(0,$C26-SUMIFS($D$106:$D$135,$A$106:$A$135,$A26,$B$106:$B$135,"&lt;="&amp;K$17,$C$106:$C$135,"&gt;="&amp;K$17,$S$106:$S$135,0)-SUMIFS($D$106:$D$135,$A$106:$A$135,"Everyone",$B$106:$B$135,"&lt;="&amp;K$17,$C$106:$C$135,"&gt;="&amp;K$17,$S$106:$S$135,0)))</f>
        <v/>
      </c>
      <c r="AH26" s="31">
        <f>IF(OR($A26="",$D$17=""),"",MAX(0,$C26-SUMIFS($D$106:$D$135,$A$106:$A$135,$A26,$B$106:$B$135,"&lt;="&amp;L$17,$C$106:$C$135,"&gt;="&amp;L$17,$S$106:$S$135,0)-SUMIFS($D$106:$D$135,$A$106:$A$135,"Everyone",$B$106:$B$135,"&lt;="&amp;L$17,$C$106:$C$135,"&gt;="&amp;L$17,$S$106:$S$135,0)))</f>
        <v/>
      </c>
      <c r="AI26" s="31">
        <f>IF(OR($A26="",$D$17=""),"",MAX(0,$C26-SUMIFS($D$106:$D$135,$A$106:$A$135,$A26,$B$106:$B$135,"&lt;="&amp;M$17,$C$106:$C$135,"&gt;="&amp;M$17,$S$106:$S$135,0)-SUMIFS($D$106:$D$135,$A$106:$A$135,"Everyone",$B$106:$B$135,"&lt;="&amp;M$17,$C$106:$C$135,"&gt;="&amp;M$17,$S$106:$S$135,0)))</f>
        <v/>
      </c>
      <c r="AJ26" s="31">
        <f>IF(OR($A26="",$D$17=""),"",MAX(0,$C26-SUMIFS($D$106:$D$135,$A$106:$A$135,$A26,$B$106:$B$135,"&lt;="&amp;N$17,$C$106:$C$135,"&gt;="&amp;N$17,$S$106:$S$135,0)-SUMIFS($D$106:$D$135,$A$106:$A$135,"Everyone",$B$106:$B$135,"&lt;="&amp;N$17,$C$106:$C$135,"&gt;="&amp;N$17,$S$106:$S$135,0)))</f>
        <v/>
      </c>
      <c r="AK26" s="31">
        <f>IF(OR($A26="",$D$17=""),"",MAX(0,$C26-SUMIFS($D$106:$D$135,$A$106:$A$135,$A26,$B$106:$B$135,"&lt;="&amp;O$17,$C$106:$C$135,"&gt;="&amp;O$17,$S$106:$S$135,0)-SUMIFS($D$106:$D$135,$A$106:$A$135,"Everyone",$B$106:$B$135,"&lt;="&amp;O$17,$C$106:$C$135,"&gt;="&amp;O$17,$S$106:$S$135,0)))</f>
        <v/>
      </c>
      <c r="AL26" s="31">
        <f>IF(OR($A26="",$D$17=""),"",MAX(0,$C26-SUMIFS($D$106:$D$135,$A$106:$A$135,$A26,$B$106:$B$135,"&lt;="&amp;P$17,$C$106:$C$135,"&gt;="&amp;P$17,$S$106:$S$135,0)-SUMIFS($D$106:$D$135,$A$106:$A$135,"Everyone",$B$106:$B$135,"&lt;="&amp;P$17,$C$106:$C$135,"&gt;="&amp;P$17,$S$106:$S$135,0)))</f>
        <v/>
      </c>
      <c r="AM26" s="31">
        <f>IF($A26="","",SUMIFS($E$139:$E$288,$B$139:$B$288,$A26,$U$139:$U$288,1,$Y$139:$Y$288,1,$C$139:$C$288,"&lt;="&amp;D$17,$D$139:$D$288,"&gt;="&amp;D$17))</f>
        <v/>
      </c>
      <c r="AN26" s="31">
        <f>IF($A26="","",SUMIFS($E$139:$E$288,$B$139:$B$288,$A26,$U$139:$U$288,1,$Y$139:$Y$288,1,$C$139:$C$288,"&lt;="&amp;E$17,$D$139:$D$288,"&gt;="&amp;E$17))</f>
        <v/>
      </c>
      <c r="AO26" s="31">
        <f>IF($A26="","",SUMIFS($E$139:$E$288,$B$139:$B$288,$A26,$U$139:$U$288,1,$Y$139:$Y$288,1,$C$139:$C$288,"&lt;="&amp;F$17,$D$139:$D$288,"&gt;="&amp;F$17))</f>
        <v/>
      </c>
      <c r="AP26" s="31">
        <f>IF($A26="","",SUMIFS($E$139:$E$288,$B$139:$B$288,$A26,$U$139:$U$288,1,$Y$139:$Y$288,1,$C$139:$C$288,"&lt;="&amp;G$17,$D$139:$D$288,"&gt;="&amp;G$17))</f>
        <v/>
      </c>
      <c r="AQ26" s="31">
        <f>IF($A26="","",SUMIFS($E$139:$E$288,$B$139:$B$288,$A26,$U$139:$U$288,1,$Y$139:$Y$288,1,$C$139:$C$288,"&lt;="&amp;H$17,$D$139:$D$288,"&gt;="&amp;H$17))</f>
        <v/>
      </c>
      <c r="AR26" s="31">
        <f>IF($A26="","",SUMIFS($E$139:$E$288,$B$139:$B$288,$A26,$U$139:$U$288,1,$Y$139:$Y$288,1,$C$139:$C$288,"&lt;="&amp;I$17,$D$139:$D$288,"&gt;="&amp;I$17))</f>
        <v/>
      </c>
      <c r="AS26" s="31">
        <f>IF($A26="","",SUMIFS($E$139:$E$288,$B$139:$B$288,$A26,$U$139:$U$288,1,$Y$139:$Y$288,1,$C$139:$C$288,"&lt;="&amp;J$17,$D$139:$D$288,"&gt;="&amp;J$17))</f>
        <v/>
      </c>
      <c r="AT26" s="31">
        <f>IF($A26="","",SUMIFS($E$139:$E$288,$B$139:$B$288,$A26,$U$139:$U$288,1,$Y$139:$Y$288,1,$C$139:$C$288,"&lt;="&amp;K$17,$D$139:$D$288,"&gt;="&amp;K$17))</f>
        <v/>
      </c>
      <c r="AU26" s="31">
        <f>IF($A26="","",SUMIFS($E$139:$E$288,$B$139:$B$288,$A26,$U$139:$U$288,1,$Y$139:$Y$288,1,$C$139:$C$288,"&lt;="&amp;L$17,$D$139:$D$288,"&gt;="&amp;L$17))</f>
        <v/>
      </c>
      <c r="AV26" s="31">
        <f>IF($A26="","",SUMIFS($E$139:$E$288,$B$139:$B$288,$A26,$U$139:$U$288,1,$Y$139:$Y$288,1,$C$139:$C$288,"&lt;="&amp;M$17,$D$139:$D$288,"&gt;="&amp;M$17))</f>
        <v/>
      </c>
      <c r="AW26" s="31">
        <f>IF($A26="","",SUMIFS($E$139:$E$288,$B$139:$B$288,$A26,$U$139:$U$288,1,$Y$139:$Y$288,1,$C$139:$C$288,"&lt;="&amp;N$17,$D$139:$D$288,"&gt;="&amp;N$17))</f>
        <v/>
      </c>
      <c r="AX26" s="31">
        <f>IF($A26="","",SUMIFS($E$139:$E$288,$B$139:$B$288,$A26,$U$139:$U$288,1,$Y$139:$Y$288,1,$C$139:$C$288,"&lt;="&amp;O$17,$D$139:$D$288,"&gt;="&amp;O$17))</f>
        <v/>
      </c>
      <c r="AY26" s="31">
        <f>IF($A26="","",SUMIFS($E$139:$E$288,$B$139:$B$288,$A26,$U$139:$U$288,1,$Y$139:$Y$288,1,$C$139:$C$288,"&lt;="&amp;P$17,$D$139:$D$288,"&gt;="&amp;P$17))</f>
        <v/>
      </c>
      <c r="AZ26" s="31">
        <f>IF($A26="","",SUMIFS($E$139:$E$288,$B$139:$B$288,$A26,$U$139:$U$288,2,$Y$139:$Y$288,1,$C$139:$C$288,"&lt;="&amp;D$17,$D$139:$D$288,"&gt;="&amp;D$17))</f>
        <v/>
      </c>
      <c r="BA26" s="31">
        <f>IF($A26="","",SUMIFS($E$139:$E$288,$B$139:$B$288,$A26,$U$139:$U$288,2,$Y$139:$Y$288,1,$C$139:$C$288,"&lt;="&amp;E$17,$D$139:$D$288,"&gt;="&amp;E$17))</f>
        <v/>
      </c>
      <c r="BB26" s="31">
        <f>IF($A26="","",SUMIFS($E$139:$E$288,$B$139:$B$288,$A26,$U$139:$U$288,2,$Y$139:$Y$288,1,$C$139:$C$288,"&lt;="&amp;F$17,$D$139:$D$288,"&gt;="&amp;F$17))</f>
        <v/>
      </c>
      <c r="BC26" s="31">
        <f>IF($A26="","",SUMIFS($E$139:$E$288,$B$139:$B$288,$A26,$U$139:$U$288,2,$Y$139:$Y$288,1,$C$139:$C$288,"&lt;="&amp;G$17,$D$139:$D$288,"&gt;="&amp;G$17))</f>
        <v/>
      </c>
      <c r="BD26" s="31">
        <f>IF($A26="","",SUMIFS($E$139:$E$288,$B$139:$B$288,$A26,$U$139:$U$288,2,$Y$139:$Y$288,1,$C$139:$C$288,"&lt;="&amp;H$17,$D$139:$D$288,"&gt;="&amp;H$17))</f>
        <v/>
      </c>
      <c r="BE26" s="31">
        <f>IF($A26="","",SUMIFS($E$139:$E$288,$B$139:$B$288,$A26,$U$139:$U$288,2,$Y$139:$Y$288,1,$C$139:$C$288,"&lt;="&amp;I$17,$D$139:$D$288,"&gt;="&amp;I$17))</f>
        <v/>
      </c>
      <c r="BF26" s="31">
        <f>IF($A26="","",SUMIFS($E$139:$E$288,$B$139:$B$288,$A26,$U$139:$U$288,2,$Y$139:$Y$288,1,$C$139:$C$288,"&lt;="&amp;J$17,$D$139:$D$288,"&gt;="&amp;J$17))</f>
        <v/>
      </c>
      <c r="BG26" s="31">
        <f>IF($A26="","",SUMIFS($E$139:$E$288,$B$139:$B$288,$A26,$U$139:$U$288,2,$Y$139:$Y$288,1,$C$139:$C$288,"&lt;="&amp;K$17,$D$139:$D$288,"&gt;="&amp;K$17))</f>
        <v/>
      </c>
      <c r="BH26" s="31">
        <f>IF($A26="","",SUMIFS($E$139:$E$288,$B$139:$B$288,$A26,$U$139:$U$288,2,$Y$139:$Y$288,1,$C$139:$C$288,"&lt;="&amp;L$17,$D$139:$D$288,"&gt;="&amp;L$17))</f>
        <v/>
      </c>
      <c r="BI26" s="31">
        <f>IF($A26="","",SUMIFS($E$139:$E$288,$B$139:$B$288,$A26,$U$139:$U$288,2,$Y$139:$Y$288,1,$C$139:$C$288,"&lt;="&amp;M$17,$D$139:$D$288,"&gt;="&amp;M$17))</f>
        <v/>
      </c>
      <c r="BJ26" s="31">
        <f>IF($A26="","",SUMIFS($E$139:$E$288,$B$139:$B$288,$A26,$U$139:$U$288,2,$Y$139:$Y$288,1,$C$139:$C$288,"&lt;="&amp;N$17,$D$139:$D$288,"&gt;="&amp;N$17))</f>
        <v/>
      </c>
      <c r="BK26" s="31">
        <f>IF($A26="","",SUMIFS($E$139:$E$288,$B$139:$B$288,$A26,$U$139:$U$288,2,$Y$139:$Y$288,1,$C$139:$C$288,"&lt;="&amp;O$17,$D$139:$D$288,"&gt;="&amp;O$17))</f>
        <v/>
      </c>
      <c r="BL26" s="31">
        <f>IF($A26="","",SUMIFS($E$139:$E$288,$B$139:$B$288,$A26,$U$139:$U$288,2,$Y$139:$Y$288,1,$C$139:$C$288,"&lt;="&amp;P$17,$D$139:$D$288,"&gt;="&amp;P$17))</f>
        <v/>
      </c>
      <c r="BM26" s="31">
        <f>IF(OR($A26="",$D$17=""),0,SUMPRODUCT(($D26:$P26&gt;=0)*(($D26:$P26-$AZ26:$BL26)&lt;0)))</f>
        <v/>
      </c>
      <c r="BN26" s="31">
        <f>IF(IFERROR(INDEX(Register!$A$6:$A$305,ROW()-5),"")="",0,SUMIF($A$139:$A$288,IFERROR(INDEX(Register!$A$6:$A$305,ROW()-5),""),$Z$139:$Z$288))</f>
        <v/>
      </c>
      <c r="BO26" s="31">
        <f>IF(OR(IFERROR(INDEX(Register!$A$6:$A$305,ROW()-5),"")="",SUM($Z$139:$Z$288)=0),0,IF(AND(IFERROR(INDEX(Register!$B$6:$B$305,ROW()-5),"")="Project",IFERROR(INDEX(Register!$D$6:$D$305,ROW()-5),"")="Active",IFERROR(INDEX(Register!$Z$6:$Z$305,ROW()-5),"")=1,$BN26=0),1,0))</f>
        <v/>
      </c>
      <c r="BP26" s="31">
        <f>IF(AND(IFERROR(INDEX(Register!$A$6:$A$305,ROW()-5),"")&lt;&gt;"",IFERROR(INDEX(Register!$D$6:$D$305,ROW()-5),"")="Proposed"),$BN26,0)</f>
        <v/>
      </c>
      <c r="BQ26" s="31">
        <f>IF(OR($A26="",$D$17=""),0,COUNTIF($D26:$P26,"&lt;0"))</f>
        <v/>
      </c>
      <c r="BR26" s="31">
        <f>IF(INDEX($A$63:$A$102,ROW()-6)="","",INDEX($A$63:$A$102,ROW()-6))</f>
        <v/>
      </c>
      <c r="BS26" s="31">
        <f>IF(INDEX($A$63:$A$102,ROW()-6)="","",INDEX($A$63:$A$102,ROW()-6))</f>
        <v/>
      </c>
    </row>
    <row r="27">
      <c r="A27" s="31">
        <f>IF(INDEX($A$63:$A$102,ROW()-17)="","",INDEX($A$63:$A$102,ROW()-17))</f>
        <v/>
      </c>
      <c r="B27" s="31">
        <f>IF(OR($A27="",$D$17=""),"",IF($BQ27=0,"○ Clear","△ "&amp;$BQ27&amp;IF($BQ27=1," week"," weeks")&amp;" over, from "&amp;TEXT(SUMPRODUCT(MIN($D$17:$P$17+($D27:$P27&gt;=0)*100000)),"d mmm")))</f>
        <v/>
      </c>
      <c r="C27" s="32">
        <f>IF($A27="","",IF(AND(ISNUMBER(INDEX($B$63:$B$102,ROW()-17)),INDEX($S$63:$S$102,ROW()-17)=0),INDEX($B$63:$B$102,ROW()-17),IF($C$7="",$B$7,5)))</f>
        <v/>
      </c>
      <c r="D27" s="51">
        <f>IF(OR($A27="",$D$17=""),"",ROUND(Z27-AM27,2))</f>
        <v/>
      </c>
      <c r="E27" s="51">
        <f>IF(OR($A27="",$D$17=""),"",ROUND(AA27-AN27,2))</f>
        <v/>
      </c>
      <c r="F27" s="51">
        <f>IF(OR($A27="",$D$17=""),"",ROUND(AB27-AO27,2))</f>
        <v/>
      </c>
      <c r="G27" s="51">
        <f>IF(OR($A27="",$D$17=""),"",ROUND(AC27-AP27,2))</f>
        <v/>
      </c>
      <c r="H27" s="51">
        <f>IF(OR($A27="",$D$17=""),"",ROUND(AD27-AQ27,2))</f>
        <v/>
      </c>
      <c r="I27" s="51">
        <f>IF(OR($A27="",$D$17=""),"",ROUND(AE27-AR27,2))</f>
        <v/>
      </c>
      <c r="J27" s="51">
        <f>IF(OR($A27="",$D$17=""),"",ROUND(AF27-AS27,2))</f>
        <v/>
      </c>
      <c r="K27" s="51">
        <f>IF(OR($A27="",$D$17=""),"",ROUND(AG27-AT27,2))</f>
        <v/>
      </c>
      <c r="L27" s="51">
        <f>IF(OR($A27="",$D$17=""),"",ROUND(AH27-AU27,2))</f>
        <v/>
      </c>
      <c r="M27" s="51">
        <f>IF(OR($A27="",$D$17=""),"",ROUND(AI27-AV27,2))</f>
        <v/>
      </c>
      <c r="N27" s="51">
        <f>IF(OR($A27="",$D$17=""),"",ROUND(AJ27-AW27,2))</f>
        <v/>
      </c>
      <c r="O27" s="51">
        <f>IF(OR($A27="",$D$17=""),"",ROUND(AK27-AX27,2))</f>
        <v/>
      </c>
      <c r="P27" s="51">
        <f>IF(OR($A27="",$D$17=""),"",ROUND(AL27-AY27,2))</f>
        <v/>
      </c>
      <c r="Q27" s="31">
        <f>IF(OR($A27="",$D$17=""),"",IF(SUM($AZ27:$BL27)=0,"",IF($BM27=0,"Fits","Over in "&amp;$BM27&amp;IF($BM27=1," week"," weeks")&amp;" if approved")))</f>
        <v/>
      </c>
      <c r="Z27" s="31">
        <f>IF(OR($A27="",$D$17=""),"",MAX(0,$C27-SUMIFS($D$106:$D$135,$A$106:$A$135,$A27,$B$106:$B$135,"&lt;="&amp;D$17,$C$106:$C$135,"&gt;="&amp;D$17,$S$106:$S$135,0)-SUMIFS($D$106:$D$135,$A$106:$A$135,"Everyone",$B$106:$B$135,"&lt;="&amp;D$17,$C$106:$C$135,"&gt;="&amp;D$17,$S$106:$S$135,0)))</f>
        <v/>
      </c>
      <c r="AA27" s="31">
        <f>IF(OR($A27="",$D$17=""),"",MAX(0,$C27-SUMIFS($D$106:$D$135,$A$106:$A$135,$A27,$B$106:$B$135,"&lt;="&amp;E$17,$C$106:$C$135,"&gt;="&amp;E$17,$S$106:$S$135,0)-SUMIFS($D$106:$D$135,$A$106:$A$135,"Everyone",$B$106:$B$135,"&lt;="&amp;E$17,$C$106:$C$135,"&gt;="&amp;E$17,$S$106:$S$135,0)))</f>
        <v/>
      </c>
      <c r="AB27" s="31">
        <f>IF(OR($A27="",$D$17=""),"",MAX(0,$C27-SUMIFS($D$106:$D$135,$A$106:$A$135,$A27,$B$106:$B$135,"&lt;="&amp;F$17,$C$106:$C$135,"&gt;="&amp;F$17,$S$106:$S$135,0)-SUMIFS($D$106:$D$135,$A$106:$A$135,"Everyone",$B$106:$B$135,"&lt;="&amp;F$17,$C$106:$C$135,"&gt;="&amp;F$17,$S$106:$S$135,0)))</f>
        <v/>
      </c>
      <c r="AC27" s="31">
        <f>IF(OR($A27="",$D$17=""),"",MAX(0,$C27-SUMIFS($D$106:$D$135,$A$106:$A$135,$A27,$B$106:$B$135,"&lt;="&amp;G$17,$C$106:$C$135,"&gt;="&amp;G$17,$S$106:$S$135,0)-SUMIFS($D$106:$D$135,$A$106:$A$135,"Everyone",$B$106:$B$135,"&lt;="&amp;G$17,$C$106:$C$135,"&gt;="&amp;G$17,$S$106:$S$135,0)))</f>
        <v/>
      </c>
      <c r="AD27" s="31">
        <f>IF(OR($A27="",$D$17=""),"",MAX(0,$C27-SUMIFS($D$106:$D$135,$A$106:$A$135,$A27,$B$106:$B$135,"&lt;="&amp;H$17,$C$106:$C$135,"&gt;="&amp;H$17,$S$106:$S$135,0)-SUMIFS($D$106:$D$135,$A$106:$A$135,"Everyone",$B$106:$B$135,"&lt;="&amp;H$17,$C$106:$C$135,"&gt;="&amp;H$17,$S$106:$S$135,0)))</f>
        <v/>
      </c>
      <c r="AE27" s="31">
        <f>IF(OR($A27="",$D$17=""),"",MAX(0,$C27-SUMIFS($D$106:$D$135,$A$106:$A$135,$A27,$B$106:$B$135,"&lt;="&amp;I$17,$C$106:$C$135,"&gt;="&amp;I$17,$S$106:$S$135,0)-SUMIFS($D$106:$D$135,$A$106:$A$135,"Everyone",$B$106:$B$135,"&lt;="&amp;I$17,$C$106:$C$135,"&gt;="&amp;I$17,$S$106:$S$135,0)))</f>
        <v/>
      </c>
      <c r="AF27" s="31">
        <f>IF(OR($A27="",$D$17=""),"",MAX(0,$C27-SUMIFS($D$106:$D$135,$A$106:$A$135,$A27,$B$106:$B$135,"&lt;="&amp;J$17,$C$106:$C$135,"&gt;="&amp;J$17,$S$106:$S$135,0)-SUMIFS($D$106:$D$135,$A$106:$A$135,"Everyone",$B$106:$B$135,"&lt;="&amp;J$17,$C$106:$C$135,"&gt;="&amp;J$17,$S$106:$S$135,0)))</f>
        <v/>
      </c>
      <c r="AG27" s="31">
        <f>IF(OR($A27="",$D$17=""),"",MAX(0,$C27-SUMIFS($D$106:$D$135,$A$106:$A$135,$A27,$B$106:$B$135,"&lt;="&amp;K$17,$C$106:$C$135,"&gt;="&amp;K$17,$S$106:$S$135,0)-SUMIFS($D$106:$D$135,$A$106:$A$135,"Everyone",$B$106:$B$135,"&lt;="&amp;K$17,$C$106:$C$135,"&gt;="&amp;K$17,$S$106:$S$135,0)))</f>
        <v/>
      </c>
      <c r="AH27" s="31">
        <f>IF(OR($A27="",$D$17=""),"",MAX(0,$C27-SUMIFS($D$106:$D$135,$A$106:$A$135,$A27,$B$106:$B$135,"&lt;="&amp;L$17,$C$106:$C$135,"&gt;="&amp;L$17,$S$106:$S$135,0)-SUMIFS($D$106:$D$135,$A$106:$A$135,"Everyone",$B$106:$B$135,"&lt;="&amp;L$17,$C$106:$C$135,"&gt;="&amp;L$17,$S$106:$S$135,0)))</f>
        <v/>
      </c>
      <c r="AI27" s="31">
        <f>IF(OR($A27="",$D$17=""),"",MAX(0,$C27-SUMIFS($D$106:$D$135,$A$106:$A$135,$A27,$B$106:$B$135,"&lt;="&amp;M$17,$C$106:$C$135,"&gt;="&amp;M$17,$S$106:$S$135,0)-SUMIFS($D$106:$D$135,$A$106:$A$135,"Everyone",$B$106:$B$135,"&lt;="&amp;M$17,$C$106:$C$135,"&gt;="&amp;M$17,$S$106:$S$135,0)))</f>
        <v/>
      </c>
      <c r="AJ27" s="31">
        <f>IF(OR($A27="",$D$17=""),"",MAX(0,$C27-SUMIFS($D$106:$D$135,$A$106:$A$135,$A27,$B$106:$B$135,"&lt;="&amp;N$17,$C$106:$C$135,"&gt;="&amp;N$17,$S$106:$S$135,0)-SUMIFS($D$106:$D$135,$A$106:$A$135,"Everyone",$B$106:$B$135,"&lt;="&amp;N$17,$C$106:$C$135,"&gt;="&amp;N$17,$S$106:$S$135,0)))</f>
        <v/>
      </c>
      <c r="AK27" s="31">
        <f>IF(OR($A27="",$D$17=""),"",MAX(0,$C27-SUMIFS($D$106:$D$135,$A$106:$A$135,$A27,$B$106:$B$135,"&lt;="&amp;O$17,$C$106:$C$135,"&gt;="&amp;O$17,$S$106:$S$135,0)-SUMIFS($D$106:$D$135,$A$106:$A$135,"Everyone",$B$106:$B$135,"&lt;="&amp;O$17,$C$106:$C$135,"&gt;="&amp;O$17,$S$106:$S$135,0)))</f>
        <v/>
      </c>
      <c r="AL27" s="31">
        <f>IF(OR($A27="",$D$17=""),"",MAX(0,$C27-SUMIFS($D$106:$D$135,$A$106:$A$135,$A27,$B$106:$B$135,"&lt;="&amp;P$17,$C$106:$C$135,"&gt;="&amp;P$17,$S$106:$S$135,0)-SUMIFS($D$106:$D$135,$A$106:$A$135,"Everyone",$B$106:$B$135,"&lt;="&amp;P$17,$C$106:$C$135,"&gt;="&amp;P$17,$S$106:$S$135,0)))</f>
        <v/>
      </c>
      <c r="AM27" s="31">
        <f>IF($A27="","",SUMIFS($E$139:$E$288,$B$139:$B$288,$A27,$U$139:$U$288,1,$Y$139:$Y$288,1,$C$139:$C$288,"&lt;="&amp;D$17,$D$139:$D$288,"&gt;="&amp;D$17))</f>
        <v/>
      </c>
      <c r="AN27" s="31">
        <f>IF($A27="","",SUMIFS($E$139:$E$288,$B$139:$B$288,$A27,$U$139:$U$288,1,$Y$139:$Y$288,1,$C$139:$C$288,"&lt;="&amp;E$17,$D$139:$D$288,"&gt;="&amp;E$17))</f>
        <v/>
      </c>
      <c r="AO27" s="31">
        <f>IF($A27="","",SUMIFS($E$139:$E$288,$B$139:$B$288,$A27,$U$139:$U$288,1,$Y$139:$Y$288,1,$C$139:$C$288,"&lt;="&amp;F$17,$D$139:$D$288,"&gt;="&amp;F$17))</f>
        <v/>
      </c>
      <c r="AP27" s="31">
        <f>IF($A27="","",SUMIFS($E$139:$E$288,$B$139:$B$288,$A27,$U$139:$U$288,1,$Y$139:$Y$288,1,$C$139:$C$288,"&lt;="&amp;G$17,$D$139:$D$288,"&gt;="&amp;G$17))</f>
        <v/>
      </c>
      <c r="AQ27" s="31">
        <f>IF($A27="","",SUMIFS($E$139:$E$288,$B$139:$B$288,$A27,$U$139:$U$288,1,$Y$139:$Y$288,1,$C$139:$C$288,"&lt;="&amp;H$17,$D$139:$D$288,"&gt;="&amp;H$17))</f>
        <v/>
      </c>
      <c r="AR27" s="31">
        <f>IF($A27="","",SUMIFS($E$139:$E$288,$B$139:$B$288,$A27,$U$139:$U$288,1,$Y$139:$Y$288,1,$C$139:$C$288,"&lt;="&amp;I$17,$D$139:$D$288,"&gt;="&amp;I$17))</f>
        <v/>
      </c>
      <c r="AS27" s="31">
        <f>IF($A27="","",SUMIFS($E$139:$E$288,$B$139:$B$288,$A27,$U$139:$U$288,1,$Y$139:$Y$288,1,$C$139:$C$288,"&lt;="&amp;J$17,$D$139:$D$288,"&gt;="&amp;J$17))</f>
        <v/>
      </c>
      <c r="AT27" s="31">
        <f>IF($A27="","",SUMIFS($E$139:$E$288,$B$139:$B$288,$A27,$U$139:$U$288,1,$Y$139:$Y$288,1,$C$139:$C$288,"&lt;="&amp;K$17,$D$139:$D$288,"&gt;="&amp;K$17))</f>
        <v/>
      </c>
      <c r="AU27" s="31">
        <f>IF($A27="","",SUMIFS($E$139:$E$288,$B$139:$B$288,$A27,$U$139:$U$288,1,$Y$139:$Y$288,1,$C$139:$C$288,"&lt;="&amp;L$17,$D$139:$D$288,"&gt;="&amp;L$17))</f>
        <v/>
      </c>
      <c r="AV27" s="31">
        <f>IF($A27="","",SUMIFS($E$139:$E$288,$B$139:$B$288,$A27,$U$139:$U$288,1,$Y$139:$Y$288,1,$C$139:$C$288,"&lt;="&amp;M$17,$D$139:$D$288,"&gt;="&amp;M$17))</f>
        <v/>
      </c>
      <c r="AW27" s="31">
        <f>IF($A27="","",SUMIFS($E$139:$E$288,$B$139:$B$288,$A27,$U$139:$U$288,1,$Y$139:$Y$288,1,$C$139:$C$288,"&lt;="&amp;N$17,$D$139:$D$288,"&gt;="&amp;N$17))</f>
        <v/>
      </c>
      <c r="AX27" s="31">
        <f>IF($A27="","",SUMIFS($E$139:$E$288,$B$139:$B$288,$A27,$U$139:$U$288,1,$Y$139:$Y$288,1,$C$139:$C$288,"&lt;="&amp;O$17,$D$139:$D$288,"&gt;="&amp;O$17))</f>
        <v/>
      </c>
      <c r="AY27" s="31">
        <f>IF($A27="","",SUMIFS($E$139:$E$288,$B$139:$B$288,$A27,$U$139:$U$288,1,$Y$139:$Y$288,1,$C$139:$C$288,"&lt;="&amp;P$17,$D$139:$D$288,"&gt;="&amp;P$17))</f>
        <v/>
      </c>
      <c r="AZ27" s="31">
        <f>IF($A27="","",SUMIFS($E$139:$E$288,$B$139:$B$288,$A27,$U$139:$U$288,2,$Y$139:$Y$288,1,$C$139:$C$288,"&lt;="&amp;D$17,$D$139:$D$288,"&gt;="&amp;D$17))</f>
        <v/>
      </c>
      <c r="BA27" s="31">
        <f>IF($A27="","",SUMIFS($E$139:$E$288,$B$139:$B$288,$A27,$U$139:$U$288,2,$Y$139:$Y$288,1,$C$139:$C$288,"&lt;="&amp;E$17,$D$139:$D$288,"&gt;="&amp;E$17))</f>
        <v/>
      </c>
      <c r="BB27" s="31">
        <f>IF($A27="","",SUMIFS($E$139:$E$288,$B$139:$B$288,$A27,$U$139:$U$288,2,$Y$139:$Y$288,1,$C$139:$C$288,"&lt;="&amp;F$17,$D$139:$D$288,"&gt;="&amp;F$17))</f>
        <v/>
      </c>
      <c r="BC27" s="31">
        <f>IF($A27="","",SUMIFS($E$139:$E$288,$B$139:$B$288,$A27,$U$139:$U$288,2,$Y$139:$Y$288,1,$C$139:$C$288,"&lt;="&amp;G$17,$D$139:$D$288,"&gt;="&amp;G$17))</f>
        <v/>
      </c>
      <c r="BD27" s="31">
        <f>IF($A27="","",SUMIFS($E$139:$E$288,$B$139:$B$288,$A27,$U$139:$U$288,2,$Y$139:$Y$288,1,$C$139:$C$288,"&lt;="&amp;H$17,$D$139:$D$288,"&gt;="&amp;H$17))</f>
        <v/>
      </c>
      <c r="BE27" s="31">
        <f>IF($A27="","",SUMIFS($E$139:$E$288,$B$139:$B$288,$A27,$U$139:$U$288,2,$Y$139:$Y$288,1,$C$139:$C$288,"&lt;="&amp;I$17,$D$139:$D$288,"&gt;="&amp;I$17))</f>
        <v/>
      </c>
      <c r="BF27" s="31">
        <f>IF($A27="","",SUMIFS($E$139:$E$288,$B$139:$B$288,$A27,$U$139:$U$288,2,$Y$139:$Y$288,1,$C$139:$C$288,"&lt;="&amp;J$17,$D$139:$D$288,"&gt;="&amp;J$17))</f>
        <v/>
      </c>
      <c r="BG27" s="31">
        <f>IF($A27="","",SUMIFS($E$139:$E$288,$B$139:$B$288,$A27,$U$139:$U$288,2,$Y$139:$Y$288,1,$C$139:$C$288,"&lt;="&amp;K$17,$D$139:$D$288,"&gt;="&amp;K$17))</f>
        <v/>
      </c>
      <c r="BH27" s="31">
        <f>IF($A27="","",SUMIFS($E$139:$E$288,$B$139:$B$288,$A27,$U$139:$U$288,2,$Y$139:$Y$288,1,$C$139:$C$288,"&lt;="&amp;L$17,$D$139:$D$288,"&gt;="&amp;L$17))</f>
        <v/>
      </c>
      <c r="BI27" s="31">
        <f>IF($A27="","",SUMIFS($E$139:$E$288,$B$139:$B$288,$A27,$U$139:$U$288,2,$Y$139:$Y$288,1,$C$139:$C$288,"&lt;="&amp;M$17,$D$139:$D$288,"&gt;="&amp;M$17))</f>
        <v/>
      </c>
      <c r="BJ27" s="31">
        <f>IF($A27="","",SUMIFS($E$139:$E$288,$B$139:$B$288,$A27,$U$139:$U$288,2,$Y$139:$Y$288,1,$C$139:$C$288,"&lt;="&amp;N$17,$D$139:$D$288,"&gt;="&amp;N$17))</f>
        <v/>
      </c>
      <c r="BK27" s="31">
        <f>IF($A27="","",SUMIFS($E$139:$E$288,$B$139:$B$288,$A27,$U$139:$U$288,2,$Y$139:$Y$288,1,$C$139:$C$288,"&lt;="&amp;O$17,$D$139:$D$288,"&gt;="&amp;O$17))</f>
        <v/>
      </c>
      <c r="BL27" s="31">
        <f>IF($A27="","",SUMIFS($E$139:$E$288,$B$139:$B$288,$A27,$U$139:$U$288,2,$Y$139:$Y$288,1,$C$139:$C$288,"&lt;="&amp;P$17,$D$139:$D$288,"&gt;="&amp;P$17))</f>
        <v/>
      </c>
      <c r="BM27" s="31">
        <f>IF(OR($A27="",$D$17=""),0,SUMPRODUCT(($D27:$P27&gt;=0)*(($D27:$P27-$AZ27:$BL27)&lt;0)))</f>
        <v/>
      </c>
      <c r="BN27" s="31">
        <f>IF(IFERROR(INDEX(Register!$A$6:$A$305,ROW()-5),"")="",0,SUMIF($A$139:$A$288,IFERROR(INDEX(Register!$A$6:$A$305,ROW()-5),""),$Z$139:$Z$288))</f>
        <v/>
      </c>
      <c r="BO27" s="31">
        <f>IF(OR(IFERROR(INDEX(Register!$A$6:$A$305,ROW()-5),"")="",SUM($Z$139:$Z$288)=0),0,IF(AND(IFERROR(INDEX(Register!$B$6:$B$305,ROW()-5),"")="Project",IFERROR(INDEX(Register!$D$6:$D$305,ROW()-5),"")="Active",IFERROR(INDEX(Register!$Z$6:$Z$305,ROW()-5),"")=1,$BN27=0),1,0))</f>
        <v/>
      </c>
      <c r="BP27" s="31">
        <f>IF(AND(IFERROR(INDEX(Register!$A$6:$A$305,ROW()-5),"")&lt;&gt;"",IFERROR(INDEX(Register!$D$6:$D$305,ROW()-5),"")="Proposed"),$BN27,0)</f>
        <v/>
      </c>
      <c r="BQ27" s="31">
        <f>IF(OR($A27="",$D$17=""),0,COUNTIF($D27:$P27,"&lt;0"))</f>
        <v/>
      </c>
      <c r="BR27" s="31">
        <f>IF(INDEX($A$63:$A$102,ROW()-6)="","",INDEX($A$63:$A$102,ROW()-6))</f>
        <v/>
      </c>
      <c r="BS27" s="31">
        <f>IF(INDEX($A$63:$A$102,ROW()-6)="","",INDEX($A$63:$A$102,ROW()-6))</f>
        <v/>
      </c>
    </row>
    <row r="28">
      <c r="A28" s="31">
        <f>IF(INDEX($A$63:$A$102,ROW()-17)="","",INDEX($A$63:$A$102,ROW()-17))</f>
        <v/>
      </c>
      <c r="B28" s="31">
        <f>IF(OR($A28="",$D$17=""),"",IF($BQ28=0,"○ Clear","△ "&amp;$BQ28&amp;IF($BQ28=1," week"," weeks")&amp;" over, from "&amp;TEXT(SUMPRODUCT(MIN($D$17:$P$17+($D28:$P28&gt;=0)*100000)),"d mmm")))</f>
        <v/>
      </c>
      <c r="C28" s="32">
        <f>IF($A28="","",IF(AND(ISNUMBER(INDEX($B$63:$B$102,ROW()-17)),INDEX($S$63:$S$102,ROW()-17)=0),INDEX($B$63:$B$102,ROW()-17),IF($C$7="",$B$7,5)))</f>
        <v/>
      </c>
      <c r="D28" s="51">
        <f>IF(OR($A28="",$D$17=""),"",ROUND(Z28-AM28,2))</f>
        <v/>
      </c>
      <c r="E28" s="51">
        <f>IF(OR($A28="",$D$17=""),"",ROUND(AA28-AN28,2))</f>
        <v/>
      </c>
      <c r="F28" s="51">
        <f>IF(OR($A28="",$D$17=""),"",ROUND(AB28-AO28,2))</f>
        <v/>
      </c>
      <c r="G28" s="51">
        <f>IF(OR($A28="",$D$17=""),"",ROUND(AC28-AP28,2))</f>
        <v/>
      </c>
      <c r="H28" s="51">
        <f>IF(OR($A28="",$D$17=""),"",ROUND(AD28-AQ28,2))</f>
        <v/>
      </c>
      <c r="I28" s="51">
        <f>IF(OR($A28="",$D$17=""),"",ROUND(AE28-AR28,2))</f>
        <v/>
      </c>
      <c r="J28" s="51">
        <f>IF(OR($A28="",$D$17=""),"",ROUND(AF28-AS28,2))</f>
        <v/>
      </c>
      <c r="K28" s="51">
        <f>IF(OR($A28="",$D$17=""),"",ROUND(AG28-AT28,2))</f>
        <v/>
      </c>
      <c r="L28" s="51">
        <f>IF(OR($A28="",$D$17=""),"",ROUND(AH28-AU28,2))</f>
        <v/>
      </c>
      <c r="M28" s="51">
        <f>IF(OR($A28="",$D$17=""),"",ROUND(AI28-AV28,2))</f>
        <v/>
      </c>
      <c r="N28" s="51">
        <f>IF(OR($A28="",$D$17=""),"",ROUND(AJ28-AW28,2))</f>
        <v/>
      </c>
      <c r="O28" s="51">
        <f>IF(OR($A28="",$D$17=""),"",ROUND(AK28-AX28,2))</f>
        <v/>
      </c>
      <c r="P28" s="51">
        <f>IF(OR($A28="",$D$17=""),"",ROUND(AL28-AY28,2))</f>
        <v/>
      </c>
      <c r="Q28" s="31">
        <f>IF(OR($A28="",$D$17=""),"",IF(SUM($AZ28:$BL28)=0,"",IF($BM28=0,"Fits","Over in "&amp;$BM28&amp;IF($BM28=1," week"," weeks")&amp;" if approved")))</f>
        <v/>
      </c>
      <c r="Z28" s="31">
        <f>IF(OR($A28="",$D$17=""),"",MAX(0,$C28-SUMIFS($D$106:$D$135,$A$106:$A$135,$A28,$B$106:$B$135,"&lt;="&amp;D$17,$C$106:$C$135,"&gt;="&amp;D$17,$S$106:$S$135,0)-SUMIFS($D$106:$D$135,$A$106:$A$135,"Everyone",$B$106:$B$135,"&lt;="&amp;D$17,$C$106:$C$135,"&gt;="&amp;D$17,$S$106:$S$135,0)))</f>
        <v/>
      </c>
      <c r="AA28" s="31">
        <f>IF(OR($A28="",$D$17=""),"",MAX(0,$C28-SUMIFS($D$106:$D$135,$A$106:$A$135,$A28,$B$106:$B$135,"&lt;="&amp;E$17,$C$106:$C$135,"&gt;="&amp;E$17,$S$106:$S$135,0)-SUMIFS($D$106:$D$135,$A$106:$A$135,"Everyone",$B$106:$B$135,"&lt;="&amp;E$17,$C$106:$C$135,"&gt;="&amp;E$17,$S$106:$S$135,0)))</f>
        <v/>
      </c>
      <c r="AB28" s="31">
        <f>IF(OR($A28="",$D$17=""),"",MAX(0,$C28-SUMIFS($D$106:$D$135,$A$106:$A$135,$A28,$B$106:$B$135,"&lt;="&amp;F$17,$C$106:$C$135,"&gt;="&amp;F$17,$S$106:$S$135,0)-SUMIFS($D$106:$D$135,$A$106:$A$135,"Everyone",$B$106:$B$135,"&lt;="&amp;F$17,$C$106:$C$135,"&gt;="&amp;F$17,$S$106:$S$135,0)))</f>
        <v/>
      </c>
      <c r="AC28" s="31">
        <f>IF(OR($A28="",$D$17=""),"",MAX(0,$C28-SUMIFS($D$106:$D$135,$A$106:$A$135,$A28,$B$106:$B$135,"&lt;="&amp;G$17,$C$106:$C$135,"&gt;="&amp;G$17,$S$106:$S$135,0)-SUMIFS($D$106:$D$135,$A$106:$A$135,"Everyone",$B$106:$B$135,"&lt;="&amp;G$17,$C$106:$C$135,"&gt;="&amp;G$17,$S$106:$S$135,0)))</f>
        <v/>
      </c>
      <c r="AD28" s="31">
        <f>IF(OR($A28="",$D$17=""),"",MAX(0,$C28-SUMIFS($D$106:$D$135,$A$106:$A$135,$A28,$B$106:$B$135,"&lt;="&amp;H$17,$C$106:$C$135,"&gt;="&amp;H$17,$S$106:$S$135,0)-SUMIFS($D$106:$D$135,$A$106:$A$135,"Everyone",$B$106:$B$135,"&lt;="&amp;H$17,$C$106:$C$135,"&gt;="&amp;H$17,$S$106:$S$135,0)))</f>
        <v/>
      </c>
      <c r="AE28" s="31">
        <f>IF(OR($A28="",$D$17=""),"",MAX(0,$C28-SUMIFS($D$106:$D$135,$A$106:$A$135,$A28,$B$106:$B$135,"&lt;="&amp;I$17,$C$106:$C$135,"&gt;="&amp;I$17,$S$106:$S$135,0)-SUMIFS($D$106:$D$135,$A$106:$A$135,"Everyone",$B$106:$B$135,"&lt;="&amp;I$17,$C$106:$C$135,"&gt;="&amp;I$17,$S$106:$S$135,0)))</f>
        <v/>
      </c>
      <c r="AF28" s="31">
        <f>IF(OR($A28="",$D$17=""),"",MAX(0,$C28-SUMIFS($D$106:$D$135,$A$106:$A$135,$A28,$B$106:$B$135,"&lt;="&amp;J$17,$C$106:$C$135,"&gt;="&amp;J$17,$S$106:$S$135,0)-SUMIFS($D$106:$D$135,$A$106:$A$135,"Everyone",$B$106:$B$135,"&lt;="&amp;J$17,$C$106:$C$135,"&gt;="&amp;J$17,$S$106:$S$135,0)))</f>
        <v/>
      </c>
      <c r="AG28" s="31">
        <f>IF(OR($A28="",$D$17=""),"",MAX(0,$C28-SUMIFS($D$106:$D$135,$A$106:$A$135,$A28,$B$106:$B$135,"&lt;="&amp;K$17,$C$106:$C$135,"&gt;="&amp;K$17,$S$106:$S$135,0)-SUMIFS($D$106:$D$135,$A$106:$A$135,"Everyone",$B$106:$B$135,"&lt;="&amp;K$17,$C$106:$C$135,"&gt;="&amp;K$17,$S$106:$S$135,0)))</f>
        <v/>
      </c>
      <c r="AH28" s="31">
        <f>IF(OR($A28="",$D$17=""),"",MAX(0,$C28-SUMIFS($D$106:$D$135,$A$106:$A$135,$A28,$B$106:$B$135,"&lt;="&amp;L$17,$C$106:$C$135,"&gt;="&amp;L$17,$S$106:$S$135,0)-SUMIFS($D$106:$D$135,$A$106:$A$135,"Everyone",$B$106:$B$135,"&lt;="&amp;L$17,$C$106:$C$135,"&gt;="&amp;L$17,$S$106:$S$135,0)))</f>
        <v/>
      </c>
      <c r="AI28" s="31">
        <f>IF(OR($A28="",$D$17=""),"",MAX(0,$C28-SUMIFS($D$106:$D$135,$A$106:$A$135,$A28,$B$106:$B$135,"&lt;="&amp;M$17,$C$106:$C$135,"&gt;="&amp;M$17,$S$106:$S$135,0)-SUMIFS($D$106:$D$135,$A$106:$A$135,"Everyone",$B$106:$B$135,"&lt;="&amp;M$17,$C$106:$C$135,"&gt;="&amp;M$17,$S$106:$S$135,0)))</f>
        <v/>
      </c>
      <c r="AJ28" s="31">
        <f>IF(OR($A28="",$D$17=""),"",MAX(0,$C28-SUMIFS($D$106:$D$135,$A$106:$A$135,$A28,$B$106:$B$135,"&lt;="&amp;N$17,$C$106:$C$135,"&gt;="&amp;N$17,$S$106:$S$135,0)-SUMIFS($D$106:$D$135,$A$106:$A$135,"Everyone",$B$106:$B$135,"&lt;="&amp;N$17,$C$106:$C$135,"&gt;="&amp;N$17,$S$106:$S$135,0)))</f>
        <v/>
      </c>
      <c r="AK28" s="31">
        <f>IF(OR($A28="",$D$17=""),"",MAX(0,$C28-SUMIFS($D$106:$D$135,$A$106:$A$135,$A28,$B$106:$B$135,"&lt;="&amp;O$17,$C$106:$C$135,"&gt;="&amp;O$17,$S$106:$S$135,0)-SUMIFS($D$106:$D$135,$A$106:$A$135,"Everyone",$B$106:$B$135,"&lt;="&amp;O$17,$C$106:$C$135,"&gt;="&amp;O$17,$S$106:$S$135,0)))</f>
        <v/>
      </c>
      <c r="AL28" s="31">
        <f>IF(OR($A28="",$D$17=""),"",MAX(0,$C28-SUMIFS($D$106:$D$135,$A$106:$A$135,$A28,$B$106:$B$135,"&lt;="&amp;P$17,$C$106:$C$135,"&gt;="&amp;P$17,$S$106:$S$135,0)-SUMIFS($D$106:$D$135,$A$106:$A$135,"Everyone",$B$106:$B$135,"&lt;="&amp;P$17,$C$106:$C$135,"&gt;="&amp;P$17,$S$106:$S$135,0)))</f>
        <v/>
      </c>
      <c r="AM28" s="31">
        <f>IF($A28="","",SUMIFS($E$139:$E$288,$B$139:$B$288,$A28,$U$139:$U$288,1,$Y$139:$Y$288,1,$C$139:$C$288,"&lt;="&amp;D$17,$D$139:$D$288,"&gt;="&amp;D$17))</f>
        <v/>
      </c>
      <c r="AN28" s="31">
        <f>IF($A28="","",SUMIFS($E$139:$E$288,$B$139:$B$288,$A28,$U$139:$U$288,1,$Y$139:$Y$288,1,$C$139:$C$288,"&lt;="&amp;E$17,$D$139:$D$288,"&gt;="&amp;E$17))</f>
        <v/>
      </c>
      <c r="AO28" s="31">
        <f>IF($A28="","",SUMIFS($E$139:$E$288,$B$139:$B$288,$A28,$U$139:$U$288,1,$Y$139:$Y$288,1,$C$139:$C$288,"&lt;="&amp;F$17,$D$139:$D$288,"&gt;="&amp;F$17))</f>
        <v/>
      </c>
      <c r="AP28" s="31">
        <f>IF($A28="","",SUMIFS($E$139:$E$288,$B$139:$B$288,$A28,$U$139:$U$288,1,$Y$139:$Y$288,1,$C$139:$C$288,"&lt;="&amp;G$17,$D$139:$D$288,"&gt;="&amp;G$17))</f>
        <v/>
      </c>
      <c r="AQ28" s="31">
        <f>IF($A28="","",SUMIFS($E$139:$E$288,$B$139:$B$288,$A28,$U$139:$U$288,1,$Y$139:$Y$288,1,$C$139:$C$288,"&lt;="&amp;H$17,$D$139:$D$288,"&gt;="&amp;H$17))</f>
        <v/>
      </c>
      <c r="AR28" s="31">
        <f>IF($A28="","",SUMIFS($E$139:$E$288,$B$139:$B$288,$A28,$U$139:$U$288,1,$Y$139:$Y$288,1,$C$139:$C$288,"&lt;="&amp;I$17,$D$139:$D$288,"&gt;="&amp;I$17))</f>
        <v/>
      </c>
      <c r="AS28" s="31">
        <f>IF($A28="","",SUMIFS($E$139:$E$288,$B$139:$B$288,$A28,$U$139:$U$288,1,$Y$139:$Y$288,1,$C$139:$C$288,"&lt;="&amp;J$17,$D$139:$D$288,"&gt;="&amp;J$17))</f>
        <v/>
      </c>
      <c r="AT28" s="31">
        <f>IF($A28="","",SUMIFS($E$139:$E$288,$B$139:$B$288,$A28,$U$139:$U$288,1,$Y$139:$Y$288,1,$C$139:$C$288,"&lt;="&amp;K$17,$D$139:$D$288,"&gt;="&amp;K$17))</f>
        <v/>
      </c>
      <c r="AU28" s="31">
        <f>IF($A28="","",SUMIFS($E$139:$E$288,$B$139:$B$288,$A28,$U$139:$U$288,1,$Y$139:$Y$288,1,$C$139:$C$288,"&lt;="&amp;L$17,$D$139:$D$288,"&gt;="&amp;L$17))</f>
        <v/>
      </c>
      <c r="AV28" s="31">
        <f>IF($A28="","",SUMIFS($E$139:$E$288,$B$139:$B$288,$A28,$U$139:$U$288,1,$Y$139:$Y$288,1,$C$139:$C$288,"&lt;="&amp;M$17,$D$139:$D$288,"&gt;="&amp;M$17))</f>
        <v/>
      </c>
      <c r="AW28" s="31">
        <f>IF($A28="","",SUMIFS($E$139:$E$288,$B$139:$B$288,$A28,$U$139:$U$288,1,$Y$139:$Y$288,1,$C$139:$C$288,"&lt;="&amp;N$17,$D$139:$D$288,"&gt;="&amp;N$17))</f>
        <v/>
      </c>
      <c r="AX28" s="31">
        <f>IF($A28="","",SUMIFS($E$139:$E$288,$B$139:$B$288,$A28,$U$139:$U$288,1,$Y$139:$Y$288,1,$C$139:$C$288,"&lt;="&amp;O$17,$D$139:$D$288,"&gt;="&amp;O$17))</f>
        <v/>
      </c>
      <c r="AY28" s="31">
        <f>IF($A28="","",SUMIFS($E$139:$E$288,$B$139:$B$288,$A28,$U$139:$U$288,1,$Y$139:$Y$288,1,$C$139:$C$288,"&lt;="&amp;P$17,$D$139:$D$288,"&gt;="&amp;P$17))</f>
        <v/>
      </c>
      <c r="AZ28" s="31">
        <f>IF($A28="","",SUMIFS($E$139:$E$288,$B$139:$B$288,$A28,$U$139:$U$288,2,$Y$139:$Y$288,1,$C$139:$C$288,"&lt;="&amp;D$17,$D$139:$D$288,"&gt;="&amp;D$17))</f>
        <v/>
      </c>
      <c r="BA28" s="31">
        <f>IF($A28="","",SUMIFS($E$139:$E$288,$B$139:$B$288,$A28,$U$139:$U$288,2,$Y$139:$Y$288,1,$C$139:$C$288,"&lt;="&amp;E$17,$D$139:$D$288,"&gt;="&amp;E$17))</f>
        <v/>
      </c>
      <c r="BB28" s="31">
        <f>IF($A28="","",SUMIFS($E$139:$E$288,$B$139:$B$288,$A28,$U$139:$U$288,2,$Y$139:$Y$288,1,$C$139:$C$288,"&lt;="&amp;F$17,$D$139:$D$288,"&gt;="&amp;F$17))</f>
        <v/>
      </c>
      <c r="BC28" s="31">
        <f>IF($A28="","",SUMIFS($E$139:$E$288,$B$139:$B$288,$A28,$U$139:$U$288,2,$Y$139:$Y$288,1,$C$139:$C$288,"&lt;="&amp;G$17,$D$139:$D$288,"&gt;="&amp;G$17))</f>
        <v/>
      </c>
      <c r="BD28" s="31">
        <f>IF($A28="","",SUMIFS($E$139:$E$288,$B$139:$B$288,$A28,$U$139:$U$288,2,$Y$139:$Y$288,1,$C$139:$C$288,"&lt;="&amp;H$17,$D$139:$D$288,"&gt;="&amp;H$17))</f>
        <v/>
      </c>
      <c r="BE28" s="31">
        <f>IF($A28="","",SUMIFS($E$139:$E$288,$B$139:$B$288,$A28,$U$139:$U$288,2,$Y$139:$Y$288,1,$C$139:$C$288,"&lt;="&amp;I$17,$D$139:$D$288,"&gt;="&amp;I$17))</f>
        <v/>
      </c>
      <c r="BF28" s="31">
        <f>IF($A28="","",SUMIFS($E$139:$E$288,$B$139:$B$288,$A28,$U$139:$U$288,2,$Y$139:$Y$288,1,$C$139:$C$288,"&lt;="&amp;J$17,$D$139:$D$288,"&gt;="&amp;J$17))</f>
        <v/>
      </c>
      <c r="BG28" s="31">
        <f>IF($A28="","",SUMIFS($E$139:$E$288,$B$139:$B$288,$A28,$U$139:$U$288,2,$Y$139:$Y$288,1,$C$139:$C$288,"&lt;="&amp;K$17,$D$139:$D$288,"&gt;="&amp;K$17))</f>
        <v/>
      </c>
      <c r="BH28" s="31">
        <f>IF($A28="","",SUMIFS($E$139:$E$288,$B$139:$B$288,$A28,$U$139:$U$288,2,$Y$139:$Y$288,1,$C$139:$C$288,"&lt;="&amp;L$17,$D$139:$D$288,"&gt;="&amp;L$17))</f>
        <v/>
      </c>
      <c r="BI28" s="31">
        <f>IF($A28="","",SUMIFS($E$139:$E$288,$B$139:$B$288,$A28,$U$139:$U$288,2,$Y$139:$Y$288,1,$C$139:$C$288,"&lt;="&amp;M$17,$D$139:$D$288,"&gt;="&amp;M$17))</f>
        <v/>
      </c>
      <c r="BJ28" s="31">
        <f>IF($A28="","",SUMIFS($E$139:$E$288,$B$139:$B$288,$A28,$U$139:$U$288,2,$Y$139:$Y$288,1,$C$139:$C$288,"&lt;="&amp;N$17,$D$139:$D$288,"&gt;="&amp;N$17))</f>
        <v/>
      </c>
      <c r="BK28" s="31">
        <f>IF($A28="","",SUMIFS($E$139:$E$288,$B$139:$B$288,$A28,$U$139:$U$288,2,$Y$139:$Y$288,1,$C$139:$C$288,"&lt;="&amp;O$17,$D$139:$D$288,"&gt;="&amp;O$17))</f>
        <v/>
      </c>
      <c r="BL28" s="31">
        <f>IF($A28="","",SUMIFS($E$139:$E$288,$B$139:$B$288,$A28,$U$139:$U$288,2,$Y$139:$Y$288,1,$C$139:$C$288,"&lt;="&amp;P$17,$D$139:$D$288,"&gt;="&amp;P$17))</f>
        <v/>
      </c>
      <c r="BM28" s="31">
        <f>IF(OR($A28="",$D$17=""),0,SUMPRODUCT(($D28:$P28&gt;=0)*(($D28:$P28-$AZ28:$BL28)&lt;0)))</f>
        <v/>
      </c>
      <c r="BN28" s="31">
        <f>IF(IFERROR(INDEX(Register!$A$6:$A$305,ROW()-5),"")="",0,SUMIF($A$139:$A$288,IFERROR(INDEX(Register!$A$6:$A$305,ROW()-5),""),$Z$139:$Z$288))</f>
        <v/>
      </c>
      <c r="BO28" s="31">
        <f>IF(OR(IFERROR(INDEX(Register!$A$6:$A$305,ROW()-5),"")="",SUM($Z$139:$Z$288)=0),0,IF(AND(IFERROR(INDEX(Register!$B$6:$B$305,ROW()-5),"")="Project",IFERROR(INDEX(Register!$D$6:$D$305,ROW()-5),"")="Active",IFERROR(INDEX(Register!$Z$6:$Z$305,ROW()-5),"")=1,$BN28=0),1,0))</f>
        <v/>
      </c>
      <c r="BP28" s="31">
        <f>IF(AND(IFERROR(INDEX(Register!$A$6:$A$305,ROW()-5),"")&lt;&gt;"",IFERROR(INDEX(Register!$D$6:$D$305,ROW()-5),"")="Proposed"),$BN28,0)</f>
        <v/>
      </c>
      <c r="BQ28" s="31">
        <f>IF(OR($A28="",$D$17=""),0,COUNTIF($D28:$P28,"&lt;0"))</f>
        <v/>
      </c>
      <c r="BR28" s="31">
        <f>IF(INDEX($A$63:$A$102,ROW()-6)="","",INDEX($A$63:$A$102,ROW()-6))</f>
        <v/>
      </c>
      <c r="BS28" s="31">
        <f>IF(INDEX($A$63:$A$102,ROW()-6)="","",INDEX($A$63:$A$102,ROW()-6))</f>
        <v/>
      </c>
    </row>
    <row r="29">
      <c r="A29" s="31">
        <f>IF(INDEX($A$63:$A$102,ROW()-17)="","",INDEX($A$63:$A$102,ROW()-17))</f>
        <v/>
      </c>
      <c r="B29" s="31">
        <f>IF(OR($A29="",$D$17=""),"",IF($BQ29=0,"○ Clear","△ "&amp;$BQ29&amp;IF($BQ29=1," week"," weeks")&amp;" over, from "&amp;TEXT(SUMPRODUCT(MIN($D$17:$P$17+($D29:$P29&gt;=0)*100000)),"d mmm")))</f>
        <v/>
      </c>
      <c r="C29" s="32">
        <f>IF($A29="","",IF(AND(ISNUMBER(INDEX($B$63:$B$102,ROW()-17)),INDEX($S$63:$S$102,ROW()-17)=0),INDEX($B$63:$B$102,ROW()-17),IF($C$7="",$B$7,5)))</f>
        <v/>
      </c>
      <c r="D29" s="51">
        <f>IF(OR($A29="",$D$17=""),"",ROUND(Z29-AM29,2))</f>
        <v/>
      </c>
      <c r="E29" s="51">
        <f>IF(OR($A29="",$D$17=""),"",ROUND(AA29-AN29,2))</f>
        <v/>
      </c>
      <c r="F29" s="51">
        <f>IF(OR($A29="",$D$17=""),"",ROUND(AB29-AO29,2))</f>
        <v/>
      </c>
      <c r="G29" s="51">
        <f>IF(OR($A29="",$D$17=""),"",ROUND(AC29-AP29,2))</f>
        <v/>
      </c>
      <c r="H29" s="51">
        <f>IF(OR($A29="",$D$17=""),"",ROUND(AD29-AQ29,2))</f>
        <v/>
      </c>
      <c r="I29" s="51">
        <f>IF(OR($A29="",$D$17=""),"",ROUND(AE29-AR29,2))</f>
        <v/>
      </c>
      <c r="J29" s="51">
        <f>IF(OR($A29="",$D$17=""),"",ROUND(AF29-AS29,2))</f>
        <v/>
      </c>
      <c r="K29" s="51">
        <f>IF(OR($A29="",$D$17=""),"",ROUND(AG29-AT29,2))</f>
        <v/>
      </c>
      <c r="L29" s="51">
        <f>IF(OR($A29="",$D$17=""),"",ROUND(AH29-AU29,2))</f>
        <v/>
      </c>
      <c r="M29" s="51">
        <f>IF(OR($A29="",$D$17=""),"",ROUND(AI29-AV29,2))</f>
        <v/>
      </c>
      <c r="N29" s="51">
        <f>IF(OR($A29="",$D$17=""),"",ROUND(AJ29-AW29,2))</f>
        <v/>
      </c>
      <c r="O29" s="51">
        <f>IF(OR($A29="",$D$17=""),"",ROUND(AK29-AX29,2))</f>
        <v/>
      </c>
      <c r="P29" s="51">
        <f>IF(OR($A29="",$D$17=""),"",ROUND(AL29-AY29,2))</f>
        <v/>
      </c>
      <c r="Q29" s="31">
        <f>IF(OR($A29="",$D$17=""),"",IF(SUM($AZ29:$BL29)=0,"",IF($BM29=0,"Fits","Over in "&amp;$BM29&amp;IF($BM29=1," week"," weeks")&amp;" if approved")))</f>
        <v/>
      </c>
      <c r="Z29" s="31">
        <f>IF(OR($A29="",$D$17=""),"",MAX(0,$C29-SUMIFS($D$106:$D$135,$A$106:$A$135,$A29,$B$106:$B$135,"&lt;="&amp;D$17,$C$106:$C$135,"&gt;="&amp;D$17,$S$106:$S$135,0)-SUMIFS($D$106:$D$135,$A$106:$A$135,"Everyone",$B$106:$B$135,"&lt;="&amp;D$17,$C$106:$C$135,"&gt;="&amp;D$17,$S$106:$S$135,0)))</f>
        <v/>
      </c>
      <c r="AA29" s="31">
        <f>IF(OR($A29="",$D$17=""),"",MAX(0,$C29-SUMIFS($D$106:$D$135,$A$106:$A$135,$A29,$B$106:$B$135,"&lt;="&amp;E$17,$C$106:$C$135,"&gt;="&amp;E$17,$S$106:$S$135,0)-SUMIFS($D$106:$D$135,$A$106:$A$135,"Everyone",$B$106:$B$135,"&lt;="&amp;E$17,$C$106:$C$135,"&gt;="&amp;E$17,$S$106:$S$135,0)))</f>
        <v/>
      </c>
      <c r="AB29" s="31">
        <f>IF(OR($A29="",$D$17=""),"",MAX(0,$C29-SUMIFS($D$106:$D$135,$A$106:$A$135,$A29,$B$106:$B$135,"&lt;="&amp;F$17,$C$106:$C$135,"&gt;="&amp;F$17,$S$106:$S$135,0)-SUMIFS($D$106:$D$135,$A$106:$A$135,"Everyone",$B$106:$B$135,"&lt;="&amp;F$17,$C$106:$C$135,"&gt;="&amp;F$17,$S$106:$S$135,0)))</f>
        <v/>
      </c>
      <c r="AC29" s="31">
        <f>IF(OR($A29="",$D$17=""),"",MAX(0,$C29-SUMIFS($D$106:$D$135,$A$106:$A$135,$A29,$B$106:$B$135,"&lt;="&amp;G$17,$C$106:$C$135,"&gt;="&amp;G$17,$S$106:$S$135,0)-SUMIFS($D$106:$D$135,$A$106:$A$135,"Everyone",$B$106:$B$135,"&lt;="&amp;G$17,$C$106:$C$135,"&gt;="&amp;G$17,$S$106:$S$135,0)))</f>
        <v/>
      </c>
      <c r="AD29" s="31">
        <f>IF(OR($A29="",$D$17=""),"",MAX(0,$C29-SUMIFS($D$106:$D$135,$A$106:$A$135,$A29,$B$106:$B$135,"&lt;="&amp;H$17,$C$106:$C$135,"&gt;="&amp;H$17,$S$106:$S$135,0)-SUMIFS($D$106:$D$135,$A$106:$A$135,"Everyone",$B$106:$B$135,"&lt;="&amp;H$17,$C$106:$C$135,"&gt;="&amp;H$17,$S$106:$S$135,0)))</f>
        <v/>
      </c>
      <c r="AE29" s="31">
        <f>IF(OR($A29="",$D$17=""),"",MAX(0,$C29-SUMIFS($D$106:$D$135,$A$106:$A$135,$A29,$B$106:$B$135,"&lt;="&amp;I$17,$C$106:$C$135,"&gt;="&amp;I$17,$S$106:$S$135,0)-SUMIFS($D$106:$D$135,$A$106:$A$135,"Everyone",$B$106:$B$135,"&lt;="&amp;I$17,$C$106:$C$135,"&gt;="&amp;I$17,$S$106:$S$135,0)))</f>
        <v/>
      </c>
      <c r="AF29" s="31">
        <f>IF(OR($A29="",$D$17=""),"",MAX(0,$C29-SUMIFS($D$106:$D$135,$A$106:$A$135,$A29,$B$106:$B$135,"&lt;="&amp;J$17,$C$106:$C$135,"&gt;="&amp;J$17,$S$106:$S$135,0)-SUMIFS($D$106:$D$135,$A$106:$A$135,"Everyone",$B$106:$B$135,"&lt;="&amp;J$17,$C$106:$C$135,"&gt;="&amp;J$17,$S$106:$S$135,0)))</f>
        <v/>
      </c>
      <c r="AG29" s="31">
        <f>IF(OR($A29="",$D$17=""),"",MAX(0,$C29-SUMIFS($D$106:$D$135,$A$106:$A$135,$A29,$B$106:$B$135,"&lt;="&amp;K$17,$C$106:$C$135,"&gt;="&amp;K$17,$S$106:$S$135,0)-SUMIFS($D$106:$D$135,$A$106:$A$135,"Everyone",$B$106:$B$135,"&lt;="&amp;K$17,$C$106:$C$135,"&gt;="&amp;K$17,$S$106:$S$135,0)))</f>
        <v/>
      </c>
      <c r="AH29" s="31">
        <f>IF(OR($A29="",$D$17=""),"",MAX(0,$C29-SUMIFS($D$106:$D$135,$A$106:$A$135,$A29,$B$106:$B$135,"&lt;="&amp;L$17,$C$106:$C$135,"&gt;="&amp;L$17,$S$106:$S$135,0)-SUMIFS($D$106:$D$135,$A$106:$A$135,"Everyone",$B$106:$B$135,"&lt;="&amp;L$17,$C$106:$C$135,"&gt;="&amp;L$17,$S$106:$S$135,0)))</f>
        <v/>
      </c>
      <c r="AI29" s="31">
        <f>IF(OR($A29="",$D$17=""),"",MAX(0,$C29-SUMIFS($D$106:$D$135,$A$106:$A$135,$A29,$B$106:$B$135,"&lt;="&amp;M$17,$C$106:$C$135,"&gt;="&amp;M$17,$S$106:$S$135,0)-SUMIFS($D$106:$D$135,$A$106:$A$135,"Everyone",$B$106:$B$135,"&lt;="&amp;M$17,$C$106:$C$135,"&gt;="&amp;M$17,$S$106:$S$135,0)))</f>
        <v/>
      </c>
      <c r="AJ29" s="31">
        <f>IF(OR($A29="",$D$17=""),"",MAX(0,$C29-SUMIFS($D$106:$D$135,$A$106:$A$135,$A29,$B$106:$B$135,"&lt;="&amp;N$17,$C$106:$C$135,"&gt;="&amp;N$17,$S$106:$S$135,0)-SUMIFS($D$106:$D$135,$A$106:$A$135,"Everyone",$B$106:$B$135,"&lt;="&amp;N$17,$C$106:$C$135,"&gt;="&amp;N$17,$S$106:$S$135,0)))</f>
        <v/>
      </c>
      <c r="AK29" s="31">
        <f>IF(OR($A29="",$D$17=""),"",MAX(0,$C29-SUMIFS($D$106:$D$135,$A$106:$A$135,$A29,$B$106:$B$135,"&lt;="&amp;O$17,$C$106:$C$135,"&gt;="&amp;O$17,$S$106:$S$135,0)-SUMIFS($D$106:$D$135,$A$106:$A$135,"Everyone",$B$106:$B$135,"&lt;="&amp;O$17,$C$106:$C$135,"&gt;="&amp;O$17,$S$106:$S$135,0)))</f>
        <v/>
      </c>
      <c r="AL29" s="31">
        <f>IF(OR($A29="",$D$17=""),"",MAX(0,$C29-SUMIFS($D$106:$D$135,$A$106:$A$135,$A29,$B$106:$B$135,"&lt;="&amp;P$17,$C$106:$C$135,"&gt;="&amp;P$17,$S$106:$S$135,0)-SUMIFS($D$106:$D$135,$A$106:$A$135,"Everyone",$B$106:$B$135,"&lt;="&amp;P$17,$C$106:$C$135,"&gt;="&amp;P$17,$S$106:$S$135,0)))</f>
        <v/>
      </c>
      <c r="AM29" s="31">
        <f>IF($A29="","",SUMIFS($E$139:$E$288,$B$139:$B$288,$A29,$U$139:$U$288,1,$Y$139:$Y$288,1,$C$139:$C$288,"&lt;="&amp;D$17,$D$139:$D$288,"&gt;="&amp;D$17))</f>
        <v/>
      </c>
      <c r="AN29" s="31">
        <f>IF($A29="","",SUMIFS($E$139:$E$288,$B$139:$B$288,$A29,$U$139:$U$288,1,$Y$139:$Y$288,1,$C$139:$C$288,"&lt;="&amp;E$17,$D$139:$D$288,"&gt;="&amp;E$17))</f>
        <v/>
      </c>
      <c r="AO29" s="31">
        <f>IF($A29="","",SUMIFS($E$139:$E$288,$B$139:$B$288,$A29,$U$139:$U$288,1,$Y$139:$Y$288,1,$C$139:$C$288,"&lt;="&amp;F$17,$D$139:$D$288,"&gt;="&amp;F$17))</f>
        <v/>
      </c>
      <c r="AP29" s="31">
        <f>IF($A29="","",SUMIFS($E$139:$E$288,$B$139:$B$288,$A29,$U$139:$U$288,1,$Y$139:$Y$288,1,$C$139:$C$288,"&lt;="&amp;G$17,$D$139:$D$288,"&gt;="&amp;G$17))</f>
        <v/>
      </c>
      <c r="AQ29" s="31">
        <f>IF($A29="","",SUMIFS($E$139:$E$288,$B$139:$B$288,$A29,$U$139:$U$288,1,$Y$139:$Y$288,1,$C$139:$C$288,"&lt;="&amp;H$17,$D$139:$D$288,"&gt;="&amp;H$17))</f>
        <v/>
      </c>
      <c r="AR29" s="31">
        <f>IF($A29="","",SUMIFS($E$139:$E$288,$B$139:$B$288,$A29,$U$139:$U$288,1,$Y$139:$Y$288,1,$C$139:$C$288,"&lt;="&amp;I$17,$D$139:$D$288,"&gt;="&amp;I$17))</f>
        <v/>
      </c>
      <c r="AS29" s="31">
        <f>IF($A29="","",SUMIFS($E$139:$E$288,$B$139:$B$288,$A29,$U$139:$U$288,1,$Y$139:$Y$288,1,$C$139:$C$288,"&lt;="&amp;J$17,$D$139:$D$288,"&gt;="&amp;J$17))</f>
        <v/>
      </c>
      <c r="AT29" s="31">
        <f>IF($A29="","",SUMIFS($E$139:$E$288,$B$139:$B$288,$A29,$U$139:$U$288,1,$Y$139:$Y$288,1,$C$139:$C$288,"&lt;="&amp;K$17,$D$139:$D$288,"&gt;="&amp;K$17))</f>
        <v/>
      </c>
      <c r="AU29" s="31">
        <f>IF($A29="","",SUMIFS($E$139:$E$288,$B$139:$B$288,$A29,$U$139:$U$288,1,$Y$139:$Y$288,1,$C$139:$C$288,"&lt;="&amp;L$17,$D$139:$D$288,"&gt;="&amp;L$17))</f>
        <v/>
      </c>
      <c r="AV29" s="31">
        <f>IF($A29="","",SUMIFS($E$139:$E$288,$B$139:$B$288,$A29,$U$139:$U$288,1,$Y$139:$Y$288,1,$C$139:$C$288,"&lt;="&amp;M$17,$D$139:$D$288,"&gt;="&amp;M$17))</f>
        <v/>
      </c>
      <c r="AW29" s="31">
        <f>IF($A29="","",SUMIFS($E$139:$E$288,$B$139:$B$288,$A29,$U$139:$U$288,1,$Y$139:$Y$288,1,$C$139:$C$288,"&lt;="&amp;N$17,$D$139:$D$288,"&gt;="&amp;N$17))</f>
        <v/>
      </c>
      <c r="AX29" s="31">
        <f>IF($A29="","",SUMIFS($E$139:$E$288,$B$139:$B$288,$A29,$U$139:$U$288,1,$Y$139:$Y$288,1,$C$139:$C$288,"&lt;="&amp;O$17,$D$139:$D$288,"&gt;="&amp;O$17))</f>
        <v/>
      </c>
      <c r="AY29" s="31">
        <f>IF($A29="","",SUMIFS($E$139:$E$288,$B$139:$B$288,$A29,$U$139:$U$288,1,$Y$139:$Y$288,1,$C$139:$C$288,"&lt;="&amp;P$17,$D$139:$D$288,"&gt;="&amp;P$17))</f>
        <v/>
      </c>
      <c r="AZ29" s="31">
        <f>IF($A29="","",SUMIFS($E$139:$E$288,$B$139:$B$288,$A29,$U$139:$U$288,2,$Y$139:$Y$288,1,$C$139:$C$288,"&lt;="&amp;D$17,$D$139:$D$288,"&gt;="&amp;D$17))</f>
        <v/>
      </c>
      <c r="BA29" s="31">
        <f>IF($A29="","",SUMIFS($E$139:$E$288,$B$139:$B$288,$A29,$U$139:$U$288,2,$Y$139:$Y$288,1,$C$139:$C$288,"&lt;="&amp;E$17,$D$139:$D$288,"&gt;="&amp;E$17))</f>
        <v/>
      </c>
      <c r="BB29" s="31">
        <f>IF($A29="","",SUMIFS($E$139:$E$288,$B$139:$B$288,$A29,$U$139:$U$288,2,$Y$139:$Y$288,1,$C$139:$C$288,"&lt;="&amp;F$17,$D$139:$D$288,"&gt;="&amp;F$17))</f>
        <v/>
      </c>
      <c r="BC29" s="31">
        <f>IF($A29="","",SUMIFS($E$139:$E$288,$B$139:$B$288,$A29,$U$139:$U$288,2,$Y$139:$Y$288,1,$C$139:$C$288,"&lt;="&amp;G$17,$D$139:$D$288,"&gt;="&amp;G$17))</f>
        <v/>
      </c>
      <c r="BD29" s="31">
        <f>IF($A29="","",SUMIFS($E$139:$E$288,$B$139:$B$288,$A29,$U$139:$U$288,2,$Y$139:$Y$288,1,$C$139:$C$288,"&lt;="&amp;H$17,$D$139:$D$288,"&gt;="&amp;H$17))</f>
        <v/>
      </c>
      <c r="BE29" s="31">
        <f>IF($A29="","",SUMIFS($E$139:$E$288,$B$139:$B$288,$A29,$U$139:$U$288,2,$Y$139:$Y$288,1,$C$139:$C$288,"&lt;="&amp;I$17,$D$139:$D$288,"&gt;="&amp;I$17))</f>
        <v/>
      </c>
      <c r="BF29" s="31">
        <f>IF($A29="","",SUMIFS($E$139:$E$288,$B$139:$B$288,$A29,$U$139:$U$288,2,$Y$139:$Y$288,1,$C$139:$C$288,"&lt;="&amp;J$17,$D$139:$D$288,"&gt;="&amp;J$17))</f>
        <v/>
      </c>
      <c r="BG29" s="31">
        <f>IF($A29="","",SUMIFS($E$139:$E$288,$B$139:$B$288,$A29,$U$139:$U$288,2,$Y$139:$Y$288,1,$C$139:$C$288,"&lt;="&amp;K$17,$D$139:$D$288,"&gt;="&amp;K$17))</f>
        <v/>
      </c>
      <c r="BH29" s="31">
        <f>IF($A29="","",SUMIFS($E$139:$E$288,$B$139:$B$288,$A29,$U$139:$U$288,2,$Y$139:$Y$288,1,$C$139:$C$288,"&lt;="&amp;L$17,$D$139:$D$288,"&gt;="&amp;L$17))</f>
        <v/>
      </c>
      <c r="BI29" s="31">
        <f>IF($A29="","",SUMIFS($E$139:$E$288,$B$139:$B$288,$A29,$U$139:$U$288,2,$Y$139:$Y$288,1,$C$139:$C$288,"&lt;="&amp;M$17,$D$139:$D$288,"&gt;="&amp;M$17))</f>
        <v/>
      </c>
      <c r="BJ29" s="31">
        <f>IF($A29="","",SUMIFS($E$139:$E$288,$B$139:$B$288,$A29,$U$139:$U$288,2,$Y$139:$Y$288,1,$C$139:$C$288,"&lt;="&amp;N$17,$D$139:$D$288,"&gt;="&amp;N$17))</f>
        <v/>
      </c>
      <c r="BK29" s="31">
        <f>IF($A29="","",SUMIFS($E$139:$E$288,$B$139:$B$288,$A29,$U$139:$U$288,2,$Y$139:$Y$288,1,$C$139:$C$288,"&lt;="&amp;O$17,$D$139:$D$288,"&gt;="&amp;O$17))</f>
        <v/>
      </c>
      <c r="BL29" s="31">
        <f>IF($A29="","",SUMIFS($E$139:$E$288,$B$139:$B$288,$A29,$U$139:$U$288,2,$Y$139:$Y$288,1,$C$139:$C$288,"&lt;="&amp;P$17,$D$139:$D$288,"&gt;="&amp;P$17))</f>
        <v/>
      </c>
      <c r="BM29" s="31">
        <f>IF(OR($A29="",$D$17=""),0,SUMPRODUCT(($D29:$P29&gt;=0)*(($D29:$P29-$AZ29:$BL29)&lt;0)))</f>
        <v/>
      </c>
      <c r="BN29" s="31">
        <f>IF(IFERROR(INDEX(Register!$A$6:$A$305,ROW()-5),"")="",0,SUMIF($A$139:$A$288,IFERROR(INDEX(Register!$A$6:$A$305,ROW()-5),""),$Z$139:$Z$288))</f>
        <v/>
      </c>
      <c r="BO29" s="31">
        <f>IF(OR(IFERROR(INDEX(Register!$A$6:$A$305,ROW()-5),"")="",SUM($Z$139:$Z$288)=0),0,IF(AND(IFERROR(INDEX(Register!$B$6:$B$305,ROW()-5),"")="Project",IFERROR(INDEX(Register!$D$6:$D$305,ROW()-5),"")="Active",IFERROR(INDEX(Register!$Z$6:$Z$305,ROW()-5),"")=1,$BN29=0),1,0))</f>
        <v/>
      </c>
      <c r="BP29" s="31">
        <f>IF(AND(IFERROR(INDEX(Register!$A$6:$A$305,ROW()-5),"")&lt;&gt;"",IFERROR(INDEX(Register!$D$6:$D$305,ROW()-5),"")="Proposed"),$BN29,0)</f>
        <v/>
      </c>
      <c r="BQ29" s="31">
        <f>IF(OR($A29="",$D$17=""),0,COUNTIF($D29:$P29,"&lt;0"))</f>
        <v/>
      </c>
      <c r="BR29" s="31">
        <f>IF(INDEX($A$63:$A$102,ROW()-6)="","",INDEX($A$63:$A$102,ROW()-6))</f>
        <v/>
      </c>
      <c r="BS29" s="31">
        <f>IF(INDEX($A$63:$A$102,ROW()-6)="","",INDEX($A$63:$A$102,ROW()-6))</f>
        <v/>
      </c>
    </row>
    <row r="30">
      <c r="A30" s="31">
        <f>IF(INDEX($A$63:$A$102,ROW()-17)="","",INDEX($A$63:$A$102,ROW()-17))</f>
        <v/>
      </c>
      <c r="B30" s="31">
        <f>IF(OR($A30="",$D$17=""),"",IF($BQ30=0,"○ Clear","△ "&amp;$BQ30&amp;IF($BQ30=1," week"," weeks")&amp;" over, from "&amp;TEXT(SUMPRODUCT(MIN($D$17:$P$17+($D30:$P30&gt;=0)*100000)),"d mmm")))</f>
        <v/>
      </c>
      <c r="C30" s="32">
        <f>IF($A30="","",IF(AND(ISNUMBER(INDEX($B$63:$B$102,ROW()-17)),INDEX($S$63:$S$102,ROW()-17)=0),INDEX($B$63:$B$102,ROW()-17),IF($C$7="",$B$7,5)))</f>
        <v/>
      </c>
      <c r="D30" s="51">
        <f>IF(OR($A30="",$D$17=""),"",ROUND(Z30-AM30,2))</f>
        <v/>
      </c>
      <c r="E30" s="51">
        <f>IF(OR($A30="",$D$17=""),"",ROUND(AA30-AN30,2))</f>
        <v/>
      </c>
      <c r="F30" s="51">
        <f>IF(OR($A30="",$D$17=""),"",ROUND(AB30-AO30,2))</f>
        <v/>
      </c>
      <c r="G30" s="51">
        <f>IF(OR($A30="",$D$17=""),"",ROUND(AC30-AP30,2))</f>
        <v/>
      </c>
      <c r="H30" s="51">
        <f>IF(OR($A30="",$D$17=""),"",ROUND(AD30-AQ30,2))</f>
        <v/>
      </c>
      <c r="I30" s="51">
        <f>IF(OR($A30="",$D$17=""),"",ROUND(AE30-AR30,2))</f>
        <v/>
      </c>
      <c r="J30" s="51">
        <f>IF(OR($A30="",$D$17=""),"",ROUND(AF30-AS30,2))</f>
        <v/>
      </c>
      <c r="K30" s="51">
        <f>IF(OR($A30="",$D$17=""),"",ROUND(AG30-AT30,2))</f>
        <v/>
      </c>
      <c r="L30" s="51">
        <f>IF(OR($A30="",$D$17=""),"",ROUND(AH30-AU30,2))</f>
        <v/>
      </c>
      <c r="M30" s="51">
        <f>IF(OR($A30="",$D$17=""),"",ROUND(AI30-AV30,2))</f>
        <v/>
      </c>
      <c r="N30" s="51">
        <f>IF(OR($A30="",$D$17=""),"",ROUND(AJ30-AW30,2))</f>
        <v/>
      </c>
      <c r="O30" s="51">
        <f>IF(OR($A30="",$D$17=""),"",ROUND(AK30-AX30,2))</f>
        <v/>
      </c>
      <c r="P30" s="51">
        <f>IF(OR($A30="",$D$17=""),"",ROUND(AL30-AY30,2))</f>
        <v/>
      </c>
      <c r="Q30" s="31">
        <f>IF(OR($A30="",$D$17=""),"",IF(SUM($AZ30:$BL30)=0,"",IF($BM30=0,"Fits","Over in "&amp;$BM30&amp;IF($BM30=1," week"," weeks")&amp;" if approved")))</f>
        <v/>
      </c>
      <c r="Z30" s="31">
        <f>IF(OR($A30="",$D$17=""),"",MAX(0,$C30-SUMIFS($D$106:$D$135,$A$106:$A$135,$A30,$B$106:$B$135,"&lt;="&amp;D$17,$C$106:$C$135,"&gt;="&amp;D$17,$S$106:$S$135,0)-SUMIFS($D$106:$D$135,$A$106:$A$135,"Everyone",$B$106:$B$135,"&lt;="&amp;D$17,$C$106:$C$135,"&gt;="&amp;D$17,$S$106:$S$135,0)))</f>
        <v/>
      </c>
      <c r="AA30" s="31">
        <f>IF(OR($A30="",$D$17=""),"",MAX(0,$C30-SUMIFS($D$106:$D$135,$A$106:$A$135,$A30,$B$106:$B$135,"&lt;="&amp;E$17,$C$106:$C$135,"&gt;="&amp;E$17,$S$106:$S$135,0)-SUMIFS($D$106:$D$135,$A$106:$A$135,"Everyone",$B$106:$B$135,"&lt;="&amp;E$17,$C$106:$C$135,"&gt;="&amp;E$17,$S$106:$S$135,0)))</f>
        <v/>
      </c>
      <c r="AB30" s="31">
        <f>IF(OR($A30="",$D$17=""),"",MAX(0,$C30-SUMIFS($D$106:$D$135,$A$106:$A$135,$A30,$B$106:$B$135,"&lt;="&amp;F$17,$C$106:$C$135,"&gt;="&amp;F$17,$S$106:$S$135,0)-SUMIFS($D$106:$D$135,$A$106:$A$135,"Everyone",$B$106:$B$135,"&lt;="&amp;F$17,$C$106:$C$135,"&gt;="&amp;F$17,$S$106:$S$135,0)))</f>
        <v/>
      </c>
      <c r="AC30" s="31">
        <f>IF(OR($A30="",$D$17=""),"",MAX(0,$C30-SUMIFS($D$106:$D$135,$A$106:$A$135,$A30,$B$106:$B$135,"&lt;="&amp;G$17,$C$106:$C$135,"&gt;="&amp;G$17,$S$106:$S$135,0)-SUMIFS($D$106:$D$135,$A$106:$A$135,"Everyone",$B$106:$B$135,"&lt;="&amp;G$17,$C$106:$C$135,"&gt;="&amp;G$17,$S$106:$S$135,0)))</f>
        <v/>
      </c>
      <c r="AD30" s="31">
        <f>IF(OR($A30="",$D$17=""),"",MAX(0,$C30-SUMIFS($D$106:$D$135,$A$106:$A$135,$A30,$B$106:$B$135,"&lt;="&amp;H$17,$C$106:$C$135,"&gt;="&amp;H$17,$S$106:$S$135,0)-SUMIFS($D$106:$D$135,$A$106:$A$135,"Everyone",$B$106:$B$135,"&lt;="&amp;H$17,$C$106:$C$135,"&gt;="&amp;H$17,$S$106:$S$135,0)))</f>
        <v/>
      </c>
      <c r="AE30" s="31">
        <f>IF(OR($A30="",$D$17=""),"",MAX(0,$C30-SUMIFS($D$106:$D$135,$A$106:$A$135,$A30,$B$106:$B$135,"&lt;="&amp;I$17,$C$106:$C$135,"&gt;="&amp;I$17,$S$106:$S$135,0)-SUMIFS($D$106:$D$135,$A$106:$A$135,"Everyone",$B$106:$B$135,"&lt;="&amp;I$17,$C$106:$C$135,"&gt;="&amp;I$17,$S$106:$S$135,0)))</f>
        <v/>
      </c>
      <c r="AF30" s="31">
        <f>IF(OR($A30="",$D$17=""),"",MAX(0,$C30-SUMIFS($D$106:$D$135,$A$106:$A$135,$A30,$B$106:$B$135,"&lt;="&amp;J$17,$C$106:$C$135,"&gt;="&amp;J$17,$S$106:$S$135,0)-SUMIFS($D$106:$D$135,$A$106:$A$135,"Everyone",$B$106:$B$135,"&lt;="&amp;J$17,$C$106:$C$135,"&gt;="&amp;J$17,$S$106:$S$135,0)))</f>
        <v/>
      </c>
      <c r="AG30" s="31">
        <f>IF(OR($A30="",$D$17=""),"",MAX(0,$C30-SUMIFS($D$106:$D$135,$A$106:$A$135,$A30,$B$106:$B$135,"&lt;="&amp;K$17,$C$106:$C$135,"&gt;="&amp;K$17,$S$106:$S$135,0)-SUMIFS($D$106:$D$135,$A$106:$A$135,"Everyone",$B$106:$B$135,"&lt;="&amp;K$17,$C$106:$C$135,"&gt;="&amp;K$17,$S$106:$S$135,0)))</f>
        <v/>
      </c>
      <c r="AH30" s="31">
        <f>IF(OR($A30="",$D$17=""),"",MAX(0,$C30-SUMIFS($D$106:$D$135,$A$106:$A$135,$A30,$B$106:$B$135,"&lt;="&amp;L$17,$C$106:$C$135,"&gt;="&amp;L$17,$S$106:$S$135,0)-SUMIFS($D$106:$D$135,$A$106:$A$135,"Everyone",$B$106:$B$135,"&lt;="&amp;L$17,$C$106:$C$135,"&gt;="&amp;L$17,$S$106:$S$135,0)))</f>
        <v/>
      </c>
      <c r="AI30" s="31">
        <f>IF(OR($A30="",$D$17=""),"",MAX(0,$C30-SUMIFS($D$106:$D$135,$A$106:$A$135,$A30,$B$106:$B$135,"&lt;="&amp;M$17,$C$106:$C$135,"&gt;="&amp;M$17,$S$106:$S$135,0)-SUMIFS($D$106:$D$135,$A$106:$A$135,"Everyone",$B$106:$B$135,"&lt;="&amp;M$17,$C$106:$C$135,"&gt;="&amp;M$17,$S$106:$S$135,0)))</f>
        <v/>
      </c>
      <c r="AJ30" s="31">
        <f>IF(OR($A30="",$D$17=""),"",MAX(0,$C30-SUMIFS($D$106:$D$135,$A$106:$A$135,$A30,$B$106:$B$135,"&lt;="&amp;N$17,$C$106:$C$135,"&gt;="&amp;N$17,$S$106:$S$135,0)-SUMIFS($D$106:$D$135,$A$106:$A$135,"Everyone",$B$106:$B$135,"&lt;="&amp;N$17,$C$106:$C$135,"&gt;="&amp;N$17,$S$106:$S$135,0)))</f>
        <v/>
      </c>
      <c r="AK30" s="31">
        <f>IF(OR($A30="",$D$17=""),"",MAX(0,$C30-SUMIFS($D$106:$D$135,$A$106:$A$135,$A30,$B$106:$B$135,"&lt;="&amp;O$17,$C$106:$C$135,"&gt;="&amp;O$17,$S$106:$S$135,0)-SUMIFS($D$106:$D$135,$A$106:$A$135,"Everyone",$B$106:$B$135,"&lt;="&amp;O$17,$C$106:$C$135,"&gt;="&amp;O$17,$S$106:$S$135,0)))</f>
        <v/>
      </c>
      <c r="AL30" s="31">
        <f>IF(OR($A30="",$D$17=""),"",MAX(0,$C30-SUMIFS($D$106:$D$135,$A$106:$A$135,$A30,$B$106:$B$135,"&lt;="&amp;P$17,$C$106:$C$135,"&gt;="&amp;P$17,$S$106:$S$135,0)-SUMIFS($D$106:$D$135,$A$106:$A$135,"Everyone",$B$106:$B$135,"&lt;="&amp;P$17,$C$106:$C$135,"&gt;="&amp;P$17,$S$106:$S$135,0)))</f>
        <v/>
      </c>
      <c r="AM30" s="31">
        <f>IF($A30="","",SUMIFS($E$139:$E$288,$B$139:$B$288,$A30,$U$139:$U$288,1,$Y$139:$Y$288,1,$C$139:$C$288,"&lt;="&amp;D$17,$D$139:$D$288,"&gt;="&amp;D$17))</f>
        <v/>
      </c>
      <c r="AN30" s="31">
        <f>IF($A30="","",SUMIFS($E$139:$E$288,$B$139:$B$288,$A30,$U$139:$U$288,1,$Y$139:$Y$288,1,$C$139:$C$288,"&lt;="&amp;E$17,$D$139:$D$288,"&gt;="&amp;E$17))</f>
        <v/>
      </c>
      <c r="AO30" s="31">
        <f>IF($A30="","",SUMIFS($E$139:$E$288,$B$139:$B$288,$A30,$U$139:$U$288,1,$Y$139:$Y$288,1,$C$139:$C$288,"&lt;="&amp;F$17,$D$139:$D$288,"&gt;="&amp;F$17))</f>
        <v/>
      </c>
      <c r="AP30" s="31">
        <f>IF($A30="","",SUMIFS($E$139:$E$288,$B$139:$B$288,$A30,$U$139:$U$288,1,$Y$139:$Y$288,1,$C$139:$C$288,"&lt;="&amp;G$17,$D$139:$D$288,"&gt;="&amp;G$17))</f>
        <v/>
      </c>
      <c r="AQ30" s="31">
        <f>IF($A30="","",SUMIFS($E$139:$E$288,$B$139:$B$288,$A30,$U$139:$U$288,1,$Y$139:$Y$288,1,$C$139:$C$288,"&lt;="&amp;H$17,$D$139:$D$288,"&gt;="&amp;H$17))</f>
        <v/>
      </c>
      <c r="AR30" s="31">
        <f>IF($A30="","",SUMIFS($E$139:$E$288,$B$139:$B$288,$A30,$U$139:$U$288,1,$Y$139:$Y$288,1,$C$139:$C$288,"&lt;="&amp;I$17,$D$139:$D$288,"&gt;="&amp;I$17))</f>
        <v/>
      </c>
      <c r="AS30" s="31">
        <f>IF($A30="","",SUMIFS($E$139:$E$288,$B$139:$B$288,$A30,$U$139:$U$288,1,$Y$139:$Y$288,1,$C$139:$C$288,"&lt;="&amp;J$17,$D$139:$D$288,"&gt;="&amp;J$17))</f>
        <v/>
      </c>
      <c r="AT30" s="31">
        <f>IF($A30="","",SUMIFS($E$139:$E$288,$B$139:$B$288,$A30,$U$139:$U$288,1,$Y$139:$Y$288,1,$C$139:$C$288,"&lt;="&amp;K$17,$D$139:$D$288,"&gt;="&amp;K$17))</f>
        <v/>
      </c>
      <c r="AU30" s="31">
        <f>IF($A30="","",SUMIFS($E$139:$E$288,$B$139:$B$288,$A30,$U$139:$U$288,1,$Y$139:$Y$288,1,$C$139:$C$288,"&lt;="&amp;L$17,$D$139:$D$288,"&gt;="&amp;L$17))</f>
        <v/>
      </c>
      <c r="AV30" s="31">
        <f>IF($A30="","",SUMIFS($E$139:$E$288,$B$139:$B$288,$A30,$U$139:$U$288,1,$Y$139:$Y$288,1,$C$139:$C$288,"&lt;="&amp;M$17,$D$139:$D$288,"&gt;="&amp;M$17))</f>
        <v/>
      </c>
      <c r="AW30" s="31">
        <f>IF($A30="","",SUMIFS($E$139:$E$288,$B$139:$B$288,$A30,$U$139:$U$288,1,$Y$139:$Y$288,1,$C$139:$C$288,"&lt;="&amp;N$17,$D$139:$D$288,"&gt;="&amp;N$17))</f>
        <v/>
      </c>
      <c r="AX30" s="31">
        <f>IF($A30="","",SUMIFS($E$139:$E$288,$B$139:$B$288,$A30,$U$139:$U$288,1,$Y$139:$Y$288,1,$C$139:$C$288,"&lt;="&amp;O$17,$D$139:$D$288,"&gt;="&amp;O$17))</f>
        <v/>
      </c>
      <c r="AY30" s="31">
        <f>IF($A30="","",SUMIFS($E$139:$E$288,$B$139:$B$288,$A30,$U$139:$U$288,1,$Y$139:$Y$288,1,$C$139:$C$288,"&lt;="&amp;P$17,$D$139:$D$288,"&gt;="&amp;P$17))</f>
        <v/>
      </c>
      <c r="AZ30" s="31">
        <f>IF($A30="","",SUMIFS($E$139:$E$288,$B$139:$B$288,$A30,$U$139:$U$288,2,$Y$139:$Y$288,1,$C$139:$C$288,"&lt;="&amp;D$17,$D$139:$D$288,"&gt;="&amp;D$17))</f>
        <v/>
      </c>
      <c r="BA30" s="31">
        <f>IF($A30="","",SUMIFS($E$139:$E$288,$B$139:$B$288,$A30,$U$139:$U$288,2,$Y$139:$Y$288,1,$C$139:$C$288,"&lt;="&amp;E$17,$D$139:$D$288,"&gt;="&amp;E$17))</f>
        <v/>
      </c>
      <c r="BB30" s="31">
        <f>IF($A30="","",SUMIFS($E$139:$E$288,$B$139:$B$288,$A30,$U$139:$U$288,2,$Y$139:$Y$288,1,$C$139:$C$288,"&lt;="&amp;F$17,$D$139:$D$288,"&gt;="&amp;F$17))</f>
        <v/>
      </c>
      <c r="BC30" s="31">
        <f>IF($A30="","",SUMIFS($E$139:$E$288,$B$139:$B$288,$A30,$U$139:$U$288,2,$Y$139:$Y$288,1,$C$139:$C$288,"&lt;="&amp;G$17,$D$139:$D$288,"&gt;="&amp;G$17))</f>
        <v/>
      </c>
      <c r="BD30" s="31">
        <f>IF($A30="","",SUMIFS($E$139:$E$288,$B$139:$B$288,$A30,$U$139:$U$288,2,$Y$139:$Y$288,1,$C$139:$C$288,"&lt;="&amp;H$17,$D$139:$D$288,"&gt;="&amp;H$17))</f>
        <v/>
      </c>
      <c r="BE30" s="31">
        <f>IF($A30="","",SUMIFS($E$139:$E$288,$B$139:$B$288,$A30,$U$139:$U$288,2,$Y$139:$Y$288,1,$C$139:$C$288,"&lt;="&amp;I$17,$D$139:$D$288,"&gt;="&amp;I$17))</f>
        <v/>
      </c>
      <c r="BF30" s="31">
        <f>IF($A30="","",SUMIFS($E$139:$E$288,$B$139:$B$288,$A30,$U$139:$U$288,2,$Y$139:$Y$288,1,$C$139:$C$288,"&lt;="&amp;J$17,$D$139:$D$288,"&gt;="&amp;J$17))</f>
        <v/>
      </c>
      <c r="BG30" s="31">
        <f>IF($A30="","",SUMIFS($E$139:$E$288,$B$139:$B$288,$A30,$U$139:$U$288,2,$Y$139:$Y$288,1,$C$139:$C$288,"&lt;="&amp;K$17,$D$139:$D$288,"&gt;="&amp;K$17))</f>
        <v/>
      </c>
      <c r="BH30" s="31">
        <f>IF($A30="","",SUMIFS($E$139:$E$288,$B$139:$B$288,$A30,$U$139:$U$288,2,$Y$139:$Y$288,1,$C$139:$C$288,"&lt;="&amp;L$17,$D$139:$D$288,"&gt;="&amp;L$17))</f>
        <v/>
      </c>
      <c r="BI30" s="31">
        <f>IF($A30="","",SUMIFS($E$139:$E$288,$B$139:$B$288,$A30,$U$139:$U$288,2,$Y$139:$Y$288,1,$C$139:$C$288,"&lt;="&amp;M$17,$D$139:$D$288,"&gt;="&amp;M$17))</f>
        <v/>
      </c>
      <c r="BJ30" s="31">
        <f>IF($A30="","",SUMIFS($E$139:$E$288,$B$139:$B$288,$A30,$U$139:$U$288,2,$Y$139:$Y$288,1,$C$139:$C$288,"&lt;="&amp;N$17,$D$139:$D$288,"&gt;="&amp;N$17))</f>
        <v/>
      </c>
      <c r="BK30" s="31">
        <f>IF($A30="","",SUMIFS($E$139:$E$288,$B$139:$B$288,$A30,$U$139:$U$288,2,$Y$139:$Y$288,1,$C$139:$C$288,"&lt;="&amp;O$17,$D$139:$D$288,"&gt;="&amp;O$17))</f>
        <v/>
      </c>
      <c r="BL30" s="31">
        <f>IF($A30="","",SUMIFS($E$139:$E$288,$B$139:$B$288,$A30,$U$139:$U$288,2,$Y$139:$Y$288,1,$C$139:$C$288,"&lt;="&amp;P$17,$D$139:$D$288,"&gt;="&amp;P$17))</f>
        <v/>
      </c>
      <c r="BM30" s="31">
        <f>IF(OR($A30="",$D$17=""),0,SUMPRODUCT(($D30:$P30&gt;=0)*(($D30:$P30-$AZ30:$BL30)&lt;0)))</f>
        <v/>
      </c>
      <c r="BN30" s="31">
        <f>IF(IFERROR(INDEX(Register!$A$6:$A$305,ROW()-5),"")="",0,SUMIF($A$139:$A$288,IFERROR(INDEX(Register!$A$6:$A$305,ROW()-5),""),$Z$139:$Z$288))</f>
        <v/>
      </c>
      <c r="BO30" s="31">
        <f>IF(OR(IFERROR(INDEX(Register!$A$6:$A$305,ROW()-5),"")="",SUM($Z$139:$Z$288)=0),0,IF(AND(IFERROR(INDEX(Register!$B$6:$B$305,ROW()-5),"")="Project",IFERROR(INDEX(Register!$D$6:$D$305,ROW()-5),"")="Active",IFERROR(INDEX(Register!$Z$6:$Z$305,ROW()-5),"")=1,$BN30=0),1,0))</f>
        <v/>
      </c>
      <c r="BP30" s="31">
        <f>IF(AND(IFERROR(INDEX(Register!$A$6:$A$305,ROW()-5),"")&lt;&gt;"",IFERROR(INDEX(Register!$D$6:$D$305,ROW()-5),"")="Proposed"),$BN30,0)</f>
        <v/>
      </c>
      <c r="BQ30" s="31">
        <f>IF(OR($A30="",$D$17=""),0,COUNTIF($D30:$P30,"&lt;0"))</f>
        <v/>
      </c>
      <c r="BR30" s="31">
        <f>IF(INDEX($A$63:$A$102,ROW()-6)="","",INDEX($A$63:$A$102,ROW()-6))</f>
        <v/>
      </c>
      <c r="BS30" s="31">
        <f>IF(INDEX($A$63:$A$102,ROW()-6)="","",INDEX($A$63:$A$102,ROW()-6))</f>
        <v/>
      </c>
    </row>
    <row r="31">
      <c r="A31" s="31">
        <f>IF(INDEX($A$63:$A$102,ROW()-17)="","",INDEX($A$63:$A$102,ROW()-17))</f>
        <v/>
      </c>
      <c r="B31" s="31">
        <f>IF(OR($A31="",$D$17=""),"",IF($BQ31=0,"○ Clear","△ "&amp;$BQ31&amp;IF($BQ31=1," week"," weeks")&amp;" over, from "&amp;TEXT(SUMPRODUCT(MIN($D$17:$P$17+($D31:$P31&gt;=0)*100000)),"d mmm")))</f>
        <v/>
      </c>
      <c r="C31" s="32">
        <f>IF($A31="","",IF(AND(ISNUMBER(INDEX($B$63:$B$102,ROW()-17)),INDEX($S$63:$S$102,ROW()-17)=0),INDEX($B$63:$B$102,ROW()-17),IF($C$7="",$B$7,5)))</f>
        <v/>
      </c>
      <c r="D31" s="51">
        <f>IF(OR($A31="",$D$17=""),"",ROUND(Z31-AM31,2))</f>
        <v/>
      </c>
      <c r="E31" s="51">
        <f>IF(OR($A31="",$D$17=""),"",ROUND(AA31-AN31,2))</f>
        <v/>
      </c>
      <c r="F31" s="51">
        <f>IF(OR($A31="",$D$17=""),"",ROUND(AB31-AO31,2))</f>
        <v/>
      </c>
      <c r="G31" s="51">
        <f>IF(OR($A31="",$D$17=""),"",ROUND(AC31-AP31,2))</f>
        <v/>
      </c>
      <c r="H31" s="51">
        <f>IF(OR($A31="",$D$17=""),"",ROUND(AD31-AQ31,2))</f>
        <v/>
      </c>
      <c r="I31" s="51">
        <f>IF(OR($A31="",$D$17=""),"",ROUND(AE31-AR31,2))</f>
        <v/>
      </c>
      <c r="J31" s="51">
        <f>IF(OR($A31="",$D$17=""),"",ROUND(AF31-AS31,2))</f>
        <v/>
      </c>
      <c r="K31" s="51">
        <f>IF(OR($A31="",$D$17=""),"",ROUND(AG31-AT31,2))</f>
        <v/>
      </c>
      <c r="L31" s="51">
        <f>IF(OR($A31="",$D$17=""),"",ROUND(AH31-AU31,2))</f>
        <v/>
      </c>
      <c r="M31" s="51">
        <f>IF(OR($A31="",$D$17=""),"",ROUND(AI31-AV31,2))</f>
        <v/>
      </c>
      <c r="N31" s="51">
        <f>IF(OR($A31="",$D$17=""),"",ROUND(AJ31-AW31,2))</f>
        <v/>
      </c>
      <c r="O31" s="51">
        <f>IF(OR($A31="",$D$17=""),"",ROUND(AK31-AX31,2))</f>
        <v/>
      </c>
      <c r="P31" s="51">
        <f>IF(OR($A31="",$D$17=""),"",ROUND(AL31-AY31,2))</f>
        <v/>
      </c>
      <c r="Q31" s="31">
        <f>IF(OR($A31="",$D$17=""),"",IF(SUM($AZ31:$BL31)=0,"",IF($BM31=0,"Fits","Over in "&amp;$BM31&amp;IF($BM31=1," week"," weeks")&amp;" if approved")))</f>
        <v/>
      </c>
      <c r="Z31" s="31">
        <f>IF(OR($A31="",$D$17=""),"",MAX(0,$C31-SUMIFS($D$106:$D$135,$A$106:$A$135,$A31,$B$106:$B$135,"&lt;="&amp;D$17,$C$106:$C$135,"&gt;="&amp;D$17,$S$106:$S$135,0)-SUMIFS($D$106:$D$135,$A$106:$A$135,"Everyone",$B$106:$B$135,"&lt;="&amp;D$17,$C$106:$C$135,"&gt;="&amp;D$17,$S$106:$S$135,0)))</f>
        <v/>
      </c>
      <c r="AA31" s="31">
        <f>IF(OR($A31="",$D$17=""),"",MAX(0,$C31-SUMIFS($D$106:$D$135,$A$106:$A$135,$A31,$B$106:$B$135,"&lt;="&amp;E$17,$C$106:$C$135,"&gt;="&amp;E$17,$S$106:$S$135,0)-SUMIFS($D$106:$D$135,$A$106:$A$135,"Everyone",$B$106:$B$135,"&lt;="&amp;E$17,$C$106:$C$135,"&gt;="&amp;E$17,$S$106:$S$135,0)))</f>
        <v/>
      </c>
      <c r="AB31" s="31">
        <f>IF(OR($A31="",$D$17=""),"",MAX(0,$C31-SUMIFS($D$106:$D$135,$A$106:$A$135,$A31,$B$106:$B$135,"&lt;="&amp;F$17,$C$106:$C$135,"&gt;="&amp;F$17,$S$106:$S$135,0)-SUMIFS($D$106:$D$135,$A$106:$A$135,"Everyone",$B$106:$B$135,"&lt;="&amp;F$17,$C$106:$C$135,"&gt;="&amp;F$17,$S$106:$S$135,0)))</f>
        <v/>
      </c>
      <c r="AC31" s="31">
        <f>IF(OR($A31="",$D$17=""),"",MAX(0,$C31-SUMIFS($D$106:$D$135,$A$106:$A$135,$A31,$B$106:$B$135,"&lt;="&amp;G$17,$C$106:$C$135,"&gt;="&amp;G$17,$S$106:$S$135,0)-SUMIFS($D$106:$D$135,$A$106:$A$135,"Everyone",$B$106:$B$135,"&lt;="&amp;G$17,$C$106:$C$135,"&gt;="&amp;G$17,$S$106:$S$135,0)))</f>
        <v/>
      </c>
      <c r="AD31" s="31">
        <f>IF(OR($A31="",$D$17=""),"",MAX(0,$C31-SUMIFS($D$106:$D$135,$A$106:$A$135,$A31,$B$106:$B$135,"&lt;="&amp;H$17,$C$106:$C$135,"&gt;="&amp;H$17,$S$106:$S$135,0)-SUMIFS($D$106:$D$135,$A$106:$A$135,"Everyone",$B$106:$B$135,"&lt;="&amp;H$17,$C$106:$C$135,"&gt;="&amp;H$17,$S$106:$S$135,0)))</f>
        <v/>
      </c>
      <c r="AE31" s="31">
        <f>IF(OR($A31="",$D$17=""),"",MAX(0,$C31-SUMIFS($D$106:$D$135,$A$106:$A$135,$A31,$B$106:$B$135,"&lt;="&amp;I$17,$C$106:$C$135,"&gt;="&amp;I$17,$S$106:$S$135,0)-SUMIFS($D$106:$D$135,$A$106:$A$135,"Everyone",$B$106:$B$135,"&lt;="&amp;I$17,$C$106:$C$135,"&gt;="&amp;I$17,$S$106:$S$135,0)))</f>
        <v/>
      </c>
      <c r="AF31" s="31">
        <f>IF(OR($A31="",$D$17=""),"",MAX(0,$C31-SUMIFS($D$106:$D$135,$A$106:$A$135,$A31,$B$106:$B$135,"&lt;="&amp;J$17,$C$106:$C$135,"&gt;="&amp;J$17,$S$106:$S$135,0)-SUMIFS($D$106:$D$135,$A$106:$A$135,"Everyone",$B$106:$B$135,"&lt;="&amp;J$17,$C$106:$C$135,"&gt;="&amp;J$17,$S$106:$S$135,0)))</f>
        <v/>
      </c>
      <c r="AG31" s="31">
        <f>IF(OR($A31="",$D$17=""),"",MAX(0,$C31-SUMIFS($D$106:$D$135,$A$106:$A$135,$A31,$B$106:$B$135,"&lt;="&amp;K$17,$C$106:$C$135,"&gt;="&amp;K$17,$S$106:$S$135,0)-SUMIFS($D$106:$D$135,$A$106:$A$135,"Everyone",$B$106:$B$135,"&lt;="&amp;K$17,$C$106:$C$135,"&gt;="&amp;K$17,$S$106:$S$135,0)))</f>
        <v/>
      </c>
      <c r="AH31" s="31">
        <f>IF(OR($A31="",$D$17=""),"",MAX(0,$C31-SUMIFS($D$106:$D$135,$A$106:$A$135,$A31,$B$106:$B$135,"&lt;="&amp;L$17,$C$106:$C$135,"&gt;="&amp;L$17,$S$106:$S$135,0)-SUMIFS($D$106:$D$135,$A$106:$A$135,"Everyone",$B$106:$B$135,"&lt;="&amp;L$17,$C$106:$C$135,"&gt;="&amp;L$17,$S$106:$S$135,0)))</f>
        <v/>
      </c>
      <c r="AI31" s="31">
        <f>IF(OR($A31="",$D$17=""),"",MAX(0,$C31-SUMIFS($D$106:$D$135,$A$106:$A$135,$A31,$B$106:$B$135,"&lt;="&amp;M$17,$C$106:$C$135,"&gt;="&amp;M$17,$S$106:$S$135,0)-SUMIFS($D$106:$D$135,$A$106:$A$135,"Everyone",$B$106:$B$135,"&lt;="&amp;M$17,$C$106:$C$135,"&gt;="&amp;M$17,$S$106:$S$135,0)))</f>
        <v/>
      </c>
      <c r="AJ31" s="31">
        <f>IF(OR($A31="",$D$17=""),"",MAX(0,$C31-SUMIFS($D$106:$D$135,$A$106:$A$135,$A31,$B$106:$B$135,"&lt;="&amp;N$17,$C$106:$C$135,"&gt;="&amp;N$17,$S$106:$S$135,0)-SUMIFS($D$106:$D$135,$A$106:$A$135,"Everyone",$B$106:$B$135,"&lt;="&amp;N$17,$C$106:$C$135,"&gt;="&amp;N$17,$S$106:$S$135,0)))</f>
        <v/>
      </c>
      <c r="AK31" s="31">
        <f>IF(OR($A31="",$D$17=""),"",MAX(0,$C31-SUMIFS($D$106:$D$135,$A$106:$A$135,$A31,$B$106:$B$135,"&lt;="&amp;O$17,$C$106:$C$135,"&gt;="&amp;O$17,$S$106:$S$135,0)-SUMIFS($D$106:$D$135,$A$106:$A$135,"Everyone",$B$106:$B$135,"&lt;="&amp;O$17,$C$106:$C$135,"&gt;="&amp;O$17,$S$106:$S$135,0)))</f>
        <v/>
      </c>
      <c r="AL31" s="31">
        <f>IF(OR($A31="",$D$17=""),"",MAX(0,$C31-SUMIFS($D$106:$D$135,$A$106:$A$135,$A31,$B$106:$B$135,"&lt;="&amp;P$17,$C$106:$C$135,"&gt;="&amp;P$17,$S$106:$S$135,0)-SUMIFS($D$106:$D$135,$A$106:$A$135,"Everyone",$B$106:$B$135,"&lt;="&amp;P$17,$C$106:$C$135,"&gt;="&amp;P$17,$S$106:$S$135,0)))</f>
        <v/>
      </c>
      <c r="AM31" s="31">
        <f>IF($A31="","",SUMIFS($E$139:$E$288,$B$139:$B$288,$A31,$U$139:$U$288,1,$Y$139:$Y$288,1,$C$139:$C$288,"&lt;="&amp;D$17,$D$139:$D$288,"&gt;="&amp;D$17))</f>
        <v/>
      </c>
      <c r="AN31" s="31">
        <f>IF($A31="","",SUMIFS($E$139:$E$288,$B$139:$B$288,$A31,$U$139:$U$288,1,$Y$139:$Y$288,1,$C$139:$C$288,"&lt;="&amp;E$17,$D$139:$D$288,"&gt;="&amp;E$17))</f>
        <v/>
      </c>
      <c r="AO31" s="31">
        <f>IF($A31="","",SUMIFS($E$139:$E$288,$B$139:$B$288,$A31,$U$139:$U$288,1,$Y$139:$Y$288,1,$C$139:$C$288,"&lt;="&amp;F$17,$D$139:$D$288,"&gt;="&amp;F$17))</f>
        <v/>
      </c>
      <c r="AP31" s="31">
        <f>IF($A31="","",SUMIFS($E$139:$E$288,$B$139:$B$288,$A31,$U$139:$U$288,1,$Y$139:$Y$288,1,$C$139:$C$288,"&lt;="&amp;G$17,$D$139:$D$288,"&gt;="&amp;G$17))</f>
        <v/>
      </c>
      <c r="AQ31" s="31">
        <f>IF($A31="","",SUMIFS($E$139:$E$288,$B$139:$B$288,$A31,$U$139:$U$288,1,$Y$139:$Y$288,1,$C$139:$C$288,"&lt;="&amp;H$17,$D$139:$D$288,"&gt;="&amp;H$17))</f>
        <v/>
      </c>
      <c r="AR31" s="31">
        <f>IF($A31="","",SUMIFS($E$139:$E$288,$B$139:$B$288,$A31,$U$139:$U$288,1,$Y$139:$Y$288,1,$C$139:$C$288,"&lt;="&amp;I$17,$D$139:$D$288,"&gt;="&amp;I$17))</f>
        <v/>
      </c>
      <c r="AS31" s="31">
        <f>IF($A31="","",SUMIFS($E$139:$E$288,$B$139:$B$288,$A31,$U$139:$U$288,1,$Y$139:$Y$288,1,$C$139:$C$288,"&lt;="&amp;J$17,$D$139:$D$288,"&gt;="&amp;J$17))</f>
        <v/>
      </c>
      <c r="AT31" s="31">
        <f>IF($A31="","",SUMIFS($E$139:$E$288,$B$139:$B$288,$A31,$U$139:$U$288,1,$Y$139:$Y$288,1,$C$139:$C$288,"&lt;="&amp;K$17,$D$139:$D$288,"&gt;="&amp;K$17))</f>
        <v/>
      </c>
      <c r="AU31" s="31">
        <f>IF($A31="","",SUMIFS($E$139:$E$288,$B$139:$B$288,$A31,$U$139:$U$288,1,$Y$139:$Y$288,1,$C$139:$C$288,"&lt;="&amp;L$17,$D$139:$D$288,"&gt;="&amp;L$17))</f>
        <v/>
      </c>
      <c r="AV31" s="31">
        <f>IF($A31="","",SUMIFS($E$139:$E$288,$B$139:$B$288,$A31,$U$139:$U$288,1,$Y$139:$Y$288,1,$C$139:$C$288,"&lt;="&amp;M$17,$D$139:$D$288,"&gt;="&amp;M$17))</f>
        <v/>
      </c>
      <c r="AW31" s="31">
        <f>IF($A31="","",SUMIFS($E$139:$E$288,$B$139:$B$288,$A31,$U$139:$U$288,1,$Y$139:$Y$288,1,$C$139:$C$288,"&lt;="&amp;N$17,$D$139:$D$288,"&gt;="&amp;N$17))</f>
        <v/>
      </c>
      <c r="AX31" s="31">
        <f>IF($A31="","",SUMIFS($E$139:$E$288,$B$139:$B$288,$A31,$U$139:$U$288,1,$Y$139:$Y$288,1,$C$139:$C$288,"&lt;="&amp;O$17,$D$139:$D$288,"&gt;="&amp;O$17))</f>
        <v/>
      </c>
      <c r="AY31" s="31">
        <f>IF($A31="","",SUMIFS($E$139:$E$288,$B$139:$B$288,$A31,$U$139:$U$288,1,$Y$139:$Y$288,1,$C$139:$C$288,"&lt;="&amp;P$17,$D$139:$D$288,"&gt;="&amp;P$17))</f>
        <v/>
      </c>
      <c r="AZ31" s="31">
        <f>IF($A31="","",SUMIFS($E$139:$E$288,$B$139:$B$288,$A31,$U$139:$U$288,2,$Y$139:$Y$288,1,$C$139:$C$288,"&lt;="&amp;D$17,$D$139:$D$288,"&gt;="&amp;D$17))</f>
        <v/>
      </c>
      <c r="BA31" s="31">
        <f>IF($A31="","",SUMIFS($E$139:$E$288,$B$139:$B$288,$A31,$U$139:$U$288,2,$Y$139:$Y$288,1,$C$139:$C$288,"&lt;="&amp;E$17,$D$139:$D$288,"&gt;="&amp;E$17))</f>
        <v/>
      </c>
      <c r="BB31" s="31">
        <f>IF($A31="","",SUMIFS($E$139:$E$288,$B$139:$B$288,$A31,$U$139:$U$288,2,$Y$139:$Y$288,1,$C$139:$C$288,"&lt;="&amp;F$17,$D$139:$D$288,"&gt;="&amp;F$17))</f>
        <v/>
      </c>
      <c r="BC31" s="31">
        <f>IF($A31="","",SUMIFS($E$139:$E$288,$B$139:$B$288,$A31,$U$139:$U$288,2,$Y$139:$Y$288,1,$C$139:$C$288,"&lt;="&amp;G$17,$D$139:$D$288,"&gt;="&amp;G$17))</f>
        <v/>
      </c>
      <c r="BD31" s="31">
        <f>IF($A31="","",SUMIFS($E$139:$E$288,$B$139:$B$288,$A31,$U$139:$U$288,2,$Y$139:$Y$288,1,$C$139:$C$288,"&lt;="&amp;H$17,$D$139:$D$288,"&gt;="&amp;H$17))</f>
        <v/>
      </c>
      <c r="BE31" s="31">
        <f>IF($A31="","",SUMIFS($E$139:$E$288,$B$139:$B$288,$A31,$U$139:$U$288,2,$Y$139:$Y$288,1,$C$139:$C$288,"&lt;="&amp;I$17,$D$139:$D$288,"&gt;="&amp;I$17))</f>
        <v/>
      </c>
      <c r="BF31" s="31">
        <f>IF($A31="","",SUMIFS($E$139:$E$288,$B$139:$B$288,$A31,$U$139:$U$288,2,$Y$139:$Y$288,1,$C$139:$C$288,"&lt;="&amp;J$17,$D$139:$D$288,"&gt;="&amp;J$17))</f>
        <v/>
      </c>
      <c r="BG31" s="31">
        <f>IF($A31="","",SUMIFS($E$139:$E$288,$B$139:$B$288,$A31,$U$139:$U$288,2,$Y$139:$Y$288,1,$C$139:$C$288,"&lt;="&amp;K$17,$D$139:$D$288,"&gt;="&amp;K$17))</f>
        <v/>
      </c>
      <c r="BH31" s="31">
        <f>IF($A31="","",SUMIFS($E$139:$E$288,$B$139:$B$288,$A31,$U$139:$U$288,2,$Y$139:$Y$288,1,$C$139:$C$288,"&lt;="&amp;L$17,$D$139:$D$288,"&gt;="&amp;L$17))</f>
        <v/>
      </c>
      <c r="BI31" s="31">
        <f>IF($A31="","",SUMIFS($E$139:$E$288,$B$139:$B$288,$A31,$U$139:$U$288,2,$Y$139:$Y$288,1,$C$139:$C$288,"&lt;="&amp;M$17,$D$139:$D$288,"&gt;="&amp;M$17))</f>
        <v/>
      </c>
      <c r="BJ31" s="31">
        <f>IF($A31="","",SUMIFS($E$139:$E$288,$B$139:$B$288,$A31,$U$139:$U$288,2,$Y$139:$Y$288,1,$C$139:$C$288,"&lt;="&amp;N$17,$D$139:$D$288,"&gt;="&amp;N$17))</f>
        <v/>
      </c>
      <c r="BK31" s="31">
        <f>IF($A31="","",SUMIFS($E$139:$E$288,$B$139:$B$288,$A31,$U$139:$U$288,2,$Y$139:$Y$288,1,$C$139:$C$288,"&lt;="&amp;O$17,$D$139:$D$288,"&gt;="&amp;O$17))</f>
        <v/>
      </c>
      <c r="BL31" s="31">
        <f>IF($A31="","",SUMIFS($E$139:$E$288,$B$139:$B$288,$A31,$U$139:$U$288,2,$Y$139:$Y$288,1,$C$139:$C$288,"&lt;="&amp;P$17,$D$139:$D$288,"&gt;="&amp;P$17))</f>
        <v/>
      </c>
      <c r="BM31" s="31">
        <f>IF(OR($A31="",$D$17=""),0,SUMPRODUCT(($D31:$P31&gt;=0)*(($D31:$P31-$AZ31:$BL31)&lt;0)))</f>
        <v/>
      </c>
      <c r="BN31" s="31">
        <f>IF(IFERROR(INDEX(Register!$A$6:$A$305,ROW()-5),"")="",0,SUMIF($A$139:$A$288,IFERROR(INDEX(Register!$A$6:$A$305,ROW()-5),""),$Z$139:$Z$288))</f>
        <v/>
      </c>
      <c r="BO31" s="31">
        <f>IF(OR(IFERROR(INDEX(Register!$A$6:$A$305,ROW()-5),"")="",SUM($Z$139:$Z$288)=0),0,IF(AND(IFERROR(INDEX(Register!$B$6:$B$305,ROW()-5),"")="Project",IFERROR(INDEX(Register!$D$6:$D$305,ROW()-5),"")="Active",IFERROR(INDEX(Register!$Z$6:$Z$305,ROW()-5),"")=1,$BN31=0),1,0))</f>
        <v/>
      </c>
      <c r="BP31" s="31">
        <f>IF(AND(IFERROR(INDEX(Register!$A$6:$A$305,ROW()-5),"")&lt;&gt;"",IFERROR(INDEX(Register!$D$6:$D$305,ROW()-5),"")="Proposed"),$BN31,0)</f>
        <v/>
      </c>
      <c r="BQ31" s="31">
        <f>IF(OR($A31="",$D$17=""),0,COUNTIF($D31:$P31,"&lt;0"))</f>
        <v/>
      </c>
      <c r="BR31" s="31">
        <f>IF(INDEX($A$63:$A$102,ROW()-6)="","",INDEX($A$63:$A$102,ROW()-6))</f>
        <v/>
      </c>
      <c r="BS31" s="31">
        <f>IF(INDEX($A$63:$A$102,ROW()-6)="","",INDEX($A$63:$A$102,ROW()-6))</f>
        <v/>
      </c>
    </row>
    <row r="32">
      <c r="A32" s="31">
        <f>IF(INDEX($A$63:$A$102,ROW()-17)="","",INDEX($A$63:$A$102,ROW()-17))</f>
        <v/>
      </c>
      <c r="B32" s="31">
        <f>IF(OR($A32="",$D$17=""),"",IF($BQ32=0,"○ Clear","△ "&amp;$BQ32&amp;IF($BQ32=1," week"," weeks")&amp;" over, from "&amp;TEXT(SUMPRODUCT(MIN($D$17:$P$17+($D32:$P32&gt;=0)*100000)),"d mmm")))</f>
        <v/>
      </c>
      <c r="C32" s="32">
        <f>IF($A32="","",IF(AND(ISNUMBER(INDEX($B$63:$B$102,ROW()-17)),INDEX($S$63:$S$102,ROW()-17)=0),INDEX($B$63:$B$102,ROW()-17),IF($C$7="",$B$7,5)))</f>
        <v/>
      </c>
      <c r="D32" s="51">
        <f>IF(OR($A32="",$D$17=""),"",ROUND(Z32-AM32,2))</f>
        <v/>
      </c>
      <c r="E32" s="51">
        <f>IF(OR($A32="",$D$17=""),"",ROUND(AA32-AN32,2))</f>
        <v/>
      </c>
      <c r="F32" s="51">
        <f>IF(OR($A32="",$D$17=""),"",ROUND(AB32-AO32,2))</f>
        <v/>
      </c>
      <c r="G32" s="51">
        <f>IF(OR($A32="",$D$17=""),"",ROUND(AC32-AP32,2))</f>
        <v/>
      </c>
      <c r="H32" s="51">
        <f>IF(OR($A32="",$D$17=""),"",ROUND(AD32-AQ32,2))</f>
        <v/>
      </c>
      <c r="I32" s="51">
        <f>IF(OR($A32="",$D$17=""),"",ROUND(AE32-AR32,2))</f>
        <v/>
      </c>
      <c r="J32" s="51">
        <f>IF(OR($A32="",$D$17=""),"",ROUND(AF32-AS32,2))</f>
        <v/>
      </c>
      <c r="K32" s="51">
        <f>IF(OR($A32="",$D$17=""),"",ROUND(AG32-AT32,2))</f>
        <v/>
      </c>
      <c r="L32" s="51">
        <f>IF(OR($A32="",$D$17=""),"",ROUND(AH32-AU32,2))</f>
        <v/>
      </c>
      <c r="M32" s="51">
        <f>IF(OR($A32="",$D$17=""),"",ROUND(AI32-AV32,2))</f>
        <v/>
      </c>
      <c r="N32" s="51">
        <f>IF(OR($A32="",$D$17=""),"",ROUND(AJ32-AW32,2))</f>
        <v/>
      </c>
      <c r="O32" s="51">
        <f>IF(OR($A32="",$D$17=""),"",ROUND(AK32-AX32,2))</f>
        <v/>
      </c>
      <c r="P32" s="51">
        <f>IF(OR($A32="",$D$17=""),"",ROUND(AL32-AY32,2))</f>
        <v/>
      </c>
      <c r="Q32" s="31">
        <f>IF(OR($A32="",$D$17=""),"",IF(SUM($AZ32:$BL32)=0,"",IF($BM32=0,"Fits","Over in "&amp;$BM32&amp;IF($BM32=1," week"," weeks")&amp;" if approved")))</f>
        <v/>
      </c>
      <c r="Z32" s="31">
        <f>IF(OR($A32="",$D$17=""),"",MAX(0,$C32-SUMIFS($D$106:$D$135,$A$106:$A$135,$A32,$B$106:$B$135,"&lt;="&amp;D$17,$C$106:$C$135,"&gt;="&amp;D$17,$S$106:$S$135,0)-SUMIFS($D$106:$D$135,$A$106:$A$135,"Everyone",$B$106:$B$135,"&lt;="&amp;D$17,$C$106:$C$135,"&gt;="&amp;D$17,$S$106:$S$135,0)))</f>
        <v/>
      </c>
      <c r="AA32" s="31">
        <f>IF(OR($A32="",$D$17=""),"",MAX(0,$C32-SUMIFS($D$106:$D$135,$A$106:$A$135,$A32,$B$106:$B$135,"&lt;="&amp;E$17,$C$106:$C$135,"&gt;="&amp;E$17,$S$106:$S$135,0)-SUMIFS($D$106:$D$135,$A$106:$A$135,"Everyone",$B$106:$B$135,"&lt;="&amp;E$17,$C$106:$C$135,"&gt;="&amp;E$17,$S$106:$S$135,0)))</f>
        <v/>
      </c>
      <c r="AB32" s="31">
        <f>IF(OR($A32="",$D$17=""),"",MAX(0,$C32-SUMIFS($D$106:$D$135,$A$106:$A$135,$A32,$B$106:$B$135,"&lt;="&amp;F$17,$C$106:$C$135,"&gt;="&amp;F$17,$S$106:$S$135,0)-SUMIFS($D$106:$D$135,$A$106:$A$135,"Everyone",$B$106:$B$135,"&lt;="&amp;F$17,$C$106:$C$135,"&gt;="&amp;F$17,$S$106:$S$135,0)))</f>
        <v/>
      </c>
      <c r="AC32" s="31">
        <f>IF(OR($A32="",$D$17=""),"",MAX(0,$C32-SUMIFS($D$106:$D$135,$A$106:$A$135,$A32,$B$106:$B$135,"&lt;="&amp;G$17,$C$106:$C$135,"&gt;="&amp;G$17,$S$106:$S$135,0)-SUMIFS($D$106:$D$135,$A$106:$A$135,"Everyone",$B$106:$B$135,"&lt;="&amp;G$17,$C$106:$C$135,"&gt;="&amp;G$17,$S$106:$S$135,0)))</f>
        <v/>
      </c>
      <c r="AD32" s="31">
        <f>IF(OR($A32="",$D$17=""),"",MAX(0,$C32-SUMIFS($D$106:$D$135,$A$106:$A$135,$A32,$B$106:$B$135,"&lt;="&amp;H$17,$C$106:$C$135,"&gt;="&amp;H$17,$S$106:$S$135,0)-SUMIFS($D$106:$D$135,$A$106:$A$135,"Everyone",$B$106:$B$135,"&lt;="&amp;H$17,$C$106:$C$135,"&gt;="&amp;H$17,$S$106:$S$135,0)))</f>
        <v/>
      </c>
      <c r="AE32" s="31">
        <f>IF(OR($A32="",$D$17=""),"",MAX(0,$C32-SUMIFS($D$106:$D$135,$A$106:$A$135,$A32,$B$106:$B$135,"&lt;="&amp;I$17,$C$106:$C$135,"&gt;="&amp;I$17,$S$106:$S$135,0)-SUMIFS($D$106:$D$135,$A$106:$A$135,"Everyone",$B$106:$B$135,"&lt;="&amp;I$17,$C$106:$C$135,"&gt;="&amp;I$17,$S$106:$S$135,0)))</f>
        <v/>
      </c>
      <c r="AF32" s="31">
        <f>IF(OR($A32="",$D$17=""),"",MAX(0,$C32-SUMIFS($D$106:$D$135,$A$106:$A$135,$A32,$B$106:$B$135,"&lt;="&amp;J$17,$C$106:$C$135,"&gt;="&amp;J$17,$S$106:$S$135,0)-SUMIFS($D$106:$D$135,$A$106:$A$135,"Everyone",$B$106:$B$135,"&lt;="&amp;J$17,$C$106:$C$135,"&gt;="&amp;J$17,$S$106:$S$135,0)))</f>
        <v/>
      </c>
      <c r="AG32" s="31">
        <f>IF(OR($A32="",$D$17=""),"",MAX(0,$C32-SUMIFS($D$106:$D$135,$A$106:$A$135,$A32,$B$106:$B$135,"&lt;="&amp;K$17,$C$106:$C$135,"&gt;="&amp;K$17,$S$106:$S$135,0)-SUMIFS($D$106:$D$135,$A$106:$A$135,"Everyone",$B$106:$B$135,"&lt;="&amp;K$17,$C$106:$C$135,"&gt;="&amp;K$17,$S$106:$S$135,0)))</f>
        <v/>
      </c>
      <c r="AH32" s="31">
        <f>IF(OR($A32="",$D$17=""),"",MAX(0,$C32-SUMIFS($D$106:$D$135,$A$106:$A$135,$A32,$B$106:$B$135,"&lt;="&amp;L$17,$C$106:$C$135,"&gt;="&amp;L$17,$S$106:$S$135,0)-SUMIFS($D$106:$D$135,$A$106:$A$135,"Everyone",$B$106:$B$135,"&lt;="&amp;L$17,$C$106:$C$135,"&gt;="&amp;L$17,$S$106:$S$135,0)))</f>
        <v/>
      </c>
      <c r="AI32" s="31">
        <f>IF(OR($A32="",$D$17=""),"",MAX(0,$C32-SUMIFS($D$106:$D$135,$A$106:$A$135,$A32,$B$106:$B$135,"&lt;="&amp;M$17,$C$106:$C$135,"&gt;="&amp;M$17,$S$106:$S$135,0)-SUMIFS($D$106:$D$135,$A$106:$A$135,"Everyone",$B$106:$B$135,"&lt;="&amp;M$17,$C$106:$C$135,"&gt;="&amp;M$17,$S$106:$S$135,0)))</f>
        <v/>
      </c>
      <c r="AJ32" s="31">
        <f>IF(OR($A32="",$D$17=""),"",MAX(0,$C32-SUMIFS($D$106:$D$135,$A$106:$A$135,$A32,$B$106:$B$135,"&lt;="&amp;N$17,$C$106:$C$135,"&gt;="&amp;N$17,$S$106:$S$135,0)-SUMIFS($D$106:$D$135,$A$106:$A$135,"Everyone",$B$106:$B$135,"&lt;="&amp;N$17,$C$106:$C$135,"&gt;="&amp;N$17,$S$106:$S$135,0)))</f>
        <v/>
      </c>
      <c r="AK32" s="31">
        <f>IF(OR($A32="",$D$17=""),"",MAX(0,$C32-SUMIFS($D$106:$D$135,$A$106:$A$135,$A32,$B$106:$B$135,"&lt;="&amp;O$17,$C$106:$C$135,"&gt;="&amp;O$17,$S$106:$S$135,0)-SUMIFS($D$106:$D$135,$A$106:$A$135,"Everyone",$B$106:$B$135,"&lt;="&amp;O$17,$C$106:$C$135,"&gt;="&amp;O$17,$S$106:$S$135,0)))</f>
        <v/>
      </c>
      <c r="AL32" s="31">
        <f>IF(OR($A32="",$D$17=""),"",MAX(0,$C32-SUMIFS($D$106:$D$135,$A$106:$A$135,$A32,$B$106:$B$135,"&lt;="&amp;P$17,$C$106:$C$135,"&gt;="&amp;P$17,$S$106:$S$135,0)-SUMIFS($D$106:$D$135,$A$106:$A$135,"Everyone",$B$106:$B$135,"&lt;="&amp;P$17,$C$106:$C$135,"&gt;="&amp;P$17,$S$106:$S$135,0)))</f>
        <v/>
      </c>
      <c r="AM32" s="31">
        <f>IF($A32="","",SUMIFS($E$139:$E$288,$B$139:$B$288,$A32,$U$139:$U$288,1,$Y$139:$Y$288,1,$C$139:$C$288,"&lt;="&amp;D$17,$D$139:$D$288,"&gt;="&amp;D$17))</f>
        <v/>
      </c>
      <c r="AN32" s="31">
        <f>IF($A32="","",SUMIFS($E$139:$E$288,$B$139:$B$288,$A32,$U$139:$U$288,1,$Y$139:$Y$288,1,$C$139:$C$288,"&lt;="&amp;E$17,$D$139:$D$288,"&gt;="&amp;E$17))</f>
        <v/>
      </c>
      <c r="AO32" s="31">
        <f>IF($A32="","",SUMIFS($E$139:$E$288,$B$139:$B$288,$A32,$U$139:$U$288,1,$Y$139:$Y$288,1,$C$139:$C$288,"&lt;="&amp;F$17,$D$139:$D$288,"&gt;="&amp;F$17))</f>
        <v/>
      </c>
      <c r="AP32" s="31">
        <f>IF($A32="","",SUMIFS($E$139:$E$288,$B$139:$B$288,$A32,$U$139:$U$288,1,$Y$139:$Y$288,1,$C$139:$C$288,"&lt;="&amp;G$17,$D$139:$D$288,"&gt;="&amp;G$17))</f>
        <v/>
      </c>
      <c r="AQ32" s="31">
        <f>IF($A32="","",SUMIFS($E$139:$E$288,$B$139:$B$288,$A32,$U$139:$U$288,1,$Y$139:$Y$288,1,$C$139:$C$288,"&lt;="&amp;H$17,$D$139:$D$288,"&gt;="&amp;H$17))</f>
        <v/>
      </c>
      <c r="AR32" s="31">
        <f>IF($A32="","",SUMIFS($E$139:$E$288,$B$139:$B$288,$A32,$U$139:$U$288,1,$Y$139:$Y$288,1,$C$139:$C$288,"&lt;="&amp;I$17,$D$139:$D$288,"&gt;="&amp;I$17))</f>
        <v/>
      </c>
      <c r="AS32" s="31">
        <f>IF($A32="","",SUMIFS($E$139:$E$288,$B$139:$B$288,$A32,$U$139:$U$288,1,$Y$139:$Y$288,1,$C$139:$C$288,"&lt;="&amp;J$17,$D$139:$D$288,"&gt;="&amp;J$17))</f>
        <v/>
      </c>
      <c r="AT32" s="31">
        <f>IF($A32="","",SUMIFS($E$139:$E$288,$B$139:$B$288,$A32,$U$139:$U$288,1,$Y$139:$Y$288,1,$C$139:$C$288,"&lt;="&amp;K$17,$D$139:$D$288,"&gt;="&amp;K$17))</f>
        <v/>
      </c>
      <c r="AU32" s="31">
        <f>IF($A32="","",SUMIFS($E$139:$E$288,$B$139:$B$288,$A32,$U$139:$U$288,1,$Y$139:$Y$288,1,$C$139:$C$288,"&lt;="&amp;L$17,$D$139:$D$288,"&gt;="&amp;L$17))</f>
        <v/>
      </c>
      <c r="AV32" s="31">
        <f>IF($A32="","",SUMIFS($E$139:$E$288,$B$139:$B$288,$A32,$U$139:$U$288,1,$Y$139:$Y$288,1,$C$139:$C$288,"&lt;="&amp;M$17,$D$139:$D$288,"&gt;="&amp;M$17))</f>
        <v/>
      </c>
      <c r="AW32" s="31">
        <f>IF($A32="","",SUMIFS($E$139:$E$288,$B$139:$B$288,$A32,$U$139:$U$288,1,$Y$139:$Y$288,1,$C$139:$C$288,"&lt;="&amp;N$17,$D$139:$D$288,"&gt;="&amp;N$17))</f>
        <v/>
      </c>
      <c r="AX32" s="31">
        <f>IF($A32="","",SUMIFS($E$139:$E$288,$B$139:$B$288,$A32,$U$139:$U$288,1,$Y$139:$Y$288,1,$C$139:$C$288,"&lt;="&amp;O$17,$D$139:$D$288,"&gt;="&amp;O$17))</f>
        <v/>
      </c>
      <c r="AY32" s="31">
        <f>IF($A32="","",SUMIFS($E$139:$E$288,$B$139:$B$288,$A32,$U$139:$U$288,1,$Y$139:$Y$288,1,$C$139:$C$288,"&lt;="&amp;P$17,$D$139:$D$288,"&gt;="&amp;P$17))</f>
        <v/>
      </c>
      <c r="AZ32" s="31">
        <f>IF($A32="","",SUMIFS($E$139:$E$288,$B$139:$B$288,$A32,$U$139:$U$288,2,$Y$139:$Y$288,1,$C$139:$C$288,"&lt;="&amp;D$17,$D$139:$D$288,"&gt;="&amp;D$17))</f>
        <v/>
      </c>
      <c r="BA32" s="31">
        <f>IF($A32="","",SUMIFS($E$139:$E$288,$B$139:$B$288,$A32,$U$139:$U$288,2,$Y$139:$Y$288,1,$C$139:$C$288,"&lt;="&amp;E$17,$D$139:$D$288,"&gt;="&amp;E$17))</f>
        <v/>
      </c>
      <c r="BB32" s="31">
        <f>IF($A32="","",SUMIFS($E$139:$E$288,$B$139:$B$288,$A32,$U$139:$U$288,2,$Y$139:$Y$288,1,$C$139:$C$288,"&lt;="&amp;F$17,$D$139:$D$288,"&gt;="&amp;F$17))</f>
        <v/>
      </c>
      <c r="BC32" s="31">
        <f>IF($A32="","",SUMIFS($E$139:$E$288,$B$139:$B$288,$A32,$U$139:$U$288,2,$Y$139:$Y$288,1,$C$139:$C$288,"&lt;="&amp;G$17,$D$139:$D$288,"&gt;="&amp;G$17))</f>
        <v/>
      </c>
      <c r="BD32" s="31">
        <f>IF($A32="","",SUMIFS($E$139:$E$288,$B$139:$B$288,$A32,$U$139:$U$288,2,$Y$139:$Y$288,1,$C$139:$C$288,"&lt;="&amp;H$17,$D$139:$D$288,"&gt;="&amp;H$17))</f>
        <v/>
      </c>
      <c r="BE32" s="31">
        <f>IF($A32="","",SUMIFS($E$139:$E$288,$B$139:$B$288,$A32,$U$139:$U$288,2,$Y$139:$Y$288,1,$C$139:$C$288,"&lt;="&amp;I$17,$D$139:$D$288,"&gt;="&amp;I$17))</f>
        <v/>
      </c>
      <c r="BF32" s="31">
        <f>IF($A32="","",SUMIFS($E$139:$E$288,$B$139:$B$288,$A32,$U$139:$U$288,2,$Y$139:$Y$288,1,$C$139:$C$288,"&lt;="&amp;J$17,$D$139:$D$288,"&gt;="&amp;J$17))</f>
        <v/>
      </c>
      <c r="BG32" s="31">
        <f>IF($A32="","",SUMIFS($E$139:$E$288,$B$139:$B$288,$A32,$U$139:$U$288,2,$Y$139:$Y$288,1,$C$139:$C$288,"&lt;="&amp;K$17,$D$139:$D$288,"&gt;="&amp;K$17))</f>
        <v/>
      </c>
      <c r="BH32" s="31">
        <f>IF($A32="","",SUMIFS($E$139:$E$288,$B$139:$B$288,$A32,$U$139:$U$288,2,$Y$139:$Y$288,1,$C$139:$C$288,"&lt;="&amp;L$17,$D$139:$D$288,"&gt;="&amp;L$17))</f>
        <v/>
      </c>
      <c r="BI32" s="31">
        <f>IF($A32="","",SUMIFS($E$139:$E$288,$B$139:$B$288,$A32,$U$139:$U$288,2,$Y$139:$Y$288,1,$C$139:$C$288,"&lt;="&amp;M$17,$D$139:$D$288,"&gt;="&amp;M$17))</f>
        <v/>
      </c>
      <c r="BJ32" s="31">
        <f>IF($A32="","",SUMIFS($E$139:$E$288,$B$139:$B$288,$A32,$U$139:$U$288,2,$Y$139:$Y$288,1,$C$139:$C$288,"&lt;="&amp;N$17,$D$139:$D$288,"&gt;="&amp;N$17))</f>
        <v/>
      </c>
      <c r="BK32" s="31">
        <f>IF($A32="","",SUMIFS($E$139:$E$288,$B$139:$B$288,$A32,$U$139:$U$288,2,$Y$139:$Y$288,1,$C$139:$C$288,"&lt;="&amp;O$17,$D$139:$D$288,"&gt;="&amp;O$17))</f>
        <v/>
      </c>
      <c r="BL32" s="31">
        <f>IF($A32="","",SUMIFS($E$139:$E$288,$B$139:$B$288,$A32,$U$139:$U$288,2,$Y$139:$Y$288,1,$C$139:$C$288,"&lt;="&amp;P$17,$D$139:$D$288,"&gt;="&amp;P$17))</f>
        <v/>
      </c>
      <c r="BM32" s="31">
        <f>IF(OR($A32="",$D$17=""),0,SUMPRODUCT(($D32:$P32&gt;=0)*(($D32:$P32-$AZ32:$BL32)&lt;0)))</f>
        <v/>
      </c>
      <c r="BN32" s="31">
        <f>IF(IFERROR(INDEX(Register!$A$6:$A$305,ROW()-5),"")="",0,SUMIF($A$139:$A$288,IFERROR(INDEX(Register!$A$6:$A$305,ROW()-5),""),$Z$139:$Z$288))</f>
        <v/>
      </c>
      <c r="BO32" s="31">
        <f>IF(OR(IFERROR(INDEX(Register!$A$6:$A$305,ROW()-5),"")="",SUM($Z$139:$Z$288)=0),0,IF(AND(IFERROR(INDEX(Register!$B$6:$B$305,ROW()-5),"")="Project",IFERROR(INDEX(Register!$D$6:$D$305,ROW()-5),"")="Active",IFERROR(INDEX(Register!$Z$6:$Z$305,ROW()-5),"")=1,$BN32=0),1,0))</f>
        <v/>
      </c>
      <c r="BP32" s="31">
        <f>IF(AND(IFERROR(INDEX(Register!$A$6:$A$305,ROW()-5),"")&lt;&gt;"",IFERROR(INDEX(Register!$D$6:$D$305,ROW()-5),"")="Proposed"),$BN32,0)</f>
        <v/>
      </c>
      <c r="BQ32" s="31">
        <f>IF(OR($A32="",$D$17=""),0,COUNTIF($D32:$P32,"&lt;0"))</f>
        <v/>
      </c>
      <c r="BR32" s="31">
        <f>IF(INDEX($A$63:$A$102,ROW()-6)="","",INDEX($A$63:$A$102,ROW()-6))</f>
        <v/>
      </c>
      <c r="BS32" s="31">
        <f>IF(INDEX($A$63:$A$102,ROW()-6)="","",INDEX($A$63:$A$102,ROW()-6))</f>
        <v/>
      </c>
    </row>
    <row r="33">
      <c r="A33" s="31">
        <f>IF(INDEX($A$63:$A$102,ROW()-17)="","",INDEX($A$63:$A$102,ROW()-17))</f>
        <v/>
      </c>
      <c r="B33" s="31">
        <f>IF(OR($A33="",$D$17=""),"",IF($BQ33=0,"○ Clear","△ "&amp;$BQ33&amp;IF($BQ33=1," week"," weeks")&amp;" over, from "&amp;TEXT(SUMPRODUCT(MIN($D$17:$P$17+($D33:$P33&gt;=0)*100000)),"d mmm")))</f>
        <v/>
      </c>
      <c r="C33" s="32">
        <f>IF($A33="","",IF(AND(ISNUMBER(INDEX($B$63:$B$102,ROW()-17)),INDEX($S$63:$S$102,ROW()-17)=0),INDEX($B$63:$B$102,ROW()-17),IF($C$7="",$B$7,5)))</f>
        <v/>
      </c>
      <c r="D33" s="51">
        <f>IF(OR($A33="",$D$17=""),"",ROUND(Z33-AM33,2))</f>
        <v/>
      </c>
      <c r="E33" s="51">
        <f>IF(OR($A33="",$D$17=""),"",ROUND(AA33-AN33,2))</f>
        <v/>
      </c>
      <c r="F33" s="51">
        <f>IF(OR($A33="",$D$17=""),"",ROUND(AB33-AO33,2))</f>
        <v/>
      </c>
      <c r="G33" s="51">
        <f>IF(OR($A33="",$D$17=""),"",ROUND(AC33-AP33,2))</f>
        <v/>
      </c>
      <c r="H33" s="51">
        <f>IF(OR($A33="",$D$17=""),"",ROUND(AD33-AQ33,2))</f>
        <v/>
      </c>
      <c r="I33" s="51">
        <f>IF(OR($A33="",$D$17=""),"",ROUND(AE33-AR33,2))</f>
        <v/>
      </c>
      <c r="J33" s="51">
        <f>IF(OR($A33="",$D$17=""),"",ROUND(AF33-AS33,2))</f>
        <v/>
      </c>
      <c r="K33" s="51">
        <f>IF(OR($A33="",$D$17=""),"",ROUND(AG33-AT33,2))</f>
        <v/>
      </c>
      <c r="L33" s="51">
        <f>IF(OR($A33="",$D$17=""),"",ROUND(AH33-AU33,2))</f>
        <v/>
      </c>
      <c r="M33" s="51">
        <f>IF(OR($A33="",$D$17=""),"",ROUND(AI33-AV33,2))</f>
        <v/>
      </c>
      <c r="N33" s="51">
        <f>IF(OR($A33="",$D$17=""),"",ROUND(AJ33-AW33,2))</f>
        <v/>
      </c>
      <c r="O33" s="51">
        <f>IF(OR($A33="",$D$17=""),"",ROUND(AK33-AX33,2))</f>
        <v/>
      </c>
      <c r="P33" s="51">
        <f>IF(OR($A33="",$D$17=""),"",ROUND(AL33-AY33,2))</f>
        <v/>
      </c>
      <c r="Q33" s="31">
        <f>IF(OR($A33="",$D$17=""),"",IF(SUM($AZ33:$BL33)=0,"",IF($BM33=0,"Fits","Over in "&amp;$BM33&amp;IF($BM33=1," week"," weeks")&amp;" if approved")))</f>
        <v/>
      </c>
      <c r="Z33" s="31">
        <f>IF(OR($A33="",$D$17=""),"",MAX(0,$C33-SUMIFS($D$106:$D$135,$A$106:$A$135,$A33,$B$106:$B$135,"&lt;="&amp;D$17,$C$106:$C$135,"&gt;="&amp;D$17,$S$106:$S$135,0)-SUMIFS($D$106:$D$135,$A$106:$A$135,"Everyone",$B$106:$B$135,"&lt;="&amp;D$17,$C$106:$C$135,"&gt;="&amp;D$17,$S$106:$S$135,0)))</f>
        <v/>
      </c>
      <c r="AA33" s="31">
        <f>IF(OR($A33="",$D$17=""),"",MAX(0,$C33-SUMIFS($D$106:$D$135,$A$106:$A$135,$A33,$B$106:$B$135,"&lt;="&amp;E$17,$C$106:$C$135,"&gt;="&amp;E$17,$S$106:$S$135,0)-SUMIFS($D$106:$D$135,$A$106:$A$135,"Everyone",$B$106:$B$135,"&lt;="&amp;E$17,$C$106:$C$135,"&gt;="&amp;E$17,$S$106:$S$135,0)))</f>
        <v/>
      </c>
      <c r="AB33" s="31">
        <f>IF(OR($A33="",$D$17=""),"",MAX(0,$C33-SUMIFS($D$106:$D$135,$A$106:$A$135,$A33,$B$106:$B$135,"&lt;="&amp;F$17,$C$106:$C$135,"&gt;="&amp;F$17,$S$106:$S$135,0)-SUMIFS($D$106:$D$135,$A$106:$A$135,"Everyone",$B$106:$B$135,"&lt;="&amp;F$17,$C$106:$C$135,"&gt;="&amp;F$17,$S$106:$S$135,0)))</f>
        <v/>
      </c>
      <c r="AC33" s="31">
        <f>IF(OR($A33="",$D$17=""),"",MAX(0,$C33-SUMIFS($D$106:$D$135,$A$106:$A$135,$A33,$B$106:$B$135,"&lt;="&amp;G$17,$C$106:$C$135,"&gt;="&amp;G$17,$S$106:$S$135,0)-SUMIFS($D$106:$D$135,$A$106:$A$135,"Everyone",$B$106:$B$135,"&lt;="&amp;G$17,$C$106:$C$135,"&gt;="&amp;G$17,$S$106:$S$135,0)))</f>
        <v/>
      </c>
      <c r="AD33" s="31">
        <f>IF(OR($A33="",$D$17=""),"",MAX(0,$C33-SUMIFS($D$106:$D$135,$A$106:$A$135,$A33,$B$106:$B$135,"&lt;="&amp;H$17,$C$106:$C$135,"&gt;="&amp;H$17,$S$106:$S$135,0)-SUMIFS($D$106:$D$135,$A$106:$A$135,"Everyone",$B$106:$B$135,"&lt;="&amp;H$17,$C$106:$C$135,"&gt;="&amp;H$17,$S$106:$S$135,0)))</f>
        <v/>
      </c>
      <c r="AE33" s="31">
        <f>IF(OR($A33="",$D$17=""),"",MAX(0,$C33-SUMIFS($D$106:$D$135,$A$106:$A$135,$A33,$B$106:$B$135,"&lt;="&amp;I$17,$C$106:$C$135,"&gt;="&amp;I$17,$S$106:$S$135,0)-SUMIFS($D$106:$D$135,$A$106:$A$135,"Everyone",$B$106:$B$135,"&lt;="&amp;I$17,$C$106:$C$135,"&gt;="&amp;I$17,$S$106:$S$135,0)))</f>
        <v/>
      </c>
      <c r="AF33" s="31">
        <f>IF(OR($A33="",$D$17=""),"",MAX(0,$C33-SUMIFS($D$106:$D$135,$A$106:$A$135,$A33,$B$106:$B$135,"&lt;="&amp;J$17,$C$106:$C$135,"&gt;="&amp;J$17,$S$106:$S$135,0)-SUMIFS($D$106:$D$135,$A$106:$A$135,"Everyone",$B$106:$B$135,"&lt;="&amp;J$17,$C$106:$C$135,"&gt;="&amp;J$17,$S$106:$S$135,0)))</f>
        <v/>
      </c>
      <c r="AG33" s="31">
        <f>IF(OR($A33="",$D$17=""),"",MAX(0,$C33-SUMIFS($D$106:$D$135,$A$106:$A$135,$A33,$B$106:$B$135,"&lt;="&amp;K$17,$C$106:$C$135,"&gt;="&amp;K$17,$S$106:$S$135,0)-SUMIFS($D$106:$D$135,$A$106:$A$135,"Everyone",$B$106:$B$135,"&lt;="&amp;K$17,$C$106:$C$135,"&gt;="&amp;K$17,$S$106:$S$135,0)))</f>
        <v/>
      </c>
      <c r="AH33" s="31">
        <f>IF(OR($A33="",$D$17=""),"",MAX(0,$C33-SUMIFS($D$106:$D$135,$A$106:$A$135,$A33,$B$106:$B$135,"&lt;="&amp;L$17,$C$106:$C$135,"&gt;="&amp;L$17,$S$106:$S$135,0)-SUMIFS($D$106:$D$135,$A$106:$A$135,"Everyone",$B$106:$B$135,"&lt;="&amp;L$17,$C$106:$C$135,"&gt;="&amp;L$17,$S$106:$S$135,0)))</f>
        <v/>
      </c>
      <c r="AI33" s="31">
        <f>IF(OR($A33="",$D$17=""),"",MAX(0,$C33-SUMIFS($D$106:$D$135,$A$106:$A$135,$A33,$B$106:$B$135,"&lt;="&amp;M$17,$C$106:$C$135,"&gt;="&amp;M$17,$S$106:$S$135,0)-SUMIFS($D$106:$D$135,$A$106:$A$135,"Everyone",$B$106:$B$135,"&lt;="&amp;M$17,$C$106:$C$135,"&gt;="&amp;M$17,$S$106:$S$135,0)))</f>
        <v/>
      </c>
      <c r="AJ33" s="31">
        <f>IF(OR($A33="",$D$17=""),"",MAX(0,$C33-SUMIFS($D$106:$D$135,$A$106:$A$135,$A33,$B$106:$B$135,"&lt;="&amp;N$17,$C$106:$C$135,"&gt;="&amp;N$17,$S$106:$S$135,0)-SUMIFS($D$106:$D$135,$A$106:$A$135,"Everyone",$B$106:$B$135,"&lt;="&amp;N$17,$C$106:$C$135,"&gt;="&amp;N$17,$S$106:$S$135,0)))</f>
        <v/>
      </c>
      <c r="AK33" s="31">
        <f>IF(OR($A33="",$D$17=""),"",MAX(0,$C33-SUMIFS($D$106:$D$135,$A$106:$A$135,$A33,$B$106:$B$135,"&lt;="&amp;O$17,$C$106:$C$135,"&gt;="&amp;O$17,$S$106:$S$135,0)-SUMIFS($D$106:$D$135,$A$106:$A$135,"Everyone",$B$106:$B$135,"&lt;="&amp;O$17,$C$106:$C$135,"&gt;="&amp;O$17,$S$106:$S$135,0)))</f>
        <v/>
      </c>
      <c r="AL33" s="31">
        <f>IF(OR($A33="",$D$17=""),"",MAX(0,$C33-SUMIFS($D$106:$D$135,$A$106:$A$135,$A33,$B$106:$B$135,"&lt;="&amp;P$17,$C$106:$C$135,"&gt;="&amp;P$17,$S$106:$S$135,0)-SUMIFS($D$106:$D$135,$A$106:$A$135,"Everyone",$B$106:$B$135,"&lt;="&amp;P$17,$C$106:$C$135,"&gt;="&amp;P$17,$S$106:$S$135,0)))</f>
        <v/>
      </c>
      <c r="AM33" s="31">
        <f>IF($A33="","",SUMIFS($E$139:$E$288,$B$139:$B$288,$A33,$U$139:$U$288,1,$Y$139:$Y$288,1,$C$139:$C$288,"&lt;="&amp;D$17,$D$139:$D$288,"&gt;="&amp;D$17))</f>
        <v/>
      </c>
      <c r="AN33" s="31">
        <f>IF($A33="","",SUMIFS($E$139:$E$288,$B$139:$B$288,$A33,$U$139:$U$288,1,$Y$139:$Y$288,1,$C$139:$C$288,"&lt;="&amp;E$17,$D$139:$D$288,"&gt;="&amp;E$17))</f>
        <v/>
      </c>
      <c r="AO33" s="31">
        <f>IF($A33="","",SUMIFS($E$139:$E$288,$B$139:$B$288,$A33,$U$139:$U$288,1,$Y$139:$Y$288,1,$C$139:$C$288,"&lt;="&amp;F$17,$D$139:$D$288,"&gt;="&amp;F$17))</f>
        <v/>
      </c>
      <c r="AP33" s="31">
        <f>IF($A33="","",SUMIFS($E$139:$E$288,$B$139:$B$288,$A33,$U$139:$U$288,1,$Y$139:$Y$288,1,$C$139:$C$288,"&lt;="&amp;G$17,$D$139:$D$288,"&gt;="&amp;G$17))</f>
        <v/>
      </c>
      <c r="AQ33" s="31">
        <f>IF($A33="","",SUMIFS($E$139:$E$288,$B$139:$B$288,$A33,$U$139:$U$288,1,$Y$139:$Y$288,1,$C$139:$C$288,"&lt;="&amp;H$17,$D$139:$D$288,"&gt;="&amp;H$17))</f>
        <v/>
      </c>
      <c r="AR33" s="31">
        <f>IF($A33="","",SUMIFS($E$139:$E$288,$B$139:$B$288,$A33,$U$139:$U$288,1,$Y$139:$Y$288,1,$C$139:$C$288,"&lt;="&amp;I$17,$D$139:$D$288,"&gt;="&amp;I$17))</f>
        <v/>
      </c>
      <c r="AS33" s="31">
        <f>IF($A33="","",SUMIFS($E$139:$E$288,$B$139:$B$288,$A33,$U$139:$U$288,1,$Y$139:$Y$288,1,$C$139:$C$288,"&lt;="&amp;J$17,$D$139:$D$288,"&gt;="&amp;J$17))</f>
        <v/>
      </c>
      <c r="AT33" s="31">
        <f>IF($A33="","",SUMIFS($E$139:$E$288,$B$139:$B$288,$A33,$U$139:$U$288,1,$Y$139:$Y$288,1,$C$139:$C$288,"&lt;="&amp;K$17,$D$139:$D$288,"&gt;="&amp;K$17))</f>
        <v/>
      </c>
      <c r="AU33" s="31">
        <f>IF($A33="","",SUMIFS($E$139:$E$288,$B$139:$B$288,$A33,$U$139:$U$288,1,$Y$139:$Y$288,1,$C$139:$C$288,"&lt;="&amp;L$17,$D$139:$D$288,"&gt;="&amp;L$17))</f>
        <v/>
      </c>
      <c r="AV33" s="31">
        <f>IF($A33="","",SUMIFS($E$139:$E$288,$B$139:$B$288,$A33,$U$139:$U$288,1,$Y$139:$Y$288,1,$C$139:$C$288,"&lt;="&amp;M$17,$D$139:$D$288,"&gt;="&amp;M$17))</f>
        <v/>
      </c>
      <c r="AW33" s="31">
        <f>IF($A33="","",SUMIFS($E$139:$E$288,$B$139:$B$288,$A33,$U$139:$U$288,1,$Y$139:$Y$288,1,$C$139:$C$288,"&lt;="&amp;N$17,$D$139:$D$288,"&gt;="&amp;N$17))</f>
        <v/>
      </c>
      <c r="AX33" s="31">
        <f>IF($A33="","",SUMIFS($E$139:$E$288,$B$139:$B$288,$A33,$U$139:$U$288,1,$Y$139:$Y$288,1,$C$139:$C$288,"&lt;="&amp;O$17,$D$139:$D$288,"&gt;="&amp;O$17))</f>
        <v/>
      </c>
      <c r="AY33" s="31">
        <f>IF($A33="","",SUMIFS($E$139:$E$288,$B$139:$B$288,$A33,$U$139:$U$288,1,$Y$139:$Y$288,1,$C$139:$C$288,"&lt;="&amp;P$17,$D$139:$D$288,"&gt;="&amp;P$17))</f>
        <v/>
      </c>
      <c r="AZ33" s="31">
        <f>IF($A33="","",SUMIFS($E$139:$E$288,$B$139:$B$288,$A33,$U$139:$U$288,2,$Y$139:$Y$288,1,$C$139:$C$288,"&lt;="&amp;D$17,$D$139:$D$288,"&gt;="&amp;D$17))</f>
        <v/>
      </c>
      <c r="BA33" s="31">
        <f>IF($A33="","",SUMIFS($E$139:$E$288,$B$139:$B$288,$A33,$U$139:$U$288,2,$Y$139:$Y$288,1,$C$139:$C$288,"&lt;="&amp;E$17,$D$139:$D$288,"&gt;="&amp;E$17))</f>
        <v/>
      </c>
      <c r="BB33" s="31">
        <f>IF($A33="","",SUMIFS($E$139:$E$288,$B$139:$B$288,$A33,$U$139:$U$288,2,$Y$139:$Y$288,1,$C$139:$C$288,"&lt;="&amp;F$17,$D$139:$D$288,"&gt;="&amp;F$17))</f>
        <v/>
      </c>
      <c r="BC33" s="31">
        <f>IF($A33="","",SUMIFS($E$139:$E$288,$B$139:$B$288,$A33,$U$139:$U$288,2,$Y$139:$Y$288,1,$C$139:$C$288,"&lt;="&amp;G$17,$D$139:$D$288,"&gt;="&amp;G$17))</f>
        <v/>
      </c>
      <c r="BD33" s="31">
        <f>IF($A33="","",SUMIFS($E$139:$E$288,$B$139:$B$288,$A33,$U$139:$U$288,2,$Y$139:$Y$288,1,$C$139:$C$288,"&lt;="&amp;H$17,$D$139:$D$288,"&gt;="&amp;H$17))</f>
        <v/>
      </c>
      <c r="BE33" s="31">
        <f>IF($A33="","",SUMIFS($E$139:$E$288,$B$139:$B$288,$A33,$U$139:$U$288,2,$Y$139:$Y$288,1,$C$139:$C$288,"&lt;="&amp;I$17,$D$139:$D$288,"&gt;="&amp;I$17))</f>
        <v/>
      </c>
      <c r="BF33" s="31">
        <f>IF($A33="","",SUMIFS($E$139:$E$288,$B$139:$B$288,$A33,$U$139:$U$288,2,$Y$139:$Y$288,1,$C$139:$C$288,"&lt;="&amp;J$17,$D$139:$D$288,"&gt;="&amp;J$17))</f>
        <v/>
      </c>
      <c r="BG33" s="31">
        <f>IF($A33="","",SUMIFS($E$139:$E$288,$B$139:$B$288,$A33,$U$139:$U$288,2,$Y$139:$Y$288,1,$C$139:$C$288,"&lt;="&amp;K$17,$D$139:$D$288,"&gt;="&amp;K$17))</f>
        <v/>
      </c>
      <c r="BH33" s="31">
        <f>IF($A33="","",SUMIFS($E$139:$E$288,$B$139:$B$288,$A33,$U$139:$U$288,2,$Y$139:$Y$288,1,$C$139:$C$288,"&lt;="&amp;L$17,$D$139:$D$288,"&gt;="&amp;L$17))</f>
        <v/>
      </c>
      <c r="BI33" s="31">
        <f>IF($A33="","",SUMIFS($E$139:$E$288,$B$139:$B$288,$A33,$U$139:$U$288,2,$Y$139:$Y$288,1,$C$139:$C$288,"&lt;="&amp;M$17,$D$139:$D$288,"&gt;="&amp;M$17))</f>
        <v/>
      </c>
      <c r="BJ33" s="31">
        <f>IF($A33="","",SUMIFS($E$139:$E$288,$B$139:$B$288,$A33,$U$139:$U$288,2,$Y$139:$Y$288,1,$C$139:$C$288,"&lt;="&amp;N$17,$D$139:$D$288,"&gt;="&amp;N$17))</f>
        <v/>
      </c>
      <c r="BK33" s="31">
        <f>IF($A33="","",SUMIFS($E$139:$E$288,$B$139:$B$288,$A33,$U$139:$U$288,2,$Y$139:$Y$288,1,$C$139:$C$288,"&lt;="&amp;O$17,$D$139:$D$288,"&gt;="&amp;O$17))</f>
        <v/>
      </c>
      <c r="BL33" s="31">
        <f>IF($A33="","",SUMIFS($E$139:$E$288,$B$139:$B$288,$A33,$U$139:$U$288,2,$Y$139:$Y$288,1,$C$139:$C$288,"&lt;="&amp;P$17,$D$139:$D$288,"&gt;="&amp;P$17))</f>
        <v/>
      </c>
      <c r="BM33" s="31">
        <f>IF(OR($A33="",$D$17=""),0,SUMPRODUCT(($D33:$P33&gt;=0)*(($D33:$P33-$AZ33:$BL33)&lt;0)))</f>
        <v/>
      </c>
      <c r="BN33" s="31">
        <f>IF(IFERROR(INDEX(Register!$A$6:$A$305,ROW()-5),"")="",0,SUMIF($A$139:$A$288,IFERROR(INDEX(Register!$A$6:$A$305,ROW()-5),""),$Z$139:$Z$288))</f>
        <v/>
      </c>
      <c r="BO33" s="31">
        <f>IF(OR(IFERROR(INDEX(Register!$A$6:$A$305,ROW()-5),"")="",SUM($Z$139:$Z$288)=0),0,IF(AND(IFERROR(INDEX(Register!$B$6:$B$305,ROW()-5),"")="Project",IFERROR(INDEX(Register!$D$6:$D$305,ROW()-5),"")="Active",IFERROR(INDEX(Register!$Z$6:$Z$305,ROW()-5),"")=1,$BN33=0),1,0))</f>
        <v/>
      </c>
      <c r="BP33" s="31">
        <f>IF(AND(IFERROR(INDEX(Register!$A$6:$A$305,ROW()-5),"")&lt;&gt;"",IFERROR(INDEX(Register!$D$6:$D$305,ROW()-5),"")="Proposed"),$BN33,0)</f>
        <v/>
      </c>
      <c r="BQ33" s="31">
        <f>IF(OR($A33="",$D$17=""),0,COUNTIF($D33:$P33,"&lt;0"))</f>
        <v/>
      </c>
      <c r="BR33" s="31">
        <f>IF(INDEX($A$63:$A$102,ROW()-6)="","",INDEX($A$63:$A$102,ROW()-6))</f>
        <v/>
      </c>
      <c r="BS33" s="31">
        <f>IF(INDEX($A$63:$A$102,ROW()-6)="","",INDEX($A$63:$A$102,ROW()-6))</f>
        <v/>
      </c>
    </row>
    <row r="34">
      <c r="A34" s="31">
        <f>IF(INDEX($A$63:$A$102,ROW()-17)="","",INDEX($A$63:$A$102,ROW()-17))</f>
        <v/>
      </c>
      <c r="B34" s="31">
        <f>IF(OR($A34="",$D$17=""),"",IF($BQ34=0,"○ Clear","△ "&amp;$BQ34&amp;IF($BQ34=1," week"," weeks")&amp;" over, from "&amp;TEXT(SUMPRODUCT(MIN($D$17:$P$17+($D34:$P34&gt;=0)*100000)),"d mmm")))</f>
        <v/>
      </c>
      <c r="C34" s="32">
        <f>IF($A34="","",IF(AND(ISNUMBER(INDEX($B$63:$B$102,ROW()-17)),INDEX($S$63:$S$102,ROW()-17)=0),INDEX($B$63:$B$102,ROW()-17),IF($C$7="",$B$7,5)))</f>
        <v/>
      </c>
      <c r="D34" s="51">
        <f>IF(OR($A34="",$D$17=""),"",ROUND(Z34-AM34,2))</f>
        <v/>
      </c>
      <c r="E34" s="51">
        <f>IF(OR($A34="",$D$17=""),"",ROUND(AA34-AN34,2))</f>
        <v/>
      </c>
      <c r="F34" s="51">
        <f>IF(OR($A34="",$D$17=""),"",ROUND(AB34-AO34,2))</f>
        <v/>
      </c>
      <c r="G34" s="51">
        <f>IF(OR($A34="",$D$17=""),"",ROUND(AC34-AP34,2))</f>
        <v/>
      </c>
      <c r="H34" s="51">
        <f>IF(OR($A34="",$D$17=""),"",ROUND(AD34-AQ34,2))</f>
        <v/>
      </c>
      <c r="I34" s="51">
        <f>IF(OR($A34="",$D$17=""),"",ROUND(AE34-AR34,2))</f>
        <v/>
      </c>
      <c r="J34" s="51">
        <f>IF(OR($A34="",$D$17=""),"",ROUND(AF34-AS34,2))</f>
        <v/>
      </c>
      <c r="K34" s="51">
        <f>IF(OR($A34="",$D$17=""),"",ROUND(AG34-AT34,2))</f>
        <v/>
      </c>
      <c r="L34" s="51">
        <f>IF(OR($A34="",$D$17=""),"",ROUND(AH34-AU34,2))</f>
        <v/>
      </c>
      <c r="M34" s="51">
        <f>IF(OR($A34="",$D$17=""),"",ROUND(AI34-AV34,2))</f>
        <v/>
      </c>
      <c r="N34" s="51">
        <f>IF(OR($A34="",$D$17=""),"",ROUND(AJ34-AW34,2))</f>
        <v/>
      </c>
      <c r="O34" s="51">
        <f>IF(OR($A34="",$D$17=""),"",ROUND(AK34-AX34,2))</f>
        <v/>
      </c>
      <c r="P34" s="51">
        <f>IF(OR($A34="",$D$17=""),"",ROUND(AL34-AY34,2))</f>
        <v/>
      </c>
      <c r="Q34" s="31">
        <f>IF(OR($A34="",$D$17=""),"",IF(SUM($AZ34:$BL34)=0,"",IF($BM34=0,"Fits","Over in "&amp;$BM34&amp;IF($BM34=1," week"," weeks")&amp;" if approved")))</f>
        <v/>
      </c>
      <c r="Z34" s="31">
        <f>IF(OR($A34="",$D$17=""),"",MAX(0,$C34-SUMIFS($D$106:$D$135,$A$106:$A$135,$A34,$B$106:$B$135,"&lt;="&amp;D$17,$C$106:$C$135,"&gt;="&amp;D$17,$S$106:$S$135,0)-SUMIFS($D$106:$D$135,$A$106:$A$135,"Everyone",$B$106:$B$135,"&lt;="&amp;D$17,$C$106:$C$135,"&gt;="&amp;D$17,$S$106:$S$135,0)))</f>
        <v/>
      </c>
      <c r="AA34" s="31">
        <f>IF(OR($A34="",$D$17=""),"",MAX(0,$C34-SUMIFS($D$106:$D$135,$A$106:$A$135,$A34,$B$106:$B$135,"&lt;="&amp;E$17,$C$106:$C$135,"&gt;="&amp;E$17,$S$106:$S$135,0)-SUMIFS($D$106:$D$135,$A$106:$A$135,"Everyone",$B$106:$B$135,"&lt;="&amp;E$17,$C$106:$C$135,"&gt;="&amp;E$17,$S$106:$S$135,0)))</f>
        <v/>
      </c>
      <c r="AB34" s="31">
        <f>IF(OR($A34="",$D$17=""),"",MAX(0,$C34-SUMIFS($D$106:$D$135,$A$106:$A$135,$A34,$B$106:$B$135,"&lt;="&amp;F$17,$C$106:$C$135,"&gt;="&amp;F$17,$S$106:$S$135,0)-SUMIFS($D$106:$D$135,$A$106:$A$135,"Everyone",$B$106:$B$135,"&lt;="&amp;F$17,$C$106:$C$135,"&gt;="&amp;F$17,$S$106:$S$135,0)))</f>
        <v/>
      </c>
      <c r="AC34" s="31">
        <f>IF(OR($A34="",$D$17=""),"",MAX(0,$C34-SUMIFS($D$106:$D$135,$A$106:$A$135,$A34,$B$106:$B$135,"&lt;="&amp;G$17,$C$106:$C$135,"&gt;="&amp;G$17,$S$106:$S$135,0)-SUMIFS($D$106:$D$135,$A$106:$A$135,"Everyone",$B$106:$B$135,"&lt;="&amp;G$17,$C$106:$C$135,"&gt;="&amp;G$17,$S$106:$S$135,0)))</f>
        <v/>
      </c>
      <c r="AD34" s="31">
        <f>IF(OR($A34="",$D$17=""),"",MAX(0,$C34-SUMIFS($D$106:$D$135,$A$106:$A$135,$A34,$B$106:$B$135,"&lt;="&amp;H$17,$C$106:$C$135,"&gt;="&amp;H$17,$S$106:$S$135,0)-SUMIFS($D$106:$D$135,$A$106:$A$135,"Everyone",$B$106:$B$135,"&lt;="&amp;H$17,$C$106:$C$135,"&gt;="&amp;H$17,$S$106:$S$135,0)))</f>
        <v/>
      </c>
      <c r="AE34" s="31">
        <f>IF(OR($A34="",$D$17=""),"",MAX(0,$C34-SUMIFS($D$106:$D$135,$A$106:$A$135,$A34,$B$106:$B$135,"&lt;="&amp;I$17,$C$106:$C$135,"&gt;="&amp;I$17,$S$106:$S$135,0)-SUMIFS($D$106:$D$135,$A$106:$A$135,"Everyone",$B$106:$B$135,"&lt;="&amp;I$17,$C$106:$C$135,"&gt;="&amp;I$17,$S$106:$S$135,0)))</f>
        <v/>
      </c>
      <c r="AF34" s="31">
        <f>IF(OR($A34="",$D$17=""),"",MAX(0,$C34-SUMIFS($D$106:$D$135,$A$106:$A$135,$A34,$B$106:$B$135,"&lt;="&amp;J$17,$C$106:$C$135,"&gt;="&amp;J$17,$S$106:$S$135,0)-SUMIFS($D$106:$D$135,$A$106:$A$135,"Everyone",$B$106:$B$135,"&lt;="&amp;J$17,$C$106:$C$135,"&gt;="&amp;J$17,$S$106:$S$135,0)))</f>
        <v/>
      </c>
      <c r="AG34" s="31">
        <f>IF(OR($A34="",$D$17=""),"",MAX(0,$C34-SUMIFS($D$106:$D$135,$A$106:$A$135,$A34,$B$106:$B$135,"&lt;="&amp;K$17,$C$106:$C$135,"&gt;="&amp;K$17,$S$106:$S$135,0)-SUMIFS($D$106:$D$135,$A$106:$A$135,"Everyone",$B$106:$B$135,"&lt;="&amp;K$17,$C$106:$C$135,"&gt;="&amp;K$17,$S$106:$S$135,0)))</f>
        <v/>
      </c>
      <c r="AH34" s="31">
        <f>IF(OR($A34="",$D$17=""),"",MAX(0,$C34-SUMIFS($D$106:$D$135,$A$106:$A$135,$A34,$B$106:$B$135,"&lt;="&amp;L$17,$C$106:$C$135,"&gt;="&amp;L$17,$S$106:$S$135,0)-SUMIFS($D$106:$D$135,$A$106:$A$135,"Everyone",$B$106:$B$135,"&lt;="&amp;L$17,$C$106:$C$135,"&gt;="&amp;L$17,$S$106:$S$135,0)))</f>
        <v/>
      </c>
      <c r="AI34" s="31">
        <f>IF(OR($A34="",$D$17=""),"",MAX(0,$C34-SUMIFS($D$106:$D$135,$A$106:$A$135,$A34,$B$106:$B$135,"&lt;="&amp;M$17,$C$106:$C$135,"&gt;="&amp;M$17,$S$106:$S$135,0)-SUMIFS($D$106:$D$135,$A$106:$A$135,"Everyone",$B$106:$B$135,"&lt;="&amp;M$17,$C$106:$C$135,"&gt;="&amp;M$17,$S$106:$S$135,0)))</f>
        <v/>
      </c>
      <c r="AJ34" s="31">
        <f>IF(OR($A34="",$D$17=""),"",MAX(0,$C34-SUMIFS($D$106:$D$135,$A$106:$A$135,$A34,$B$106:$B$135,"&lt;="&amp;N$17,$C$106:$C$135,"&gt;="&amp;N$17,$S$106:$S$135,0)-SUMIFS($D$106:$D$135,$A$106:$A$135,"Everyone",$B$106:$B$135,"&lt;="&amp;N$17,$C$106:$C$135,"&gt;="&amp;N$17,$S$106:$S$135,0)))</f>
        <v/>
      </c>
      <c r="AK34" s="31">
        <f>IF(OR($A34="",$D$17=""),"",MAX(0,$C34-SUMIFS($D$106:$D$135,$A$106:$A$135,$A34,$B$106:$B$135,"&lt;="&amp;O$17,$C$106:$C$135,"&gt;="&amp;O$17,$S$106:$S$135,0)-SUMIFS($D$106:$D$135,$A$106:$A$135,"Everyone",$B$106:$B$135,"&lt;="&amp;O$17,$C$106:$C$135,"&gt;="&amp;O$17,$S$106:$S$135,0)))</f>
        <v/>
      </c>
      <c r="AL34" s="31">
        <f>IF(OR($A34="",$D$17=""),"",MAX(0,$C34-SUMIFS($D$106:$D$135,$A$106:$A$135,$A34,$B$106:$B$135,"&lt;="&amp;P$17,$C$106:$C$135,"&gt;="&amp;P$17,$S$106:$S$135,0)-SUMIFS($D$106:$D$135,$A$106:$A$135,"Everyone",$B$106:$B$135,"&lt;="&amp;P$17,$C$106:$C$135,"&gt;="&amp;P$17,$S$106:$S$135,0)))</f>
        <v/>
      </c>
      <c r="AM34" s="31">
        <f>IF($A34="","",SUMIFS($E$139:$E$288,$B$139:$B$288,$A34,$U$139:$U$288,1,$Y$139:$Y$288,1,$C$139:$C$288,"&lt;="&amp;D$17,$D$139:$D$288,"&gt;="&amp;D$17))</f>
        <v/>
      </c>
      <c r="AN34" s="31">
        <f>IF($A34="","",SUMIFS($E$139:$E$288,$B$139:$B$288,$A34,$U$139:$U$288,1,$Y$139:$Y$288,1,$C$139:$C$288,"&lt;="&amp;E$17,$D$139:$D$288,"&gt;="&amp;E$17))</f>
        <v/>
      </c>
      <c r="AO34" s="31">
        <f>IF($A34="","",SUMIFS($E$139:$E$288,$B$139:$B$288,$A34,$U$139:$U$288,1,$Y$139:$Y$288,1,$C$139:$C$288,"&lt;="&amp;F$17,$D$139:$D$288,"&gt;="&amp;F$17))</f>
        <v/>
      </c>
      <c r="AP34" s="31">
        <f>IF($A34="","",SUMIFS($E$139:$E$288,$B$139:$B$288,$A34,$U$139:$U$288,1,$Y$139:$Y$288,1,$C$139:$C$288,"&lt;="&amp;G$17,$D$139:$D$288,"&gt;="&amp;G$17))</f>
        <v/>
      </c>
      <c r="AQ34" s="31">
        <f>IF($A34="","",SUMIFS($E$139:$E$288,$B$139:$B$288,$A34,$U$139:$U$288,1,$Y$139:$Y$288,1,$C$139:$C$288,"&lt;="&amp;H$17,$D$139:$D$288,"&gt;="&amp;H$17))</f>
        <v/>
      </c>
      <c r="AR34" s="31">
        <f>IF($A34="","",SUMIFS($E$139:$E$288,$B$139:$B$288,$A34,$U$139:$U$288,1,$Y$139:$Y$288,1,$C$139:$C$288,"&lt;="&amp;I$17,$D$139:$D$288,"&gt;="&amp;I$17))</f>
        <v/>
      </c>
      <c r="AS34" s="31">
        <f>IF($A34="","",SUMIFS($E$139:$E$288,$B$139:$B$288,$A34,$U$139:$U$288,1,$Y$139:$Y$288,1,$C$139:$C$288,"&lt;="&amp;J$17,$D$139:$D$288,"&gt;="&amp;J$17))</f>
        <v/>
      </c>
      <c r="AT34" s="31">
        <f>IF($A34="","",SUMIFS($E$139:$E$288,$B$139:$B$288,$A34,$U$139:$U$288,1,$Y$139:$Y$288,1,$C$139:$C$288,"&lt;="&amp;K$17,$D$139:$D$288,"&gt;="&amp;K$17))</f>
        <v/>
      </c>
      <c r="AU34" s="31">
        <f>IF($A34="","",SUMIFS($E$139:$E$288,$B$139:$B$288,$A34,$U$139:$U$288,1,$Y$139:$Y$288,1,$C$139:$C$288,"&lt;="&amp;L$17,$D$139:$D$288,"&gt;="&amp;L$17))</f>
        <v/>
      </c>
      <c r="AV34" s="31">
        <f>IF($A34="","",SUMIFS($E$139:$E$288,$B$139:$B$288,$A34,$U$139:$U$288,1,$Y$139:$Y$288,1,$C$139:$C$288,"&lt;="&amp;M$17,$D$139:$D$288,"&gt;="&amp;M$17))</f>
        <v/>
      </c>
      <c r="AW34" s="31">
        <f>IF($A34="","",SUMIFS($E$139:$E$288,$B$139:$B$288,$A34,$U$139:$U$288,1,$Y$139:$Y$288,1,$C$139:$C$288,"&lt;="&amp;N$17,$D$139:$D$288,"&gt;="&amp;N$17))</f>
        <v/>
      </c>
      <c r="AX34" s="31">
        <f>IF($A34="","",SUMIFS($E$139:$E$288,$B$139:$B$288,$A34,$U$139:$U$288,1,$Y$139:$Y$288,1,$C$139:$C$288,"&lt;="&amp;O$17,$D$139:$D$288,"&gt;="&amp;O$17))</f>
        <v/>
      </c>
      <c r="AY34" s="31">
        <f>IF($A34="","",SUMIFS($E$139:$E$288,$B$139:$B$288,$A34,$U$139:$U$288,1,$Y$139:$Y$288,1,$C$139:$C$288,"&lt;="&amp;P$17,$D$139:$D$288,"&gt;="&amp;P$17))</f>
        <v/>
      </c>
      <c r="AZ34" s="31">
        <f>IF($A34="","",SUMIFS($E$139:$E$288,$B$139:$B$288,$A34,$U$139:$U$288,2,$Y$139:$Y$288,1,$C$139:$C$288,"&lt;="&amp;D$17,$D$139:$D$288,"&gt;="&amp;D$17))</f>
        <v/>
      </c>
      <c r="BA34" s="31">
        <f>IF($A34="","",SUMIFS($E$139:$E$288,$B$139:$B$288,$A34,$U$139:$U$288,2,$Y$139:$Y$288,1,$C$139:$C$288,"&lt;="&amp;E$17,$D$139:$D$288,"&gt;="&amp;E$17))</f>
        <v/>
      </c>
      <c r="BB34" s="31">
        <f>IF($A34="","",SUMIFS($E$139:$E$288,$B$139:$B$288,$A34,$U$139:$U$288,2,$Y$139:$Y$288,1,$C$139:$C$288,"&lt;="&amp;F$17,$D$139:$D$288,"&gt;="&amp;F$17))</f>
        <v/>
      </c>
      <c r="BC34" s="31">
        <f>IF($A34="","",SUMIFS($E$139:$E$288,$B$139:$B$288,$A34,$U$139:$U$288,2,$Y$139:$Y$288,1,$C$139:$C$288,"&lt;="&amp;G$17,$D$139:$D$288,"&gt;="&amp;G$17))</f>
        <v/>
      </c>
      <c r="BD34" s="31">
        <f>IF($A34="","",SUMIFS($E$139:$E$288,$B$139:$B$288,$A34,$U$139:$U$288,2,$Y$139:$Y$288,1,$C$139:$C$288,"&lt;="&amp;H$17,$D$139:$D$288,"&gt;="&amp;H$17))</f>
        <v/>
      </c>
      <c r="BE34" s="31">
        <f>IF($A34="","",SUMIFS($E$139:$E$288,$B$139:$B$288,$A34,$U$139:$U$288,2,$Y$139:$Y$288,1,$C$139:$C$288,"&lt;="&amp;I$17,$D$139:$D$288,"&gt;="&amp;I$17))</f>
        <v/>
      </c>
      <c r="BF34" s="31">
        <f>IF($A34="","",SUMIFS($E$139:$E$288,$B$139:$B$288,$A34,$U$139:$U$288,2,$Y$139:$Y$288,1,$C$139:$C$288,"&lt;="&amp;J$17,$D$139:$D$288,"&gt;="&amp;J$17))</f>
        <v/>
      </c>
      <c r="BG34" s="31">
        <f>IF($A34="","",SUMIFS($E$139:$E$288,$B$139:$B$288,$A34,$U$139:$U$288,2,$Y$139:$Y$288,1,$C$139:$C$288,"&lt;="&amp;K$17,$D$139:$D$288,"&gt;="&amp;K$17))</f>
        <v/>
      </c>
      <c r="BH34" s="31">
        <f>IF($A34="","",SUMIFS($E$139:$E$288,$B$139:$B$288,$A34,$U$139:$U$288,2,$Y$139:$Y$288,1,$C$139:$C$288,"&lt;="&amp;L$17,$D$139:$D$288,"&gt;="&amp;L$17))</f>
        <v/>
      </c>
      <c r="BI34" s="31">
        <f>IF($A34="","",SUMIFS($E$139:$E$288,$B$139:$B$288,$A34,$U$139:$U$288,2,$Y$139:$Y$288,1,$C$139:$C$288,"&lt;="&amp;M$17,$D$139:$D$288,"&gt;="&amp;M$17))</f>
        <v/>
      </c>
      <c r="BJ34" s="31">
        <f>IF($A34="","",SUMIFS($E$139:$E$288,$B$139:$B$288,$A34,$U$139:$U$288,2,$Y$139:$Y$288,1,$C$139:$C$288,"&lt;="&amp;N$17,$D$139:$D$288,"&gt;="&amp;N$17))</f>
        <v/>
      </c>
      <c r="BK34" s="31">
        <f>IF($A34="","",SUMIFS($E$139:$E$288,$B$139:$B$288,$A34,$U$139:$U$288,2,$Y$139:$Y$288,1,$C$139:$C$288,"&lt;="&amp;O$17,$D$139:$D$288,"&gt;="&amp;O$17))</f>
        <v/>
      </c>
      <c r="BL34" s="31">
        <f>IF($A34="","",SUMIFS($E$139:$E$288,$B$139:$B$288,$A34,$U$139:$U$288,2,$Y$139:$Y$288,1,$C$139:$C$288,"&lt;="&amp;P$17,$D$139:$D$288,"&gt;="&amp;P$17))</f>
        <v/>
      </c>
      <c r="BM34" s="31">
        <f>IF(OR($A34="",$D$17=""),0,SUMPRODUCT(($D34:$P34&gt;=0)*(($D34:$P34-$AZ34:$BL34)&lt;0)))</f>
        <v/>
      </c>
      <c r="BN34" s="31">
        <f>IF(IFERROR(INDEX(Register!$A$6:$A$305,ROW()-5),"")="",0,SUMIF($A$139:$A$288,IFERROR(INDEX(Register!$A$6:$A$305,ROW()-5),""),$Z$139:$Z$288))</f>
        <v/>
      </c>
      <c r="BO34" s="31">
        <f>IF(OR(IFERROR(INDEX(Register!$A$6:$A$305,ROW()-5),"")="",SUM($Z$139:$Z$288)=0),0,IF(AND(IFERROR(INDEX(Register!$B$6:$B$305,ROW()-5),"")="Project",IFERROR(INDEX(Register!$D$6:$D$305,ROW()-5),"")="Active",IFERROR(INDEX(Register!$Z$6:$Z$305,ROW()-5),"")=1,$BN34=0),1,0))</f>
        <v/>
      </c>
      <c r="BP34" s="31">
        <f>IF(AND(IFERROR(INDEX(Register!$A$6:$A$305,ROW()-5),"")&lt;&gt;"",IFERROR(INDEX(Register!$D$6:$D$305,ROW()-5),"")="Proposed"),$BN34,0)</f>
        <v/>
      </c>
      <c r="BQ34" s="31">
        <f>IF(OR($A34="",$D$17=""),0,COUNTIF($D34:$P34,"&lt;0"))</f>
        <v/>
      </c>
      <c r="BR34" s="31">
        <f>IF(INDEX($A$63:$A$102,ROW()-6)="","",INDEX($A$63:$A$102,ROW()-6))</f>
        <v/>
      </c>
      <c r="BS34" s="31">
        <f>IF(INDEX($A$63:$A$102,ROW()-6)="","",INDEX($A$63:$A$102,ROW()-6))</f>
        <v/>
      </c>
    </row>
    <row r="35">
      <c r="A35" s="31">
        <f>IF(INDEX($A$63:$A$102,ROW()-17)="","",INDEX($A$63:$A$102,ROW()-17))</f>
        <v/>
      </c>
      <c r="B35" s="31">
        <f>IF(OR($A35="",$D$17=""),"",IF($BQ35=0,"○ Clear","△ "&amp;$BQ35&amp;IF($BQ35=1," week"," weeks")&amp;" over, from "&amp;TEXT(SUMPRODUCT(MIN($D$17:$P$17+($D35:$P35&gt;=0)*100000)),"d mmm")))</f>
        <v/>
      </c>
      <c r="C35" s="32">
        <f>IF($A35="","",IF(AND(ISNUMBER(INDEX($B$63:$B$102,ROW()-17)),INDEX($S$63:$S$102,ROW()-17)=0),INDEX($B$63:$B$102,ROW()-17),IF($C$7="",$B$7,5)))</f>
        <v/>
      </c>
      <c r="D35" s="51">
        <f>IF(OR($A35="",$D$17=""),"",ROUND(Z35-AM35,2))</f>
        <v/>
      </c>
      <c r="E35" s="51">
        <f>IF(OR($A35="",$D$17=""),"",ROUND(AA35-AN35,2))</f>
        <v/>
      </c>
      <c r="F35" s="51">
        <f>IF(OR($A35="",$D$17=""),"",ROUND(AB35-AO35,2))</f>
        <v/>
      </c>
      <c r="G35" s="51">
        <f>IF(OR($A35="",$D$17=""),"",ROUND(AC35-AP35,2))</f>
        <v/>
      </c>
      <c r="H35" s="51">
        <f>IF(OR($A35="",$D$17=""),"",ROUND(AD35-AQ35,2))</f>
        <v/>
      </c>
      <c r="I35" s="51">
        <f>IF(OR($A35="",$D$17=""),"",ROUND(AE35-AR35,2))</f>
        <v/>
      </c>
      <c r="J35" s="51">
        <f>IF(OR($A35="",$D$17=""),"",ROUND(AF35-AS35,2))</f>
        <v/>
      </c>
      <c r="K35" s="51">
        <f>IF(OR($A35="",$D$17=""),"",ROUND(AG35-AT35,2))</f>
        <v/>
      </c>
      <c r="L35" s="51">
        <f>IF(OR($A35="",$D$17=""),"",ROUND(AH35-AU35,2))</f>
        <v/>
      </c>
      <c r="M35" s="51">
        <f>IF(OR($A35="",$D$17=""),"",ROUND(AI35-AV35,2))</f>
        <v/>
      </c>
      <c r="N35" s="51">
        <f>IF(OR($A35="",$D$17=""),"",ROUND(AJ35-AW35,2))</f>
        <v/>
      </c>
      <c r="O35" s="51">
        <f>IF(OR($A35="",$D$17=""),"",ROUND(AK35-AX35,2))</f>
        <v/>
      </c>
      <c r="P35" s="51">
        <f>IF(OR($A35="",$D$17=""),"",ROUND(AL35-AY35,2))</f>
        <v/>
      </c>
      <c r="Q35" s="31">
        <f>IF(OR($A35="",$D$17=""),"",IF(SUM($AZ35:$BL35)=0,"",IF($BM35=0,"Fits","Over in "&amp;$BM35&amp;IF($BM35=1," week"," weeks")&amp;" if approved")))</f>
        <v/>
      </c>
      <c r="Z35" s="31">
        <f>IF(OR($A35="",$D$17=""),"",MAX(0,$C35-SUMIFS($D$106:$D$135,$A$106:$A$135,$A35,$B$106:$B$135,"&lt;="&amp;D$17,$C$106:$C$135,"&gt;="&amp;D$17,$S$106:$S$135,0)-SUMIFS($D$106:$D$135,$A$106:$A$135,"Everyone",$B$106:$B$135,"&lt;="&amp;D$17,$C$106:$C$135,"&gt;="&amp;D$17,$S$106:$S$135,0)))</f>
        <v/>
      </c>
      <c r="AA35" s="31">
        <f>IF(OR($A35="",$D$17=""),"",MAX(0,$C35-SUMIFS($D$106:$D$135,$A$106:$A$135,$A35,$B$106:$B$135,"&lt;="&amp;E$17,$C$106:$C$135,"&gt;="&amp;E$17,$S$106:$S$135,0)-SUMIFS($D$106:$D$135,$A$106:$A$135,"Everyone",$B$106:$B$135,"&lt;="&amp;E$17,$C$106:$C$135,"&gt;="&amp;E$17,$S$106:$S$135,0)))</f>
        <v/>
      </c>
      <c r="AB35" s="31">
        <f>IF(OR($A35="",$D$17=""),"",MAX(0,$C35-SUMIFS($D$106:$D$135,$A$106:$A$135,$A35,$B$106:$B$135,"&lt;="&amp;F$17,$C$106:$C$135,"&gt;="&amp;F$17,$S$106:$S$135,0)-SUMIFS($D$106:$D$135,$A$106:$A$135,"Everyone",$B$106:$B$135,"&lt;="&amp;F$17,$C$106:$C$135,"&gt;="&amp;F$17,$S$106:$S$135,0)))</f>
        <v/>
      </c>
      <c r="AC35" s="31">
        <f>IF(OR($A35="",$D$17=""),"",MAX(0,$C35-SUMIFS($D$106:$D$135,$A$106:$A$135,$A35,$B$106:$B$135,"&lt;="&amp;G$17,$C$106:$C$135,"&gt;="&amp;G$17,$S$106:$S$135,0)-SUMIFS($D$106:$D$135,$A$106:$A$135,"Everyone",$B$106:$B$135,"&lt;="&amp;G$17,$C$106:$C$135,"&gt;="&amp;G$17,$S$106:$S$135,0)))</f>
        <v/>
      </c>
      <c r="AD35" s="31">
        <f>IF(OR($A35="",$D$17=""),"",MAX(0,$C35-SUMIFS($D$106:$D$135,$A$106:$A$135,$A35,$B$106:$B$135,"&lt;="&amp;H$17,$C$106:$C$135,"&gt;="&amp;H$17,$S$106:$S$135,0)-SUMIFS($D$106:$D$135,$A$106:$A$135,"Everyone",$B$106:$B$135,"&lt;="&amp;H$17,$C$106:$C$135,"&gt;="&amp;H$17,$S$106:$S$135,0)))</f>
        <v/>
      </c>
      <c r="AE35" s="31">
        <f>IF(OR($A35="",$D$17=""),"",MAX(0,$C35-SUMIFS($D$106:$D$135,$A$106:$A$135,$A35,$B$106:$B$135,"&lt;="&amp;I$17,$C$106:$C$135,"&gt;="&amp;I$17,$S$106:$S$135,0)-SUMIFS($D$106:$D$135,$A$106:$A$135,"Everyone",$B$106:$B$135,"&lt;="&amp;I$17,$C$106:$C$135,"&gt;="&amp;I$17,$S$106:$S$135,0)))</f>
        <v/>
      </c>
      <c r="AF35" s="31">
        <f>IF(OR($A35="",$D$17=""),"",MAX(0,$C35-SUMIFS($D$106:$D$135,$A$106:$A$135,$A35,$B$106:$B$135,"&lt;="&amp;J$17,$C$106:$C$135,"&gt;="&amp;J$17,$S$106:$S$135,0)-SUMIFS($D$106:$D$135,$A$106:$A$135,"Everyone",$B$106:$B$135,"&lt;="&amp;J$17,$C$106:$C$135,"&gt;="&amp;J$17,$S$106:$S$135,0)))</f>
        <v/>
      </c>
      <c r="AG35" s="31">
        <f>IF(OR($A35="",$D$17=""),"",MAX(0,$C35-SUMIFS($D$106:$D$135,$A$106:$A$135,$A35,$B$106:$B$135,"&lt;="&amp;K$17,$C$106:$C$135,"&gt;="&amp;K$17,$S$106:$S$135,0)-SUMIFS($D$106:$D$135,$A$106:$A$135,"Everyone",$B$106:$B$135,"&lt;="&amp;K$17,$C$106:$C$135,"&gt;="&amp;K$17,$S$106:$S$135,0)))</f>
        <v/>
      </c>
      <c r="AH35" s="31">
        <f>IF(OR($A35="",$D$17=""),"",MAX(0,$C35-SUMIFS($D$106:$D$135,$A$106:$A$135,$A35,$B$106:$B$135,"&lt;="&amp;L$17,$C$106:$C$135,"&gt;="&amp;L$17,$S$106:$S$135,0)-SUMIFS($D$106:$D$135,$A$106:$A$135,"Everyone",$B$106:$B$135,"&lt;="&amp;L$17,$C$106:$C$135,"&gt;="&amp;L$17,$S$106:$S$135,0)))</f>
        <v/>
      </c>
      <c r="AI35" s="31">
        <f>IF(OR($A35="",$D$17=""),"",MAX(0,$C35-SUMIFS($D$106:$D$135,$A$106:$A$135,$A35,$B$106:$B$135,"&lt;="&amp;M$17,$C$106:$C$135,"&gt;="&amp;M$17,$S$106:$S$135,0)-SUMIFS($D$106:$D$135,$A$106:$A$135,"Everyone",$B$106:$B$135,"&lt;="&amp;M$17,$C$106:$C$135,"&gt;="&amp;M$17,$S$106:$S$135,0)))</f>
        <v/>
      </c>
      <c r="AJ35" s="31">
        <f>IF(OR($A35="",$D$17=""),"",MAX(0,$C35-SUMIFS($D$106:$D$135,$A$106:$A$135,$A35,$B$106:$B$135,"&lt;="&amp;N$17,$C$106:$C$135,"&gt;="&amp;N$17,$S$106:$S$135,0)-SUMIFS($D$106:$D$135,$A$106:$A$135,"Everyone",$B$106:$B$135,"&lt;="&amp;N$17,$C$106:$C$135,"&gt;="&amp;N$17,$S$106:$S$135,0)))</f>
        <v/>
      </c>
      <c r="AK35" s="31">
        <f>IF(OR($A35="",$D$17=""),"",MAX(0,$C35-SUMIFS($D$106:$D$135,$A$106:$A$135,$A35,$B$106:$B$135,"&lt;="&amp;O$17,$C$106:$C$135,"&gt;="&amp;O$17,$S$106:$S$135,0)-SUMIFS($D$106:$D$135,$A$106:$A$135,"Everyone",$B$106:$B$135,"&lt;="&amp;O$17,$C$106:$C$135,"&gt;="&amp;O$17,$S$106:$S$135,0)))</f>
        <v/>
      </c>
      <c r="AL35" s="31">
        <f>IF(OR($A35="",$D$17=""),"",MAX(0,$C35-SUMIFS($D$106:$D$135,$A$106:$A$135,$A35,$B$106:$B$135,"&lt;="&amp;P$17,$C$106:$C$135,"&gt;="&amp;P$17,$S$106:$S$135,0)-SUMIFS($D$106:$D$135,$A$106:$A$135,"Everyone",$B$106:$B$135,"&lt;="&amp;P$17,$C$106:$C$135,"&gt;="&amp;P$17,$S$106:$S$135,0)))</f>
        <v/>
      </c>
      <c r="AM35" s="31">
        <f>IF($A35="","",SUMIFS($E$139:$E$288,$B$139:$B$288,$A35,$U$139:$U$288,1,$Y$139:$Y$288,1,$C$139:$C$288,"&lt;="&amp;D$17,$D$139:$D$288,"&gt;="&amp;D$17))</f>
        <v/>
      </c>
      <c r="AN35" s="31">
        <f>IF($A35="","",SUMIFS($E$139:$E$288,$B$139:$B$288,$A35,$U$139:$U$288,1,$Y$139:$Y$288,1,$C$139:$C$288,"&lt;="&amp;E$17,$D$139:$D$288,"&gt;="&amp;E$17))</f>
        <v/>
      </c>
      <c r="AO35" s="31">
        <f>IF($A35="","",SUMIFS($E$139:$E$288,$B$139:$B$288,$A35,$U$139:$U$288,1,$Y$139:$Y$288,1,$C$139:$C$288,"&lt;="&amp;F$17,$D$139:$D$288,"&gt;="&amp;F$17))</f>
        <v/>
      </c>
      <c r="AP35" s="31">
        <f>IF($A35="","",SUMIFS($E$139:$E$288,$B$139:$B$288,$A35,$U$139:$U$288,1,$Y$139:$Y$288,1,$C$139:$C$288,"&lt;="&amp;G$17,$D$139:$D$288,"&gt;="&amp;G$17))</f>
        <v/>
      </c>
      <c r="AQ35" s="31">
        <f>IF($A35="","",SUMIFS($E$139:$E$288,$B$139:$B$288,$A35,$U$139:$U$288,1,$Y$139:$Y$288,1,$C$139:$C$288,"&lt;="&amp;H$17,$D$139:$D$288,"&gt;="&amp;H$17))</f>
        <v/>
      </c>
      <c r="AR35" s="31">
        <f>IF($A35="","",SUMIFS($E$139:$E$288,$B$139:$B$288,$A35,$U$139:$U$288,1,$Y$139:$Y$288,1,$C$139:$C$288,"&lt;="&amp;I$17,$D$139:$D$288,"&gt;="&amp;I$17))</f>
        <v/>
      </c>
      <c r="AS35" s="31">
        <f>IF($A35="","",SUMIFS($E$139:$E$288,$B$139:$B$288,$A35,$U$139:$U$288,1,$Y$139:$Y$288,1,$C$139:$C$288,"&lt;="&amp;J$17,$D$139:$D$288,"&gt;="&amp;J$17))</f>
        <v/>
      </c>
      <c r="AT35" s="31">
        <f>IF($A35="","",SUMIFS($E$139:$E$288,$B$139:$B$288,$A35,$U$139:$U$288,1,$Y$139:$Y$288,1,$C$139:$C$288,"&lt;="&amp;K$17,$D$139:$D$288,"&gt;="&amp;K$17))</f>
        <v/>
      </c>
      <c r="AU35" s="31">
        <f>IF($A35="","",SUMIFS($E$139:$E$288,$B$139:$B$288,$A35,$U$139:$U$288,1,$Y$139:$Y$288,1,$C$139:$C$288,"&lt;="&amp;L$17,$D$139:$D$288,"&gt;="&amp;L$17))</f>
        <v/>
      </c>
      <c r="AV35" s="31">
        <f>IF($A35="","",SUMIFS($E$139:$E$288,$B$139:$B$288,$A35,$U$139:$U$288,1,$Y$139:$Y$288,1,$C$139:$C$288,"&lt;="&amp;M$17,$D$139:$D$288,"&gt;="&amp;M$17))</f>
        <v/>
      </c>
      <c r="AW35" s="31">
        <f>IF($A35="","",SUMIFS($E$139:$E$288,$B$139:$B$288,$A35,$U$139:$U$288,1,$Y$139:$Y$288,1,$C$139:$C$288,"&lt;="&amp;N$17,$D$139:$D$288,"&gt;="&amp;N$17))</f>
        <v/>
      </c>
      <c r="AX35" s="31">
        <f>IF($A35="","",SUMIFS($E$139:$E$288,$B$139:$B$288,$A35,$U$139:$U$288,1,$Y$139:$Y$288,1,$C$139:$C$288,"&lt;="&amp;O$17,$D$139:$D$288,"&gt;="&amp;O$17))</f>
        <v/>
      </c>
      <c r="AY35" s="31">
        <f>IF($A35="","",SUMIFS($E$139:$E$288,$B$139:$B$288,$A35,$U$139:$U$288,1,$Y$139:$Y$288,1,$C$139:$C$288,"&lt;="&amp;P$17,$D$139:$D$288,"&gt;="&amp;P$17))</f>
        <v/>
      </c>
      <c r="AZ35" s="31">
        <f>IF($A35="","",SUMIFS($E$139:$E$288,$B$139:$B$288,$A35,$U$139:$U$288,2,$Y$139:$Y$288,1,$C$139:$C$288,"&lt;="&amp;D$17,$D$139:$D$288,"&gt;="&amp;D$17))</f>
        <v/>
      </c>
      <c r="BA35" s="31">
        <f>IF($A35="","",SUMIFS($E$139:$E$288,$B$139:$B$288,$A35,$U$139:$U$288,2,$Y$139:$Y$288,1,$C$139:$C$288,"&lt;="&amp;E$17,$D$139:$D$288,"&gt;="&amp;E$17))</f>
        <v/>
      </c>
      <c r="BB35" s="31">
        <f>IF($A35="","",SUMIFS($E$139:$E$288,$B$139:$B$288,$A35,$U$139:$U$288,2,$Y$139:$Y$288,1,$C$139:$C$288,"&lt;="&amp;F$17,$D$139:$D$288,"&gt;="&amp;F$17))</f>
        <v/>
      </c>
      <c r="BC35" s="31">
        <f>IF($A35="","",SUMIFS($E$139:$E$288,$B$139:$B$288,$A35,$U$139:$U$288,2,$Y$139:$Y$288,1,$C$139:$C$288,"&lt;="&amp;G$17,$D$139:$D$288,"&gt;="&amp;G$17))</f>
        <v/>
      </c>
      <c r="BD35" s="31">
        <f>IF($A35="","",SUMIFS($E$139:$E$288,$B$139:$B$288,$A35,$U$139:$U$288,2,$Y$139:$Y$288,1,$C$139:$C$288,"&lt;="&amp;H$17,$D$139:$D$288,"&gt;="&amp;H$17))</f>
        <v/>
      </c>
      <c r="BE35" s="31">
        <f>IF($A35="","",SUMIFS($E$139:$E$288,$B$139:$B$288,$A35,$U$139:$U$288,2,$Y$139:$Y$288,1,$C$139:$C$288,"&lt;="&amp;I$17,$D$139:$D$288,"&gt;="&amp;I$17))</f>
        <v/>
      </c>
      <c r="BF35" s="31">
        <f>IF($A35="","",SUMIFS($E$139:$E$288,$B$139:$B$288,$A35,$U$139:$U$288,2,$Y$139:$Y$288,1,$C$139:$C$288,"&lt;="&amp;J$17,$D$139:$D$288,"&gt;="&amp;J$17))</f>
        <v/>
      </c>
      <c r="BG35" s="31">
        <f>IF($A35="","",SUMIFS($E$139:$E$288,$B$139:$B$288,$A35,$U$139:$U$288,2,$Y$139:$Y$288,1,$C$139:$C$288,"&lt;="&amp;K$17,$D$139:$D$288,"&gt;="&amp;K$17))</f>
        <v/>
      </c>
      <c r="BH35" s="31">
        <f>IF($A35="","",SUMIFS($E$139:$E$288,$B$139:$B$288,$A35,$U$139:$U$288,2,$Y$139:$Y$288,1,$C$139:$C$288,"&lt;="&amp;L$17,$D$139:$D$288,"&gt;="&amp;L$17))</f>
        <v/>
      </c>
      <c r="BI35" s="31">
        <f>IF($A35="","",SUMIFS($E$139:$E$288,$B$139:$B$288,$A35,$U$139:$U$288,2,$Y$139:$Y$288,1,$C$139:$C$288,"&lt;="&amp;M$17,$D$139:$D$288,"&gt;="&amp;M$17))</f>
        <v/>
      </c>
      <c r="BJ35" s="31">
        <f>IF($A35="","",SUMIFS($E$139:$E$288,$B$139:$B$288,$A35,$U$139:$U$288,2,$Y$139:$Y$288,1,$C$139:$C$288,"&lt;="&amp;N$17,$D$139:$D$288,"&gt;="&amp;N$17))</f>
        <v/>
      </c>
      <c r="BK35" s="31">
        <f>IF($A35="","",SUMIFS($E$139:$E$288,$B$139:$B$288,$A35,$U$139:$U$288,2,$Y$139:$Y$288,1,$C$139:$C$288,"&lt;="&amp;O$17,$D$139:$D$288,"&gt;="&amp;O$17))</f>
        <v/>
      </c>
      <c r="BL35" s="31">
        <f>IF($A35="","",SUMIFS($E$139:$E$288,$B$139:$B$288,$A35,$U$139:$U$288,2,$Y$139:$Y$288,1,$C$139:$C$288,"&lt;="&amp;P$17,$D$139:$D$288,"&gt;="&amp;P$17))</f>
        <v/>
      </c>
      <c r="BM35" s="31">
        <f>IF(OR($A35="",$D$17=""),0,SUMPRODUCT(($D35:$P35&gt;=0)*(($D35:$P35-$AZ35:$BL35)&lt;0)))</f>
        <v/>
      </c>
      <c r="BN35" s="31">
        <f>IF(IFERROR(INDEX(Register!$A$6:$A$305,ROW()-5),"")="",0,SUMIF($A$139:$A$288,IFERROR(INDEX(Register!$A$6:$A$305,ROW()-5),""),$Z$139:$Z$288))</f>
        <v/>
      </c>
      <c r="BO35" s="31">
        <f>IF(OR(IFERROR(INDEX(Register!$A$6:$A$305,ROW()-5),"")="",SUM($Z$139:$Z$288)=0),0,IF(AND(IFERROR(INDEX(Register!$B$6:$B$305,ROW()-5),"")="Project",IFERROR(INDEX(Register!$D$6:$D$305,ROW()-5),"")="Active",IFERROR(INDEX(Register!$Z$6:$Z$305,ROW()-5),"")=1,$BN35=0),1,0))</f>
        <v/>
      </c>
      <c r="BP35" s="31">
        <f>IF(AND(IFERROR(INDEX(Register!$A$6:$A$305,ROW()-5),"")&lt;&gt;"",IFERROR(INDEX(Register!$D$6:$D$305,ROW()-5),"")="Proposed"),$BN35,0)</f>
        <v/>
      </c>
      <c r="BQ35" s="31">
        <f>IF(OR($A35="",$D$17=""),0,COUNTIF($D35:$P35,"&lt;0"))</f>
        <v/>
      </c>
      <c r="BR35" s="31">
        <f>IF(INDEX($A$63:$A$102,ROW()-6)="","",INDEX($A$63:$A$102,ROW()-6))</f>
        <v/>
      </c>
      <c r="BS35" s="31">
        <f>IF(INDEX($A$63:$A$102,ROW()-6)="","",INDEX($A$63:$A$102,ROW()-6))</f>
        <v/>
      </c>
    </row>
    <row r="36">
      <c r="A36" s="31">
        <f>IF(INDEX($A$63:$A$102,ROW()-17)="","",INDEX($A$63:$A$102,ROW()-17))</f>
        <v/>
      </c>
      <c r="B36" s="31">
        <f>IF(OR($A36="",$D$17=""),"",IF($BQ36=0,"○ Clear","△ "&amp;$BQ36&amp;IF($BQ36=1," week"," weeks")&amp;" over, from "&amp;TEXT(SUMPRODUCT(MIN($D$17:$P$17+($D36:$P36&gt;=0)*100000)),"d mmm")))</f>
        <v/>
      </c>
      <c r="C36" s="32">
        <f>IF($A36="","",IF(AND(ISNUMBER(INDEX($B$63:$B$102,ROW()-17)),INDEX($S$63:$S$102,ROW()-17)=0),INDEX($B$63:$B$102,ROW()-17),IF($C$7="",$B$7,5)))</f>
        <v/>
      </c>
      <c r="D36" s="51">
        <f>IF(OR($A36="",$D$17=""),"",ROUND(Z36-AM36,2))</f>
        <v/>
      </c>
      <c r="E36" s="51">
        <f>IF(OR($A36="",$D$17=""),"",ROUND(AA36-AN36,2))</f>
        <v/>
      </c>
      <c r="F36" s="51">
        <f>IF(OR($A36="",$D$17=""),"",ROUND(AB36-AO36,2))</f>
        <v/>
      </c>
      <c r="G36" s="51">
        <f>IF(OR($A36="",$D$17=""),"",ROUND(AC36-AP36,2))</f>
        <v/>
      </c>
      <c r="H36" s="51">
        <f>IF(OR($A36="",$D$17=""),"",ROUND(AD36-AQ36,2))</f>
        <v/>
      </c>
      <c r="I36" s="51">
        <f>IF(OR($A36="",$D$17=""),"",ROUND(AE36-AR36,2))</f>
        <v/>
      </c>
      <c r="J36" s="51">
        <f>IF(OR($A36="",$D$17=""),"",ROUND(AF36-AS36,2))</f>
        <v/>
      </c>
      <c r="K36" s="51">
        <f>IF(OR($A36="",$D$17=""),"",ROUND(AG36-AT36,2))</f>
        <v/>
      </c>
      <c r="L36" s="51">
        <f>IF(OR($A36="",$D$17=""),"",ROUND(AH36-AU36,2))</f>
        <v/>
      </c>
      <c r="M36" s="51">
        <f>IF(OR($A36="",$D$17=""),"",ROUND(AI36-AV36,2))</f>
        <v/>
      </c>
      <c r="N36" s="51">
        <f>IF(OR($A36="",$D$17=""),"",ROUND(AJ36-AW36,2))</f>
        <v/>
      </c>
      <c r="O36" s="51">
        <f>IF(OR($A36="",$D$17=""),"",ROUND(AK36-AX36,2))</f>
        <v/>
      </c>
      <c r="P36" s="51">
        <f>IF(OR($A36="",$D$17=""),"",ROUND(AL36-AY36,2))</f>
        <v/>
      </c>
      <c r="Q36" s="31">
        <f>IF(OR($A36="",$D$17=""),"",IF(SUM($AZ36:$BL36)=0,"",IF($BM36=0,"Fits","Over in "&amp;$BM36&amp;IF($BM36=1," week"," weeks")&amp;" if approved")))</f>
        <v/>
      </c>
      <c r="Z36" s="31">
        <f>IF(OR($A36="",$D$17=""),"",MAX(0,$C36-SUMIFS($D$106:$D$135,$A$106:$A$135,$A36,$B$106:$B$135,"&lt;="&amp;D$17,$C$106:$C$135,"&gt;="&amp;D$17,$S$106:$S$135,0)-SUMIFS($D$106:$D$135,$A$106:$A$135,"Everyone",$B$106:$B$135,"&lt;="&amp;D$17,$C$106:$C$135,"&gt;="&amp;D$17,$S$106:$S$135,0)))</f>
        <v/>
      </c>
      <c r="AA36" s="31">
        <f>IF(OR($A36="",$D$17=""),"",MAX(0,$C36-SUMIFS($D$106:$D$135,$A$106:$A$135,$A36,$B$106:$B$135,"&lt;="&amp;E$17,$C$106:$C$135,"&gt;="&amp;E$17,$S$106:$S$135,0)-SUMIFS($D$106:$D$135,$A$106:$A$135,"Everyone",$B$106:$B$135,"&lt;="&amp;E$17,$C$106:$C$135,"&gt;="&amp;E$17,$S$106:$S$135,0)))</f>
        <v/>
      </c>
      <c r="AB36" s="31">
        <f>IF(OR($A36="",$D$17=""),"",MAX(0,$C36-SUMIFS($D$106:$D$135,$A$106:$A$135,$A36,$B$106:$B$135,"&lt;="&amp;F$17,$C$106:$C$135,"&gt;="&amp;F$17,$S$106:$S$135,0)-SUMIFS($D$106:$D$135,$A$106:$A$135,"Everyone",$B$106:$B$135,"&lt;="&amp;F$17,$C$106:$C$135,"&gt;="&amp;F$17,$S$106:$S$135,0)))</f>
        <v/>
      </c>
      <c r="AC36" s="31">
        <f>IF(OR($A36="",$D$17=""),"",MAX(0,$C36-SUMIFS($D$106:$D$135,$A$106:$A$135,$A36,$B$106:$B$135,"&lt;="&amp;G$17,$C$106:$C$135,"&gt;="&amp;G$17,$S$106:$S$135,0)-SUMIFS($D$106:$D$135,$A$106:$A$135,"Everyone",$B$106:$B$135,"&lt;="&amp;G$17,$C$106:$C$135,"&gt;="&amp;G$17,$S$106:$S$135,0)))</f>
        <v/>
      </c>
      <c r="AD36" s="31">
        <f>IF(OR($A36="",$D$17=""),"",MAX(0,$C36-SUMIFS($D$106:$D$135,$A$106:$A$135,$A36,$B$106:$B$135,"&lt;="&amp;H$17,$C$106:$C$135,"&gt;="&amp;H$17,$S$106:$S$135,0)-SUMIFS($D$106:$D$135,$A$106:$A$135,"Everyone",$B$106:$B$135,"&lt;="&amp;H$17,$C$106:$C$135,"&gt;="&amp;H$17,$S$106:$S$135,0)))</f>
        <v/>
      </c>
      <c r="AE36" s="31">
        <f>IF(OR($A36="",$D$17=""),"",MAX(0,$C36-SUMIFS($D$106:$D$135,$A$106:$A$135,$A36,$B$106:$B$135,"&lt;="&amp;I$17,$C$106:$C$135,"&gt;="&amp;I$17,$S$106:$S$135,0)-SUMIFS($D$106:$D$135,$A$106:$A$135,"Everyone",$B$106:$B$135,"&lt;="&amp;I$17,$C$106:$C$135,"&gt;="&amp;I$17,$S$106:$S$135,0)))</f>
        <v/>
      </c>
      <c r="AF36" s="31">
        <f>IF(OR($A36="",$D$17=""),"",MAX(0,$C36-SUMIFS($D$106:$D$135,$A$106:$A$135,$A36,$B$106:$B$135,"&lt;="&amp;J$17,$C$106:$C$135,"&gt;="&amp;J$17,$S$106:$S$135,0)-SUMIFS($D$106:$D$135,$A$106:$A$135,"Everyone",$B$106:$B$135,"&lt;="&amp;J$17,$C$106:$C$135,"&gt;="&amp;J$17,$S$106:$S$135,0)))</f>
        <v/>
      </c>
      <c r="AG36" s="31">
        <f>IF(OR($A36="",$D$17=""),"",MAX(0,$C36-SUMIFS($D$106:$D$135,$A$106:$A$135,$A36,$B$106:$B$135,"&lt;="&amp;K$17,$C$106:$C$135,"&gt;="&amp;K$17,$S$106:$S$135,0)-SUMIFS($D$106:$D$135,$A$106:$A$135,"Everyone",$B$106:$B$135,"&lt;="&amp;K$17,$C$106:$C$135,"&gt;="&amp;K$17,$S$106:$S$135,0)))</f>
        <v/>
      </c>
      <c r="AH36" s="31">
        <f>IF(OR($A36="",$D$17=""),"",MAX(0,$C36-SUMIFS($D$106:$D$135,$A$106:$A$135,$A36,$B$106:$B$135,"&lt;="&amp;L$17,$C$106:$C$135,"&gt;="&amp;L$17,$S$106:$S$135,0)-SUMIFS($D$106:$D$135,$A$106:$A$135,"Everyone",$B$106:$B$135,"&lt;="&amp;L$17,$C$106:$C$135,"&gt;="&amp;L$17,$S$106:$S$135,0)))</f>
        <v/>
      </c>
      <c r="AI36" s="31">
        <f>IF(OR($A36="",$D$17=""),"",MAX(0,$C36-SUMIFS($D$106:$D$135,$A$106:$A$135,$A36,$B$106:$B$135,"&lt;="&amp;M$17,$C$106:$C$135,"&gt;="&amp;M$17,$S$106:$S$135,0)-SUMIFS($D$106:$D$135,$A$106:$A$135,"Everyone",$B$106:$B$135,"&lt;="&amp;M$17,$C$106:$C$135,"&gt;="&amp;M$17,$S$106:$S$135,0)))</f>
        <v/>
      </c>
      <c r="AJ36" s="31">
        <f>IF(OR($A36="",$D$17=""),"",MAX(0,$C36-SUMIFS($D$106:$D$135,$A$106:$A$135,$A36,$B$106:$B$135,"&lt;="&amp;N$17,$C$106:$C$135,"&gt;="&amp;N$17,$S$106:$S$135,0)-SUMIFS($D$106:$D$135,$A$106:$A$135,"Everyone",$B$106:$B$135,"&lt;="&amp;N$17,$C$106:$C$135,"&gt;="&amp;N$17,$S$106:$S$135,0)))</f>
        <v/>
      </c>
      <c r="AK36" s="31">
        <f>IF(OR($A36="",$D$17=""),"",MAX(0,$C36-SUMIFS($D$106:$D$135,$A$106:$A$135,$A36,$B$106:$B$135,"&lt;="&amp;O$17,$C$106:$C$135,"&gt;="&amp;O$17,$S$106:$S$135,0)-SUMIFS($D$106:$D$135,$A$106:$A$135,"Everyone",$B$106:$B$135,"&lt;="&amp;O$17,$C$106:$C$135,"&gt;="&amp;O$17,$S$106:$S$135,0)))</f>
        <v/>
      </c>
      <c r="AL36" s="31">
        <f>IF(OR($A36="",$D$17=""),"",MAX(0,$C36-SUMIFS($D$106:$D$135,$A$106:$A$135,$A36,$B$106:$B$135,"&lt;="&amp;P$17,$C$106:$C$135,"&gt;="&amp;P$17,$S$106:$S$135,0)-SUMIFS($D$106:$D$135,$A$106:$A$135,"Everyone",$B$106:$B$135,"&lt;="&amp;P$17,$C$106:$C$135,"&gt;="&amp;P$17,$S$106:$S$135,0)))</f>
        <v/>
      </c>
      <c r="AM36" s="31">
        <f>IF($A36="","",SUMIFS($E$139:$E$288,$B$139:$B$288,$A36,$U$139:$U$288,1,$Y$139:$Y$288,1,$C$139:$C$288,"&lt;="&amp;D$17,$D$139:$D$288,"&gt;="&amp;D$17))</f>
        <v/>
      </c>
      <c r="AN36" s="31">
        <f>IF($A36="","",SUMIFS($E$139:$E$288,$B$139:$B$288,$A36,$U$139:$U$288,1,$Y$139:$Y$288,1,$C$139:$C$288,"&lt;="&amp;E$17,$D$139:$D$288,"&gt;="&amp;E$17))</f>
        <v/>
      </c>
      <c r="AO36" s="31">
        <f>IF($A36="","",SUMIFS($E$139:$E$288,$B$139:$B$288,$A36,$U$139:$U$288,1,$Y$139:$Y$288,1,$C$139:$C$288,"&lt;="&amp;F$17,$D$139:$D$288,"&gt;="&amp;F$17))</f>
        <v/>
      </c>
      <c r="AP36" s="31">
        <f>IF($A36="","",SUMIFS($E$139:$E$288,$B$139:$B$288,$A36,$U$139:$U$288,1,$Y$139:$Y$288,1,$C$139:$C$288,"&lt;="&amp;G$17,$D$139:$D$288,"&gt;="&amp;G$17))</f>
        <v/>
      </c>
      <c r="AQ36" s="31">
        <f>IF($A36="","",SUMIFS($E$139:$E$288,$B$139:$B$288,$A36,$U$139:$U$288,1,$Y$139:$Y$288,1,$C$139:$C$288,"&lt;="&amp;H$17,$D$139:$D$288,"&gt;="&amp;H$17))</f>
        <v/>
      </c>
      <c r="AR36" s="31">
        <f>IF($A36="","",SUMIFS($E$139:$E$288,$B$139:$B$288,$A36,$U$139:$U$288,1,$Y$139:$Y$288,1,$C$139:$C$288,"&lt;="&amp;I$17,$D$139:$D$288,"&gt;="&amp;I$17))</f>
        <v/>
      </c>
      <c r="AS36" s="31">
        <f>IF($A36="","",SUMIFS($E$139:$E$288,$B$139:$B$288,$A36,$U$139:$U$288,1,$Y$139:$Y$288,1,$C$139:$C$288,"&lt;="&amp;J$17,$D$139:$D$288,"&gt;="&amp;J$17))</f>
        <v/>
      </c>
      <c r="AT36" s="31">
        <f>IF($A36="","",SUMIFS($E$139:$E$288,$B$139:$B$288,$A36,$U$139:$U$288,1,$Y$139:$Y$288,1,$C$139:$C$288,"&lt;="&amp;K$17,$D$139:$D$288,"&gt;="&amp;K$17))</f>
        <v/>
      </c>
      <c r="AU36" s="31">
        <f>IF($A36="","",SUMIFS($E$139:$E$288,$B$139:$B$288,$A36,$U$139:$U$288,1,$Y$139:$Y$288,1,$C$139:$C$288,"&lt;="&amp;L$17,$D$139:$D$288,"&gt;="&amp;L$17))</f>
        <v/>
      </c>
      <c r="AV36" s="31">
        <f>IF($A36="","",SUMIFS($E$139:$E$288,$B$139:$B$288,$A36,$U$139:$U$288,1,$Y$139:$Y$288,1,$C$139:$C$288,"&lt;="&amp;M$17,$D$139:$D$288,"&gt;="&amp;M$17))</f>
        <v/>
      </c>
      <c r="AW36" s="31">
        <f>IF($A36="","",SUMIFS($E$139:$E$288,$B$139:$B$288,$A36,$U$139:$U$288,1,$Y$139:$Y$288,1,$C$139:$C$288,"&lt;="&amp;N$17,$D$139:$D$288,"&gt;="&amp;N$17))</f>
        <v/>
      </c>
      <c r="AX36" s="31">
        <f>IF($A36="","",SUMIFS($E$139:$E$288,$B$139:$B$288,$A36,$U$139:$U$288,1,$Y$139:$Y$288,1,$C$139:$C$288,"&lt;="&amp;O$17,$D$139:$D$288,"&gt;="&amp;O$17))</f>
        <v/>
      </c>
      <c r="AY36" s="31">
        <f>IF($A36="","",SUMIFS($E$139:$E$288,$B$139:$B$288,$A36,$U$139:$U$288,1,$Y$139:$Y$288,1,$C$139:$C$288,"&lt;="&amp;P$17,$D$139:$D$288,"&gt;="&amp;P$17))</f>
        <v/>
      </c>
      <c r="AZ36" s="31">
        <f>IF($A36="","",SUMIFS($E$139:$E$288,$B$139:$B$288,$A36,$U$139:$U$288,2,$Y$139:$Y$288,1,$C$139:$C$288,"&lt;="&amp;D$17,$D$139:$D$288,"&gt;="&amp;D$17))</f>
        <v/>
      </c>
      <c r="BA36" s="31">
        <f>IF($A36="","",SUMIFS($E$139:$E$288,$B$139:$B$288,$A36,$U$139:$U$288,2,$Y$139:$Y$288,1,$C$139:$C$288,"&lt;="&amp;E$17,$D$139:$D$288,"&gt;="&amp;E$17))</f>
        <v/>
      </c>
      <c r="BB36" s="31">
        <f>IF($A36="","",SUMIFS($E$139:$E$288,$B$139:$B$288,$A36,$U$139:$U$288,2,$Y$139:$Y$288,1,$C$139:$C$288,"&lt;="&amp;F$17,$D$139:$D$288,"&gt;="&amp;F$17))</f>
        <v/>
      </c>
      <c r="BC36" s="31">
        <f>IF($A36="","",SUMIFS($E$139:$E$288,$B$139:$B$288,$A36,$U$139:$U$288,2,$Y$139:$Y$288,1,$C$139:$C$288,"&lt;="&amp;G$17,$D$139:$D$288,"&gt;="&amp;G$17))</f>
        <v/>
      </c>
      <c r="BD36" s="31">
        <f>IF($A36="","",SUMIFS($E$139:$E$288,$B$139:$B$288,$A36,$U$139:$U$288,2,$Y$139:$Y$288,1,$C$139:$C$288,"&lt;="&amp;H$17,$D$139:$D$288,"&gt;="&amp;H$17))</f>
        <v/>
      </c>
      <c r="BE36" s="31">
        <f>IF($A36="","",SUMIFS($E$139:$E$288,$B$139:$B$288,$A36,$U$139:$U$288,2,$Y$139:$Y$288,1,$C$139:$C$288,"&lt;="&amp;I$17,$D$139:$D$288,"&gt;="&amp;I$17))</f>
        <v/>
      </c>
      <c r="BF36" s="31">
        <f>IF($A36="","",SUMIFS($E$139:$E$288,$B$139:$B$288,$A36,$U$139:$U$288,2,$Y$139:$Y$288,1,$C$139:$C$288,"&lt;="&amp;J$17,$D$139:$D$288,"&gt;="&amp;J$17))</f>
        <v/>
      </c>
      <c r="BG36" s="31">
        <f>IF($A36="","",SUMIFS($E$139:$E$288,$B$139:$B$288,$A36,$U$139:$U$288,2,$Y$139:$Y$288,1,$C$139:$C$288,"&lt;="&amp;K$17,$D$139:$D$288,"&gt;="&amp;K$17))</f>
        <v/>
      </c>
      <c r="BH36" s="31">
        <f>IF($A36="","",SUMIFS($E$139:$E$288,$B$139:$B$288,$A36,$U$139:$U$288,2,$Y$139:$Y$288,1,$C$139:$C$288,"&lt;="&amp;L$17,$D$139:$D$288,"&gt;="&amp;L$17))</f>
        <v/>
      </c>
      <c r="BI36" s="31">
        <f>IF($A36="","",SUMIFS($E$139:$E$288,$B$139:$B$288,$A36,$U$139:$U$288,2,$Y$139:$Y$288,1,$C$139:$C$288,"&lt;="&amp;M$17,$D$139:$D$288,"&gt;="&amp;M$17))</f>
        <v/>
      </c>
      <c r="BJ36" s="31">
        <f>IF($A36="","",SUMIFS($E$139:$E$288,$B$139:$B$288,$A36,$U$139:$U$288,2,$Y$139:$Y$288,1,$C$139:$C$288,"&lt;="&amp;N$17,$D$139:$D$288,"&gt;="&amp;N$17))</f>
        <v/>
      </c>
      <c r="BK36" s="31">
        <f>IF($A36="","",SUMIFS($E$139:$E$288,$B$139:$B$288,$A36,$U$139:$U$288,2,$Y$139:$Y$288,1,$C$139:$C$288,"&lt;="&amp;O$17,$D$139:$D$288,"&gt;="&amp;O$17))</f>
        <v/>
      </c>
      <c r="BL36" s="31">
        <f>IF($A36="","",SUMIFS($E$139:$E$288,$B$139:$B$288,$A36,$U$139:$U$288,2,$Y$139:$Y$288,1,$C$139:$C$288,"&lt;="&amp;P$17,$D$139:$D$288,"&gt;="&amp;P$17))</f>
        <v/>
      </c>
      <c r="BM36" s="31">
        <f>IF(OR($A36="",$D$17=""),0,SUMPRODUCT(($D36:$P36&gt;=0)*(($D36:$P36-$AZ36:$BL36)&lt;0)))</f>
        <v/>
      </c>
      <c r="BN36" s="31">
        <f>IF(IFERROR(INDEX(Register!$A$6:$A$305,ROW()-5),"")="",0,SUMIF($A$139:$A$288,IFERROR(INDEX(Register!$A$6:$A$305,ROW()-5),""),$Z$139:$Z$288))</f>
        <v/>
      </c>
      <c r="BO36" s="31">
        <f>IF(OR(IFERROR(INDEX(Register!$A$6:$A$305,ROW()-5),"")="",SUM($Z$139:$Z$288)=0),0,IF(AND(IFERROR(INDEX(Register!$B$6:$B$305,ROW()-5),"")="Project",IFERROR(INDEX(Register!$D$6:$D$305,ROW()-5),"")="Active",IFERROR(INDEX(Register!$Z$6:$Z$305,ROW()-5),"")=1,$BN36=0),1,0))</f>
        <v/>
      </c>
      <c r="BP36" s="31">
        <f>IF(AND(IFERROR(INDEX(Register!$A$6:$A$305,ROW()-5),"")&lt;&gt;"",IFERROR(INDEX(Register!$D$6:$D$305,ROW()-5),"")="Proposed"),$BN36,0)</f>
        <v/>
      </c>
      <c r="BQ36" s="31">
        <f>IF(OR($A36="",$D$17=""),0,COUNTIF($D36:$P36,"&lt;0"))</f>
        <v/>
      </c>
      <c r="BR36" s="31">
        <f>IF(INDEX($A$63:$A$102,ROW()-6)="","",INDEX($A$63:$A$102,ROW()-6))</f>
        <v/>
      </c>
      <c r="BS36" s="31">
        <f>IF(INDEX($A$63:$A$102,ROW()-6)="","",INDEX($A$63:$A$102,ROW()-6))</f>
        <v/>
      </c>
    </row>
    <row r="37">
      <c r="A37" s="31">
        <f>IF(INDEX($A$63:$A$102,ROW()-17)="","",INDEX($A$63:$A$102,ROW()-17))</f>
        <v/>
      </c>
      <c r="B37" s="31">
        <f>IF(OR($A37="",$D$17=""),"",IF($BQ37=0,"○ Clear","△ "&amp;$BQ37&amp;IF($BQ37=1," week"," weeks")&amp;" over, from "&amp;TEXT(SUMPRODUCT(MIN($D$17:$P$17+($D37:$P37&gt;=0)*100000)),"d mmm")))</f>
        <v/>
      </c>
      <c r="C37" s="32">
        <f>IF($A37="","",IF(AND(ISNUMBER(INDEX($B$63:$B$102,ROW()-17)),INDEX($S$63:$S$102,ROW()-17)=0),INDEX($B$63:$B$102,ROW()-17),IF($C$7="",$B$7,5)))</f>
        <v/>
      </c>
      <c r="D37" s="51">
        <f>IF(OR($A37="",$D$17=""),"",ROUND(Z37-AM37,2))</f>
        <v/>
      </c>
      <c r="E37" s="51">
        <f>IF(OR($A37="",$D$17=""),"",ROUND(AA37-AN37,2))</f>
        <v/>
      </c>
      <c r="F37" s="51">
        <f>IF(OR($A37="",$D$17=""),"",ROUND(AB37-AO37,2))</f>
        <v/>
      </c>
      <c r="G37" s="51">
        <f>IF(OR($A37="",$D$17=""),"",ROUND(AC37-AP37,2))</f>
        <v/>
      </c>
      <c r="H37" s="51">
        <f>IF(OR($A37="",$D$17=""),"",ROUND(AD37-AQ37,2))</f>
        <v/>
      </c>
      <c r="I37" s="51">
        <f>IF(OR($A37="",$D$17=""),"",ROUND(AE37-AR37,2))</f>
        <v/>
      </c>
      <c r="J37" s="51">
        <f>IF(OR($A37="",$D$17=""),"",ROUND(AF37-AS37,2))</f>
        <v/>
      </c>
      <c r="K37" s="51">
        <f>IF(OR($A37="",$D$17=""),"",ROUND(AG37-AT37,2))</f>
        <v/>
      </c>
      <c r="L37" s="51">
        <f>IF(OR($A37="",$D$17=""),"",ROUND(AH37-AU37,2))</f>
        <v/>
      </c>
      <c r="M37" s="51">
        <f>IF(OR($A37="",$D$17=""),"",ROUND(AI37-AV37,2))</f>
        <v/>
      </c>
      <c r="N37" s="51">
        <f>IF(OR($A37="",$D$17=""),"",ROUND(AJ37-AW37,2))</f>
        <v/>
      </c>
      <c r="O37" s="51">
        <f>IF(OR($A37="",$D$17=""),"",ROUND(AK37-AX37,2))</f>
        <v/>
      </c>
      <c r="P37" s="51">
        <f>IF(OR($A37="",$D$17=""),"",ROUND(AL37-AY37,2))</f>
        <v/>
      </c>
      <c r="Q37" s="31">
        <f>IF(OR($A37="",$D$17=""),"",IF(SUM($AZ37:$BL37)=0,"",IF($BM37=0,"Fits","Over in "&amp;$BM37&amp;IF($BM37=1," week"," weeks")&amp;" if approved")))</f>
        <v/>
      </c>
      <c r="Z37" s="31">
        <f>IF(OR($A37="",$D$17=""),"",MAX(0,$C37-SUMIFS($D$106:$D$135,$A$106:$A$135,$A37,$B$106:$B$135,"&lt;="&amp;D$17,$C$106:$C$135,"&gt;="&amp;D$17,$S$106:$S$135,0)-SUMIFS($D$106:$D$135,$A$106:$A$135,"Everyone",$B$106:$B$135,"&lt;="&amp;D$17,$C$106:$C$135,"&gt;="&amp;D$17,$S$106:$S$135,0)))</f>
        <v/>
      </c>
      <c r="AA37" s="31">
        <f>IF(OR($A37="",$D$17=""),"",MAX(0,$C37-SUMIFS($D$106:$D$135,$A$106:$A$135,$A37,$B$106:$B$135,"&lt;="&amp;E$17,$C$106:$C$135,"&gt;="&amp;E$17,$S$106:$S$135,0)-SUMIFS($D$106:$D$135,$A$106:$A$135,"Everyone",$B$106:$B$135,"&lt;="&amp;E$17,$C$106:$C$135,"&gt;="&amp;E$17,$S$106:$S$135,0)))</f>
        <v/>
      </c>
      <c r="AB37" s="31">
        <f>IF(OR($A37="",$D$17=""),"",MAX(0,$C37-SUMIFS($D$106:$D$135,$A$106:$A$135,$A37,$B$106:$B$135,"&lt;="&amp;F$17,$C$106:$C$135,"&gt;="&amp;F$17,$S$106:$S$135,0)-SUMIFS($D$106:$D$135,$A$106:$A$135,"Everyone",$B$106:$B$135,"&lt;="&amp;F$17,$C$106:$C$135,"&gt;="&amp;F$17,$S$106:$S$135,0)))</f>
        <v/>
      </c>
      <c r="AC37" s="31">
        <f>IF(OR($A37="",$D$17=""),"",MAX(0,$C37-SUMIFS($D$106:$D$135,$A$106:$A$135,$A37,$B$106:$B$135,"&lt;="&amp;G$17,$C$106:$C$135,"&gt;="&amp;G$17,$S$106:$S$135,0)-SUMIFS($D$106:$D$135,$A$106:$A$135,"Everyone",$B$106:$B$135,"&lt;="&amp;G$17,$C$106:$C$135,"&gt;="&amp;G$17,$S$106:$S$135,0)))</f>
        <v/>
      </c>
      <c r="AD37" s="31">
        <f>IF(OR($A37="",$D$17=""),"",MAX(0,$C37-SUMIFS($D$106:$D$135,$A$106:$A$135,$A37,$B$106:$B$135,"&lt;="&amp;H$17,$C$106:$C$135,"&gt;="&amp;H$17,$S$106:$S$135,0)-SUMIFS($D$106:$D$135,$A$106:$A$135,"Everyone",$B$106:$B$135,"&lt;="&amp;H$17,$C$106:$C$135,"&gt;="&amp;H$17,$S$106:$S$135,0)))</f>
        <v/>
      </c>
      <c r="AE37" s="31">
        <f>IF(OR($A37="",$D$17=""),"",MAX(0,$C37-SUMIFS($D$106:$D$135,$A$106:$A$135,$A37,$B$106:$B$135,"&lt;="&amp;I$17,$C$106:$C$135,"&gt;="&amp;I$17,$S$106:$S$135,0)-SUMIFS($D$106:$D$135,$A$106:$A$135,"Everyone",$B$106:$B$135,"&lt;="&amp;I$17,$C$106:$C$135,"&gt;="&amp;I$17,$S$106:$S$135,0)))</f>
        <v/>
      </c>
      <c r="AF37" s="31">
        <f>IF(OR($A37="",$D$17=""),"",MAX(0,$C37-SUMIFS($D$106:$D$135,$A$106:$A$135,$A37,$B$106:$B$135,"&lt;="&amp;J$17,$C$106:$C$135,"&gt;="&amp;J$17,$S$106:$S$135,0)-SUMIFS($D$106:$D$135,$A$106:$A$135,"Everyone",$B$106:$B$135,"&lt;="&amp;J$17,$C$106:$C$135,"&gt;="&amp;J$17,$S$106:$S$135,0)))</f>
        <v/>
      </c>
      <c r="AG37" s="31">
        <f>IF(OR($A37="",$D$17=""),"",MAX(0,$C37-SUMIFS($D$106:$D$135,$A$106:$A$135,$A37,$B$106:$B$135,"&lt;="&amp;K$17,$C$106:$C$135,"&gt;="&amp;K$17,$S$106:$S$135,0)-SUMIFS($D$106:$D$135,$A$106:$A$135,"Everyone",$B$106:$B$135,"&lt;="&amp;K$17,$C$106:$C$135,"&gt;="&amp;K$17,$S$106:$S$135,0)))</f>
        <v/>
      </c>
      <c r="AH37" s="31">
        <f>IF(OR($A37="",$D$17=""),"",MAX(0,$C37-SUMIFS($D$106:$D$135,$A$106:$A$135,$A37,$B$106:$B$135,"&lt;="&amp;L$17,$C$106:$C$135,"&gt;="&amp;L$17,$S$106:$S$135,0)-SUMIFS($D$106:$D$135,$A$106:$A$135,"Everyone",$B$106:$B$135,"&lt;="&amp;L$17,$C$106:$C$135,"&gt;="&amp;L$17,$S$106:$S$135,0)))</f>
        <v/>
      </c>
      <c r="AI37" s="31">
        <f>IF(OR($A37="",$D$17=""),"",MAX(0,$C37-SUMIFS($D$106:$D$135,$A$106:$A$135,$A37,$B$106:$B$135,"&lt;="&amp;M$17,$C$106:$C$135,"&gt;="&amp;M$17,$S$106:$S$135,0)-SUMIFS($D$106:$D$135,$A$106:$A$135,"Everyone",$B$106:$B$135,"&lt;="&amp;M$17,$C$106:$C$135,"&gt;="&amp;M$17,$S$106:$S$135,0)))</f>
        <v/>
      </c>
      <c r="AJ37" s="31">
        <f>IF(OR($A37="",$D$17=""),"",MAX(0,$C37-SUMIFS($D$106:$D$135,$A$106:$A$135,$A37,$B$106:$B$135,"&lt;="&amp;N$17,$C$106:$C$135,"&gt;="&amp;N$17,$S$106:$S$135,0)-SUMIFS($D$106:$D$135,$A$106:$A$135,"Everyone",$B$106:$B$135,"&lt;="&amp;N$17,$C$106:$C$135,"&gt;="&amp;N$17,$S$106:$S$135,0)))</f>
        <v/>
      </c>
      <c r="AK37" s="31">
        <f>IF(OR($A37="",$D$17=""),"",MAX(0,$C37-SUMIFS($D$106:$D$135,$A$106:$A$135,$A37,$B$106:$B$135,"&lt;="&amp;O$17,$C$106:$C$135,"&gt;="&amp;O$17,$S$106:$S$135,0)-SUMIFS($D$106:$D$135,$A$106:$A$135,"Everyone",$B$106:$B$135,"&lt;="&amp;O$17,$C$106:$C$135,"&gt;="&amp;O$17,$S$106:$S$135,0)))</f>
        <v/>
      </c>
      <c r="AL37" s="31">
        <f>IF(OR($A37="",$D$17=""),"",MAX(0,$C37-SUMIFS($D$106:$D$135,$A$106:$A$135,$A37,$B$106:$B$135,"&lt;="&amp;P$17,$C$106:$C$135,"&gt;="&amp;P$17,$S$106:$S$135,0)-SUMIFS($D$106:$D$135,$A$106:$A$135,"Everyone",$B$106:$B$135,"&lt;="&amp;P$17,$C$106:$C$135,"&gt;="&amp;P$17,$S$106:$S$135,0)))</f>
        <v/>
      </c>
      <c r="AM37" s="31">
        <f>IF($A37="","",SUMIFS($E$139:$E$288,$B$139:$B$288,$A37,$U$139:$U$288,1,$Y$139:$Y$288,1,$C$139:$C$288,"&lt;="&amp;D$17,$D$139:$D$288,"&gt;="&amp;D$17))</f>
        <v/>
      </c>
      <c r="AN37" s="31">
        <f>IF($A37="","",SUMIFS($E$139:$E$288,$B$139:$B$288,$A37,$U$139:$U$288,1,$Y$139:$Y$288,1,$C$139:$C$288,"&lt;="&amp;E$17,$D$139:$D$288,"&gt;="&amp;E$17))</f>
        <v/>
      </c>
      <c r="AO37" s="31">
        <f>IF($A37="","",SUMIFS($E$139:$E$288,$B$139:$B$288,$A37,$U$139:$U$288,1,$Y$139:$Y$288,1,$C$139:$C$288,"&lt;="&amp;F$17,$D$139:$D$288,"&gt;="&amp;F$17))</f>
        <v/>
      </c>
      <c r="AP37" s="31">
        <f>IF($A37="","",SUMIFS($E$139:$E$288,$B$139:$B$288,$A37,$U$139:$U$288,1,$Y$139:$Y$288,1,$C$139:$C$288,"&lt;="&amp;G$17,$D$139:$D$288,"&gt;="&amp;G$17))</f>
        <v/>
      </c>
      <c r="AQ37" s="31">
        <f>IF($A37="","",SUMIFS($E$139:$E$288,$B$139:$B$288,$A37,$U$139:$U$288,1,$Y$139:$Y$288,1,$C$139:$C$288,"&lt;="&amp;H$17,$D$139:$D$288,"&gt;="&amp;H$17))</f>
        <v/>
      </c>
      <c r="AR37" s="31">
        <f>IF($A37="","",SUMIFS($E$139:$E$288,$B$139:$B$288,$A37,$U$139:$U$288,1,$Y$139:$Y$288,1,$C$139:$C$288,"&lt;="&amp;I$17,$D$139:$D$288,"&gt;="&amp;I$17))</f>
        <v/>
      </c>
      <c r="AS37" s="31">
        <f>IF($A37="","",SUMIFS($E$139:$E$288,$B$139:$B$288,$A37,$U$139:$U$288,1,$Y$139:$Y$288,1,$C$139:$C$288,"&lt;="&amp;J$17,$D$139:$D$288,"&gt;="&amp;J$17))</f>
        <v/>
      </c>
      <c r="AT37" s="31">
        <f>IF($A37="","",SUMIFS($E$139:$E$288,$B$139:$B$288,$A37,$U$139:$U$288,1,$Y$139:$Y$288,1,$C$139:$C$288,"&lt;="&amp;K$17,$D$139:$D$288,"&gt;="&amp;K$17))</f>
        <v/>
      </c>
      <c r="AU37" s="31">
        <f>IF($A37="","",SUMIFS($E$139:$E$288,$B$139:$B$288,$A37,$U$139:$U$288,1,$Y$139:$Y$288,1,$C$139:$C$288,"&lt;="&amp;L$17,$D$139:$D$288,"&gt;="&amp;L$17))</f>
        <v/>
      </c>
      <c r="AV37" s="31">
        <f>IF($A37="","",SUMIFS($E$139:$E$288,$B$139:$B$288,$A37,$U$139:$U$288,1,$Y$139:$Y$288,1,$C$139:$C$288,"&lt;="&amp;M$17,$D$139:$D$288,"&gt;="&amp;M$17))</f>
        <v/>
      </c>
      <c r="AW37" s="31">
        <f>IF($A37="","",SUMIFS($E$139:$E$288,$B$139:$B$288,$A37,$U$139:$U$288,1,$Y$139:$Y$288,1,$C$139:$C$288,"&lt;="&amp;N$17,$D$139:$D$288,"&gt;="&amp;N$17))</f>
        <v/>
      </c>
      <c r="AX37" s="31">
        <f>IF($A37="","",SUMIFS($E$139:$E$288,$B$139:$B$288,$A37,$U$139:$U$288,1,$Y$139:$Y$288,1,$C$139:$C$288,"&lt;="&amp;O$17,$D$139:$D$288,"&gt;="&amp;O$17))</f>
        <v/>
      </c>
      <c r="AY37" s="31">
        <f>IF($A37="","",SUMIFS($E$139:$E$288,$B$139:$B$288,$A37,$U$139:$U$288,1,$Y$139:$Y$288,1,$C$139:$C$288,"&lt;="&amp;P$17,$D$139:$D$288,"&gt;="&amp;P$17))</f>
        <v/>
      </c>
      <c r="AZ37" s="31">
        <f>IF($A37="","",SUMIFS($E$139:$E$288,$B$139:$B$288,$A37,$U$139:$U$288,2,$Y$139:$Y$288,1,$C$139:$C$288,"&lt;="&amp;D$17,$D$139:$D$288,"&gt;="&amp;D$17))</f>
        <v/>
      </c>
      <c r="BA37" s="31">
        <f>IF($A37="","",SUMIFS($E$139:$E$288,$B$139:$B$288,$A37,$U$139:$U$288,2,$Y$139:$Y$288,1,$C$139:$C$288,"&lt;="&amp;E$17,$D$139:$D$288,"&gt;="&amp;E$17))</f>
        <v/>
      </c>
      <c r="BB37" s="31">
        <f>IF($A37="","",SUMIFS($E$139:$E$288,$B$139:$B$288,$A37,$U$139:$U$288,2,$Y$139:$Y$288,1,$C$139:$C$288,"&lt;="&amp;F$17,$D$139:$D$288,"&gt;="&amp;F$17))</f>
        <v/>
      </c>
      <c r="BC37" s="31">
        <f>IF($A37="","",SUMIFS($E$139:$E$288,$B$139:$B$288,$A37,$U$139:$U$288,2,$Y$139:$Y$288,1,$C$139:$C$288,"&lt;="&amp;G$17,$D$139:$D$288,"&gt;="&amp;G$17))</f>
        <v/>
      </c>
      <c r="BD37" s="31">
        <f>IF($A37="","",SUMIFS($E$139:$E$288,$B$139:$B$288,$A37,$U$139:$U$288,2,$Y$139:$Y$288,1,$C$139:$C$288,"&lt;="&amp;H$17,$D$139:$D$288,"&gt;="&amp;H$17))</f>
        <v/>
      </c>
      <c r="BE37" s="31">
        <f>IF($A37="","",SUMIFS($E$139:$E$288,$B$139:$B$288,$A37,$U$139:$U$288,2,$Y$139:$Y$288,1,$C$139:$C$288,"&lt;="&amp;I$17,$D$139:$D$288,"&gt;="&amp;I$17))</f>
        <v/>
      </c>
      <c r="BF37" s="31">
        <f>IF($A37="","",SUMIFS($E$139:$E$288,$B$139:$B$288,$A37,$U$139:$U$288,2,$Y$139:$Y$288,1,$C$139:$C$288,"&lt;="&amp;J$17,$D$139:$D$288,"&gt;="&amp;J$17))</f>
        <v/>
      </c>
      <c r="BG37" s="31">
        <f>IF($A37="","",SUMIFS($E$139:$E$288,$B$139:$B$288,$A37,$U$139:$U$288,2,$Y$139:$Y$288,1,$C$139:$C$288,"&lt;="&amp;K$17,$D$139:$D$288,"&gt;="&amp;K$17))</f>
        <v/>
      </c>
      <c r="BH37" s="31">
        <f>IF($A37="","",SUMIFS($E$139:$E$288,$B$139:$B$288,$A37,$U$139:$U$288,2,$Y$139:$Y$288,1,$C$139:$C$288,"&lt;="&amp;L$17,$D$139:$D$288,"&gt;="&amp;L$17))</f>
        <v/>
      </c>
      <c r="BI37" s="31">
        <f>IF($A37="","",SUMIFS($E$139:$E$288,$B$139:$B$288,$A37,$U$139:$U$288,2,$Y$139:$Y$288,1,$C$139:$C$288,"&lt;="&amp;M$17,$D$139:$D$288,"&gt;="&amp;M$17))</f>
        <v/>
      </c>
      <c r="BJ37" s="31">
        <f>IF($A37="","",SUMIFS($E$139:$E$288,$B$139:$B$288,$A37,$U$139:$U$288,2,$Y$139:$Y$288,1,$C$139:$C$288,"&lt;="&amp;N$17,$D$139:$D$288,"&gt;="&amp;N$17))</f>
        <v/>
      </c>
      <c r="BK37" s="31">
        <f>IF($A37="","",SUMIFS($E$139:$E$288,$B$139:$B$288,$A37,$U$139:$U$288,2,$Y$139:$Y$288,1,$C$139:$C$288,"&lt;="&amp;O$17,$D$139:$D$288,"&gt;="&amp;O$17))</f>
        <v/>
      </c>
      <c r="BL37" s="31">
        <f>IF($A37="","",SUMIFS($E$139:$E$288,$B$139:$B$288,$A37,$U$139:$U$288,2,$Y$139:$Y$288,1,$C$139:$C$288,"&lt;="&amp;P$17,$D$139:$D$288,"&gt;="&amp;P$17))</f>
        <v/>
      </c>
      <c r="BM37" s="31">
        <f>IF(OR($A37="",$D$17=""),0,SUMPRODUCT(($D37:$P37&gt;=0)*(($D37:$P37-$AZ37:$BL37)&lt;0)))</f>
        <v/>
      </c>
      <c r="BN37" s="31">
        <f>IF(IFERROR(INDEX(Register!$A$6:$A$305,ROW()-5),"")="",0,SUMIF($A$139:$A$288,IFERROR(INDEX(Register!$A$6:$A$305,ROW()-5),""),$Z$139:$Z$288))</f>
        <v/>
      </c>
      <c r="BO37" s="31">
        <f>IF(OR(IFERROR(INDEX(Register!$A$6:$A$305,ROW()-5),"")="",SUM($Z$139:$Z$288)=0),0,IF(AND(IFERROR(INDEX(Register!$B$6:$B$305,ROW()-5),"")="Project",IFERROR(INDEX(Register!$D$6:$D$305,ROW()-5),"")="Active",IFERROR(INDEX(Register!$Z$6:$Z$305,ROW()-5),"")=1,$BN37=0),1,0))</f>
        <v/>
      </c>
      <c r="BP37" s="31">
        <f>IF(AND(IFERROR(INDEX(Register!$A$6:$A$305,ROW()-5),"")&lt;&gt;"",IFERROR(INDEX(Register!$D$6:$D$305,ROW()-5),"")="Proposed"),$BN37,0)</f>
        <v/>
      </c>
      <c r="BQ37" s="31">
        <f>IF(OR($A37="",$D$17=""),0,COUNTIF($D37:$P37,"&lt;0"))</f>
        <v/>
      </c>
      <c r="BR37" s="31">
        <f>IF(INDEX($A$63:$A$102,ROW()-6)="","",INDEX($A$63:$A$102,ROW()-6))</f>
        <v/>
      </c>
      <c r="BS37" s="31">
        <f>IF(INDEX($A$63:$A$102,ROW()-6)="","",INDEX($A$63:$A$102,ROW()-6))</f>
        <v/>
      </c>
    </row>
    <row r="38">
      <c r="A38" s="31">
        <f>IF(INDEX($A$63:$A$102,ROW()-17)="","",INDEX($A$63:$A$102,ROW()-17))</f>
        <v/>
      </c>
      <c r="B38" s="31">
        <f>IF(OR($A38="",$D$17=""),"",IF($BQ38=0,"○ Clear","△ "&amp;$BQ38&amp;IF($BQ38=1," week"," weeks")&amp;" over, from "&amp;TEXT(SUMPRODUCT(MIN($D$17:$P$17+($D38:$P38&gt;=0)*100000)),"d mmm")))</f>
        <v/>
      </c>
      <c r="C38" s="32">
        <f>IF($A38="","",IF(AND(ISNUMBER(INDEX($B$63:$B$102,ROW()-17)),INDEX($S$63:$S$102,ROW()-17)=0),INDEX($B$63:$B$102,ROW()-17),IF($C$7="",$B$7,5)))</f>
        <v/>
      </c>
      <c r="D38" s="51">
        <f>IF(OR($A38="",$D$17=""),"",ROUND(Z38-AM38,2))</f>
        <v/>
      </c>
      <c r="E38" s="51">
        <f>IF(OR($A38="",$D$17=""),"",ROUND(AA38-AN38,2))</f>
        <v/>
      </c>
      <c r="F38" s="51">
        <f>IF(OR($A38="",$D$17=""),"",ROUND(AB38-AO38,2))</f>
        <v/>
      </c>
      <c r="G38" s="51">
        <f>IF(OR($A38="",$D$17=""),"",ROUND(AC38-AP38,2))</f>
        <v/>
      </c>
      <c r="H38" s="51">
        <f>IF(OR($A38="",$D$17=""),"",ROUND(AD38-AQ38,2))</f>
        <v/>
      </c>
      <c r="I38" s="51">
        <f>IF(OR($A38="",$D$17=""),"",ROUND(AE38-AR38,2))</f>
        <v/>
      </c>
      <c r="J38" s="51">
        <f>IF(OR($A38="",$D$17=""),"",ROUND(AF38-AS38,2))</f>
        <v/>
      </c>
      <c r="K38" s="51">
        <f>IF(OR($A38="",$D$17=""),"",ROUND(AG38-AT38,2))</f>
        <v/>
      </c>
      <c r="L38" s="51">
        <f>IF(OR($A38="",$D$17=""),"",ROUND(AH38-AU38,2))</f>
        <v/>
      </c>
      <c r="M38" s="51">
        <f>IF(OR($A38="",$D$17=""),"",ROUND(AI38-AV38,2))</f>
        <v/>
      </c>
      <c r="N38" s="51">
        <f>IF(OR($A38="",$D$17=""),"",ROUND(AJ38-AW38,2))</f>
        <v/>
      </c>
      <c r="O38" s="51">
        <f>IF(OR($A38="",$D$17=""),"",ROUND(AK38-AX38,2))</f>
        <v/>
      </c>
      <c r="P38" s="51">
        <f>IF(OR($A38="",$D$17=""),"",ROUND(AL38-AY38,2))</f>
        <v/>
      </c>
      <c r="Q38" s="31">
        <f>IF(OR($A38="",$D$17=""),"",IF(SUM($AZ38:$BL38)=0,"",IF($BM38=0,"Fits","Over in "&amp;$BM38&amp;IF($BM38=1," week"," weeks")&amp;" if approved")))</f>
        <v/>
      </c>
      <c r="Z38" s="31">
        <f>IF(OR($A38="",$D$17=""),"",MAX(0,$C38-SUMIFS($D$106:$D$135,$A$106:$A$135,$A38,$B$106:$B$135,"&lt;="&amp;D$17,$C$106:$C$135,"&gt;="&amp;D$17,$S$106:$S$135,0)-SUMIFS($D$106:$D$135,$A$106:$A$135,"Everyone",$B$106:$B$135,"&lt;="&amp;D$17,$C$106:$C$135,"&gt;="&amp;D$17,$S$106:$S$135,0)))</f>
        <v/>
      </c>
      <c r="AA38" s="31">
        <f>IF(OR($A38="",$D$17=""),"",MAX(0,$C38-SUMIFS($D$106:$D$135,$A$106:$A$135,$A38,$B$106:$B$135,"&lt;="&amp;E$17,$C$106:$C$135,"&gt;="&amp;E$17,$S$106:$S$135,0)-SUMIFS($D$106:$D$135,$A$106:$A$135,"Everyone",$B$106:$B$135,"&lt;="&amp;E$17,$C$106:$C$135,"&gt;="&amp;E$17,$S$106:$S$135,0)))</f>
        <v/>
      </c>
      <c r="AB38" s="31">
        <f>IF(OR($A38="",$D$17=""),"",MAX(0,$C38-SUMIFS($D$106:$D$135,$A$106:$A$135,$A38,$B$106:$B$135,"&lt;="&amp;F$17,$C$106:$C$135,"&gt;="&amp;F$17,$S$106:$S$135,0)-SUMIFS($D$106:$D$135,$A$106:$A$135,"Everyone",$B$106:$B$135,"&lt;="&amp;F$17,$C$106:$C$135,"&gt;="&amp;F$17,$S$106:$S$135,0)))</f>
        <v/>
      </c>
      <c r="AC38" s="31">
        <f>IF(OR($A38="",$D$17=""),"",MAX(0,$C38-SUMIFS($D$106:$D$135,$A$106:$A$135,$A38,$B$106:$B$135,"&lt;="&amp;G$17,$C$106:$C$135,"&gt;="&amp;G$17,$S$106:$S$135,0)-SUMIFS($D$106:$D$135,$A$106:$A$135,"Everyone",$B$106:$B$135,"&lt;="&amp;G$17,$C$106:$C$135,"&gt;="&amp;G$17,$S$106:$S$135,0)))</f>
        <v/>
      </c>
      <c r="AD38" s="31">
        <f>IF(OR($A38="",$D$17=""),"",MAX(0,$C38-SUMIFS($D$106:$D$135,$A$106:$A$135,$A38,$B$106:$B$135,"&lt;="&amp;H$17,$C$106:$C$135,"&gt;="&amp;H$17,$S$106:$S$135,0)-SUMIFS($D$106:$D$135,$A$106:$A$135,"Everyone",$B$106:$B$135,"&lt;="&amp;H$17,$C$106:$C$135,"&gt;="&amp;H$17,$S$106:$S$135,0)))</f>
        <v/>
      </c>
      <c r="AE38" s="31">
        <f>IF(OR($A38="",$D$17=""),"",MAX(0,$C38-SUMIFS($D$106:$D$135,$A$106:$A$135,$A38,$B$106:$B$135,"&lt;="&amp;I$17,$C$106:$C$135,"&gt;="&amp;I$17,$S$106:$S$135,0)-SUMIFS($D$106:$D$135,$A$106:$A$135,"Everyone",$B$106:$B$135,"&lt;="&amp;I$17,$C$106:$C$135,"&gt;="&amp;I$17,$S$106:$S$135,0)))</f>
        <v/>
      </c>
      <c r="AF38" s="31">
        <f>IF(OR($A38="",$D$17=""),"",MAX(0,$C38-SUMIFS($D$106:$D$135,$A$106:$A$135,$A38,$B$106:$B$135,"&lt;="&amp;J$17,$C$106:$C$135,"&gt;="&amp;J$17,$S$106:$S$135,0)-SUMIFS($D$106:$D$135,$A$106:$A$135,"Everyone",$B$106:$B$135,"&lt;="&amp;J$17,$C$106:$C$135,"&gt;="&amp;J$17,$S$106:$S$135,0)))</f>
        <v/>
      </c>
      <c r="AG38" s="31">
        <f>IF(OR($A38="",$D$17=""),"",MAX(0,$C38-SUMIFS($D$106:$D$135,$A$106:$A$135,$A38,$B$106:$B$135,"&lt;="&amp;K$17,$C$106:$C$135,"&gt;="&amp;K$17,$S$106:$S$135,0)-SUMIFS($D$106:$D$135,$A$106:$A$135,"Everyone",$B$106:$B$135,"&lt;="&amp;K$17,$C$106:$C$135,"&gt;="&amp;K$17,$S$106:$S$135,0)))</f>
        <v/>
      </c>
      <c r="AH38" s="31">
        <f>IF(OR($A38="",$D$17=""),"",MAX(0,$C38-SUMIFS($D$106:$D$135,$A$106:$A$135,$A38,$B$106:$B$135,"&lt;="&amp;L$17,$C$106:$C$135,"&gt;="&amp;L$17,$S$106:$S$135,0)-SUMIFS($D$106:$D$135,$A$106:$A$135,"Everyone",$B$106:$B$135,"&lt;="&amp;L$17,$C$106:$C$135,"&gt;="&amp;L$17,$S$106:$S$135,0)))</f>
        <v/>
      </c>
      <c r="AI38" s="31">
        <f>IF(OR($A38="",$D$17=""),"",MAX(0,$C38-SUMIFS($D$106:$D$135,$A$106:$A$135,$A38,$B$106:$B$135,"&lt;="&amp;M$17,$C$106:$C$135,"&gt;="&amp;M$17,$S$106:$S$135,0)-SUMIFS($D$106:$D$135,$A$106:$A$135,"Everyone",$B$106:$B$135,"&lt;="&amp;M$17,$C$106:$C$135,"&gt;="&amp;M$17,$S$106:$S$135,0)))</f>
        <v/>
      </c>
      <c r="AJ38" s="31">
        <f>IF(OR($A38="",$D$17=""),"",MAX(0,$C38-SUMIFS($D$106:$D$135,$A$106:$A$135,$A38,$B$106:$B$135,"&lt;="&amp;N$17,$C$106:$C$135,"&gt;="&amp;N$17,$S$106:$S$135,0)-SUMIFS($D$106:$D$135,$A$106:$A$135,"Everyone",$B$106:$B$135,"&lt;="&amp;N$17,$C$106:$C$135,"&gt;="&amp;N$17,$S$106:$S$135,0)))</f>
        <v/>
      </c>
      <c r="AK38" s="31">
        <f>IF(OR($A38="",$D$17=""),"",MAX(0,$C38-SUMIFS($D$106:$D$135,$A$106:$A$135,$A38,$B$106:$B$135,"&lt;="&amp;O$17,$C$106:$C$135,"&gt;="&amp;O$17,$S$106:$S$135,0)-SUMIFS($D$106:$D$135,$A$106:$A$135,"Everyone",$B$106:$B$135,"&lt;="&amp;O$17,$C$106:$C$135,"&gt;="&amp;O$17,$S$106:$S$135,0)))</f>
        <v/>
      </c>
      <c r="AL38" s="31">
        <f>IF(OR($A38="",$D$17=""),"",MAX(0,$C38-SUMIFS($D$106:$D$135,$A$106:$A$135,$A38,$B$106:$B$135,"&lt;="&amp;P$17,$C$106:$C$135,"&gt;="&amp;P$17,$S$106:$S$135,0)-SUMIFS($D$106:$D$135,$A$106:$A$135,"Everyone",$B$106:$B$135,"&lt;="&amp;P$17,$C$106:$C$135,"&gt;="&amp;P$17,$S$106:$S$135,0)))</f>
        <v/>
      </c>
      <c r="AM38" s="31">
        <f>IF($A38="","",SUMIFS($E$139:$E$288,$B$139:$B$288,$A38,$U$139:$U$288,1,$Y$139:$Y$288,1,$C$139:$C$288,"&lt;="&amp;D$17,$D$139:$D$288,"&gt;="&amp;D$17))</f>
        <v/>
      </c>
      <c r="AN38" s="31">
        <f>IF($A38="","",SUMIFS($E$139:$E$288,$B$139:$B$288,$A38,$U$139:$U$288,1,$Y$139:$Y$288,1,$C$139:$C$288,"&lt;="&amp;E$17,$D$139:$D$288,"&gt;="&amp;E$17))</f>
        <v/>
      </c>
      <c r="AO38" s="31">
        <f>IF($A38="","",SUMIFS($E$139:$E$288,$B$139:$B$288,$A38,$U$139:$U$288,1,$Y$139:$Y$288,1,$C$139:$C$288,"&lt;="&amp;F$17,$D$139:$D$288,"&gt;="&amp;F$17))</f>
        <v/>
      </c>
      <c r="AP38" s="31">
        <f>IF($A38="","",SUMIFS($E$139:$E$288,$B$139:$B$288,$A38,$U$139:$U$288,1,$Y$139:$Y$288,1,$C$139:$C$288,"&lt;="&amp;G$17,$D$139:$D$288,"&gt;="&amp;G$17))</f>
        <v/>
      </c>
      <c r="AQ38" s="31">
        <f>IF($A38="","",SUMIFS($E$139:$E$288,$B$139:$B$288,$A38,$U$139:$U$288,1,$Y$139:$Y$288,1,$C$139:$C$288,"&lt;="&amp;H$17,$D$139:$D$288,"&gt;="&amp;H$17))</f>
        <v/>
      </c>
      <c r="AR38" s="31">
        <f>IF($A38="","",SUMIFS($E$139:$E$288,$B$139:$B$288,$A38,$U$139:$U$288,1,$Y$139:$Y$288,1,$C$139:$C$288,"&lt;="&amp;I$17,$D$139:$D$288,"&gt;="&amp;I$17))</f>
        <v/>
      </c>
      <c r="AS38" s="31">
        <f>IF($A38="","",SUMIFS($E$139:$E$288,$B$139:$B$288,$A38,$U$139:$U$288,1,$Y$139:$Y$288,1,$C$139:$C$288,"&lt;="&amp;J$17,$D$139:$D$288,"&gt;="&amp;J$17))</f>
        <v/>
      </c>
      <c r="AT38" s="31">
        <f>IF($A38="","",SUMIFS($E$139:$E$288,$B$139:$B$288,$A38,$U$139:$U$288,1,$Y$139:$Y$288,1,$C$139:$C$288,"&lt;="&amp;K$17,$D$139:$D$288,"&gt;="&amp;K$17))</f>
        <v/>
      </c>
      <c r="AU38" s="31">
        <f>IF($A38="","",SUMIFS($E$139:$E$288,$B$139:$B$288,$A38,$U$139:$U$288,1,$Y$139:$Y$288,1,$C$139:$C$288,"&lt;="&amp;L$17,$D$139:$D$288,"&gt;="&amp;L$17))</f>
        <v/>
      </c>
      <c r="AV38" s="31">
        <f>IF($A38="","",SUMIFS($E$139:$E$288,$B$139:$B$288,$A38,$U$139:$U$288,1,$Y$139:$Y$288,1,$C$139:$C$288,"&lt;="&amp;M$17,$D$139:$D$288,"&gt;="&amp;M$17))</f>
        <v/>
      </c>
      <c r="AW38" s="31">
        <f>IF($A38="","",SUMIFS($E$139:$E$288,$B$139:$B$288,$A38,$U$139:$U$288,1,$Y$139:$Y$288,1,$C$139:$C$288,"&lt;="&amp;N$17,$D$139:$D$288,"&gt;="&amp;N$17))</f>
        <v/>
      </c>
      <c r="AX38" s="31">
        <f>IF($A38="","",SUMIFS($E$139:$E$288,$B$139:$B$288,$A38,$U$139:$U$288,1,$Y$139:$Y$288,1,$C$139:$C$288,"&lt;="&amp;O$17,$D$139:$D$288,"&gt;="&amp;O$17))</f>
        <v/>
      </c>
      <c r="AY38" s="31">
        <f>IF($A38="","",SUMIFS($E$139:$E$288,$B$139:$B$288,$A38,$U$139:$U$288,1,$Y$139:$Y$288,1,$C$139:$C$288,"&lt;="&amp;P$17,$D$139:$D$288,"&gt;="&amp;P$17))</f>
        <v/>
      </c>
      <c r="AZ38" s="31">
        <f>IF($A38="","",SUMIFS($E$139:$E$288,$B$139:$B$288,$A38,$U$139:$U$288,2,$Y$139:$Y$288,1,$C$139:$C$288,"&lt;="&amp;D$17,$D$139:$D$288,"&gt;="&amp;D$17))</f>
        <v/>
      </c>
      <c r="BA38" s="31">
        <f>IF($A38="","",SUMIFS($E$139:$E$288,$B$139:$B$288,$A38,$U$139:$U$288,2,$Y$139:$Y$288,1,$C$139:$C$288,"&lt;="&amp;E$17,$D$139:$D$288,"&gt;="&amp;E$17))</f>
        <v/>
      </c>
      <c r="BB38" s="31">
        <f>IF($A38="","",SUMIFS($E$139:$E$288,$B$139:$B$288,$A38,$U$139:$U$288,2,$Y$139:$Y$288,1,$C$139:$C$288,"&lt;="&amp;F$17,$D$139:$D$288,"&gt;="&amp;F$17))</f>
        <v/>
      </c>
      <c r="BC38" s="31">
        <f>IF($A38="","",SUMIFS($E$139:$E$288,$B$139:$B$288,$A38,$U$139:$U$288,2,$Y$139:$Y$288,1,$C$139:$C$288,"&lt;="&amp;G$17,$D$139:$D$288,"&gt;="&amp;G$17))</f>
        <v/>
      </c>
      <c r="BD38" s="31">
        <f>IF($A38="","",SUMIFS($E$139:$E$288,$B$139:$B$288,$A38,$U$139:$U$288,2,$Y$139:$Y$288,1,$C$139:$C$288,"&lt;="&amp;H$17,$D$139:$D$288,"&gt;="&amp;H$17))</f>
        <v/>
      </c>
      <c r="BE38" s="31">
        <f>IF($A38="","",SUMIFS($E$139:$E$288,$B$139:$B$288,$A38,$U$139:$U$288,2,$Y$139:$Y$288,1,$C$139:$C$288,"&lt;="&amp;I$17,$D$139:$D$288,"&gt;="&amp;I$17))</f>
        <v/>
      </c>
      <c r="BF38" s="31">
        <f>IF($A38="","",SUMIFS($E$139:$E$288,$B$139:$B$288,$A38,$U$139:$U$288,2,$Y$139:$Y$288,1,$C$139:$C$288,"&lt;="&amp;J$17,$D$139:$D$288,"&gt;="&amp;J$17))</f>
        <v/>
      </c>
      <c r="BG38" s="31">
        <f>IF($A38="","",SUMIFS($E$139:$E$288,$B$139:$B$288,$A38,$U$139:$U$288,2,$Y$139:$Y$288,1,$C$139:$C$288,"&lt;="&amp;K$17,$D$139:$D$288,"&gt;="&amp;K$17))</f>
        <v/>
      </c>
      <c r="BH38" s="31">
        <f>IF($A38="","",SUMIFS($E$139:$E$288,$B$139:$B$288,$A38,$U$139:$U$288,2,$Y$139:$Y$288,1,$C$139:$C$288,"&lt;="&amp;L$17,$D$139:$D$288,"&gt;="&amp;L$17))</f>
        <v/>
      </c>
      <c r="BI38" s="31">
        <f>IF($A38="","",SUMIFS($E$139:$E$288,$B$139:$B$288,$A38,$U$139:$U$288,2,$Y$139:$Y$288,1,$C$139:$C$288,"&lt;="&amp;M$17,$D$139:$D$288,"&gt;="&amp;M$17))</f>
        <v/>
      </c>
      <c r="BJ38" s="31">
        <f>IF($A38="","",SUMIFS($E$139:$E$288,$B$139:$B$288,$A38,$U$139:$U$288,2,$Y$139:$Y$288,1,$C$139:$C$288,"&lt;="&amp;N$17,$D$139:$D$288,"&gt;="&amp;N$17))</f>
        <v/>
      </c>
      <c r="BK38" s="31">
        <f>IF($A38="","",SUMIFS($E$139:$E$288,$B$139:$B$288,$A38,$U$139:$U$288,2,$Y$139:$Y$288,1,$C$139:$C$288,"&lt;="&amp;O$17,$D$139:$D$288,"&gt;="&amp;O$17))</f>
        <v/>
      </c>
      <c r="BL38" s="31">
        <f>IF($A38="","",SUMIFS($E$139:$E$288,$B$139:$B$288,$A38,$U$139:$U$288,2,$Y$139:$Y$288,1,$C$139:$C$288,"&lt;="&amp;P$17,$D$139:$D$288,"&gt;="&amp;P$17))</f>
        <v/>
      </c>
      <c r="BM38" s="31">
        <f>IF(OR($A38="",$D$17=""),0,SUMPRODUCT(($D38:$P38&gt;=0)*(($D38:$P38-$AZ38:$BL38)&lt;0)))</f>
        <v/>
      </c>
      <c r="BN38" s="31">
        <f>IF(IFERROR(INDEX(Register!$A$6:$A$305,ROW()-5),"")="",0,SUMIF($A$139:$A$288,IFERROR(INDEX(Register!$A$6:$A$305,ROW()-5),""),$Z$139:$Z$288))</f>
        <v/>
      </c>
      <c r="BO38" s="31">
        <f>IF(OR(IFERROR(INDEX(Register!$A$6:$A$305,ROW()-5),"")="",SUM($Z$139:$Z$288)=0),0,IF(AND(IFERROR(INDEX(Register!$B$6:$B$305,ROW()-5),"")="Project",IFERROR(INDEX(Register!$D$6:$D$305,ROW()-5),"")="Active",IFERROR(INDEX(Register!$Z$6:$Z$305,ROW()-5),"")=1,$BN38=0),1,0))</f>
        <v/>
      </c>
      <c r="BP38" s="31">
        <f>IF(AND(IFERROR(INDEX(Register!$A$6:$A$305,ROW()-5),"")&lt;&gt;"",IFERROR(INDEX(Register!$D$6:$D$305,ROW()-5),"")="Proposed"),$BN38,0)</f>
        <v/>
      </c>
      <c r="BQ38" s="31">
        <f>IF(OR($A38="",$D$17=""),0,COUNTIF($D38:$P38,"&lt;0"))</f>
        <v/>
      </c>
      <c r="BR38" s="31">
        <f>IF(INDEX($A$63:$A$102,ROW()-6)="","",INDEX($A$63:$A$102,ROW()-6))</f>
        <v/>
      </c>
      <c r="BS38" s="31">
        <f>IF(INDEX($A$63:$A$102,ROW()-6)="","",INDEX($A$63:$A$102,ROW()-6))</f>
        <v/>
      </c>
    </row>
    <row r="39">
      <c r="A39" s="31">
        <f>IF(INDEX($A$63:$A$102,ROW()-17)="","",INDEX($A$63:$A$102,ROW()-17))</f>
        <v/>
      </c>
      <c r="B39" s="31">
        <f>IF(OR($A39="",$D$17=""),"",IF($BQ39=0,"○ Clear","△ "&amp;$BQ39&amp;IF($BQ39=1," week"," weeks")&amp;" over, from "&amp;TEXT(SUMPRODUCT(MIN($D$17:$P$17+($D39:$P39&gt;=0)*100000)),"d mmm")))</f>
        <v/>
      </c>
      <c r="C39" s="32">
        <f>IF($A39="","",IF(AND(ISNUMBER(INDEX($B$63:$B$102,ROW()-17)),INDEX($S$63:$S$102,ROW()-17)=0),INDEX($B$63:$B$102,ROW()-17),IF($C$7="",$B$7,5)))</f>
        <v/>
      </c>
      <c r="D39" s="51">
        <f>IF(OR($A39="",$D$17=""),"",ROUND(Z39-AM39,2))</f>
        <v/>
      </c>
      <c r="E39" s="51">
        <f>IF(OR($A39="",$D$17=""),"",ROUND(AA39-AN39,2))</f>
        <v/>
      </c>
      <c r="F39" s="51">
        <f>IF(OR($A39="",$D$17=""),"",ROUND(AB39-AO39,2))</f>
        <v/>
      </c>
      <c r="G39" s="51">
        <f>IF(OR($A39="",$D$17=""),"",ROUND(AC39-AP39,2))</f>
        <v/>
      </c>
      <c r="H39" s="51">
        <f>IF(OR($A39="",$D$17=""),"",ROUND(AD39-AQ39,2))</f>
        <v/>
      </c>
      <c r="I39" s="51">
        <f>IF(OR($A39="",$D$17=""),"",ROUND(AE39-AR39,2))</f>
        <v/>
      </c>
      <c r="J39" s="51">
        <f>IF(OR($A39="",$D$17=""),"",ROUND(AF39-AS39,2))</f>
        <v/>
      </c>
      <c r="K39" s="51">
        <f>IF(OR($A39="",$D$17=""),"",ROUND(AG39-AT39,2))</f>
        <v/>
      </c>
      <c r="L39" s="51">
        <f>IF(OR($A39="",$D$17=""),"",ROUND(AH39-AU39,2))</f>
        <v/>
      </c>
      <c r="M39" s="51">
        <f>IF(OR($A39="",$D$17=""),"",ROUND(AI39-AV39,2))</f>
        <v/>
      </c>
      <c r="N39" s="51">
        <f>IF(OR($A39="",$D$17=""),"",ROUND(AJ39-AW39,2))</f>
        <v/>
      </c>
      <c r="O39" s="51">
        <f>IF(OR($A39="",$D$17=""),"",ROUND(AK39-AX39,2))</f>
        <v/>
      </c>
      <c r="P39" s="51">
        <f>IF(OR($A39="",$D$17=""),"",ROUND(AL39-AY39,2))</f>
        <v/>
      </c>
      <c r="Q39" s="31">
        <f>IF(OR($A39="",$D$17=""),"",IF(SUM($AZ39:$BL39)=0,"",IF($BM39=0,"Fits","Over in "&amp;$BM39&amp;IF($BM39=1," week"," weeks")&amp;" if approved")))</f>
        <v/>
      </c>
      <c r="Z39" s="31">
        <f>IF(OR($A39="",$D$17=""),"",MAX(0,$C39-SUMIFS($D$106:$D$135,$A$106:$A$135,$A39,$B$106:$B$135,"&lt;="&amp;D$17,$C$106:$C$135,"&gt;="&amp;D$17,$S$106:$S$135,0)-SUMIFS($D$106:$D$135,$A$106:$A$135,"Everyone",$B$106:$B$135,"&lt;="&amp;D$17,$C$106:$C$135,"&gt;="&amp;D$17,$S$106:$S$135,0)))</f>
        <v/>
      </c>
      <c r="AA39" s="31">
        <f>IF(OR($A39="",$D$17=""),"",MAX(0,$C39-SUMIFS($D$106:$D$135,$A$106:$A$135,$A39,$B$106:$B$135,"&lt;="&amp;E$17,$C$106:$C$135,"&gt;="&amp;E$17,$S$106:$S$135,0)-SUMIFS($D$106:$D$135,$A$106:$A$135,"Everyone",$B$106:$B$135,"&lt;="&amp;E$17,$C$106:$C$135,"&gt;="&amp;E$17,$S$106:$S$135,0)))</f>
        <v/>
      </c>
      <c r="AB39" s="31">
        <f>IF(OR($A39="",$D$17=""),"",MAX(0,$C39-SUMIFS($D$106:$D$135,$A$106:$A$135,$A39,$B$106:$B$135,"&lt;="&amp;F$17,$C$106:$C$135,"&gt;="&amp;F$17,$S$106:$S$135,0)-SUMIFS($D$106:$D$135,$A$106:$A$135,"Everyone",$B$106:$B$135,"&lt;="&amp;F$17,$C$106:$C$135,"&gt;="&amp;F$17,$S$106:$S$135,0)))</f>
        <v/>
      </c>
      <c r="AC39" s="31">
        <f>IF(OR($A39="",$D$17=""),"",MAX(0,$C39-SUMIFS($D$106:$D$135,$A$106:$A$135,$A39,$B$106:$B$135,"&lt;="&amp;G$17,$C$106:$C$135,"&gt;="&amp;G$17,$S$106:$S$135,0)-SUMIFS($D$106:$D$135,$A$106:$A$135,"Everyone",$B$106:$B$135,"&lt;="&amp;G$17,$C$106:$C$135,"&gt;="&amp;G$17,$S$106:$S$135,0)))</f>
        <v/>
      </c>
      <c r="AD39" s="31">
        <f>IF(OR($A39="",$D$17=""),"",MAX(0,$C39-SUMIFS($D$106:$D$135,$A$106:$A$135,$A39,$B$106:$B$135,"&lt;="&amp;H$17,$C$106:$C$135,"&gt;="&amp;H$17,$S$106:$S$135,0)-SUMIFS($D$106:$D$135,$A$106:$A$135,"Everyone",$B$106:$B$135,"&lt;="&amp;H$17,$C$106:$C$135,"&gt;="&amp;H$17,$S$106:$S$135,0)))</f>
        <v/>
      </c>
      <c r="AE39" s="31">
        <f>IF(OR($A39="",$D$17=""),"",MAX(0,$C39-SUMIFS($D$106:$D$135,$A$106:$A$135,$A39,$B$106:$B$135,"&lt;="&amp;I$17,$C$106:$C$135,"&gt;="&amp;I$17,$S$106:$S$135,0)-SUMIFS($D$106:$D$135,$A$106:$A$135,"Everyone",$B$106:$B$135,"&lt;="&amp;I$17,$C$106:$C$135,"&gt;="&amp;I$17,$S$106:$S$135,0)))</f>
        <v/>
      </c>
      <c r="AF39" s="31">
        <f>IF(OR($A39="",$D$17=""),"",MAX(0,$C39-SUMIFS($D$106:$D$135,$A$106:$A$135,$A39,$B$106:$B$135,"&lt;="&amp;J$17,$C$106:$C$135,"&gt;="&amp;J$17,$S$106:$S$135,0)-SUMIFS($D$106:$D$135,$A$106:$A$135,"Everyone",$B$106:$B$135,"&lt;="&amp;J$17,$C$106:$C$135,"&gt;="&amp;J$17,$S$106:$S$135,0)))</f>
        <v/>
      </c>
      <c r="AG39" s="31">
        <f>IF(OR($A39="",$D$17=""),"",MAX(0,$C39-SUMIFS($D$106:$D$135,$A$106:$A$135,$A39,$B$106:$B$135,"&lt;="&amp;K$17,$C$106:$C$135,"&gt;="&amp;K$17,$S$106:$S$135,0)-SUMIFS($D$106:$D$135,$A$106:$A$135,"Everyone",$B$106:$B$135,"&lt;="&amp;K$17,$C$106:$C$135,"&gt;="&amp;K$17,$S$106:$S$135,0)))</f>
        <v/>
      </c>
      <c r="AH39" s="31">
        <f>IF(OR($A39="",$D$17=""),"",MAX(0,$C39-SUMIFS($D$106:$D$135,$A$106:$A$135,$A39,$B$106:$B$135,"&lt;="&amp;L$17,$C$106:$C$135,"&gt;="&amp;L$17,$S$106:$S$135,0)-SUMIFS($D$106:$D$135,$A$106:$A$135,"Everyone",$B$106:$B$135,"&lt;="&amp;L$17,$C$106:$C$135,"&gt;="&amp;L$17,$S$106:$S$135,0)))</f>
        <v/>
      </c>
      <c r="AI39" s="31">
        <f>IF(OR($A39="",$D$17=""),"",MAX(0,$C39-SUMIFS($D$106:$D$135,$A$106:$A$135,$A39,$B$106:$B$135,"&lt;="&amp;M$17,$C$106:$C$135,"&gt;="&amp;M$17,$S$106:$S$135,0)-SUMIFS($D$106:$D$135,$A$106:$A$135,"Everyone",$B$106:$B$135,"&lt;="&amp;M$17,$C$106:$C$135,"&gt;="&amp;M$17,$S$106:$S$135,0)))</f>
        <v/>
      </c>
      <c r="AJ39" s="31">
        <f>IF(OR($A39="",$D$17=""),"",MAX(0,$C39-SUMIFS($D$106:$D$135,$A$106:$A$135,$A39,$B$106:$B$135,"&lt;="&amp;N$17,$C$106:$C$135,"&gt;="&amp;N$17,$S$106:$S$135,0)-SUMIFS($D$106:$D$135,$A$106:$A$135,"Everyone",$B$106:$B$135,"&lt;="&amp;N$17,$C$106:$C$135,"&gt;="&amp;N$17,$S$106:$S$135,0)))</f>
        <v/>
      </c>
      <c r="AK39" s="31">
        <f>IF(OR($A39="",$D$17=""),"",MAX(0,$C39-SUMIFS($D$106:$D$135,$A$106:$A$135,$A39,$B$106:$B$135,"&lt;="&amp;O$17,$C$106:$C$135,"&gt;="&amp;O$17,$S$106:$S$135,0)-SUMIFS($D$106:$D$135,$A$106:$A$135,"Everyone",$B$106:$B$135,"&lt;="&amp;O$17,$C$106:$C$135,"&gt;="&amp;O$17,$S$106:$S$135,0)))</f>
        <v/>
      </c>
      <c r="AL39" s="31">
        <f>IF(OR($A39="",$D$17=""),"",MAX(0,$C39-SUMIFS($D$106:$D$135,$A$106:$A$135,$A39,$B$106:$B$135,"&lt;="&amp;P$17,$C$106:$C$135,"&gt;="&amp;P$17,$S$106:$S$135,0)-SUMIFS($D$106:$D$135,$A$106:$A$135,"Everyone",$B$106:$B$135,"&lt;="&amp;P$17,$C$106:$C$135,"&gt;="&amp;P$17,$S$106:$S$135,0)))</f>
        <v/>
      </c>
      <c r="AM39" s="31">
        <f>IF($A39="","",SUMIFS($E$139:$E$288,$B$139:$B$288,$A39,$U$139:$U$288,1,$Y$139:$Y$288,1,$C$139:$C$288,"&lt;="&amp;D$17,$D$139:$D$288,"&gt;="&amp;D$17))</f>
        <v/>
      </c>
      <c r="AN39" s="31">
        <f>IF($A39="","",SUMIFS($E$139:$E$288,$B$139:$B$288,$A39,$U$139:$U$288,1,$Y$139:$Y$288,1,$C$139:$C$288,"&lt;="&amp;E$17,$D$139:$D$288,"&gt;="&amp;E$17))</f>
        <v/>
      </c>
      <c r="AO39" s="31">
        <f>IF($A39="","",SUMIFS($E$139:$E$288,$B$139:$B$288,$A39,$U$139:$U$288,1,$Y$139:$Y$288,1,$C$139:$C$288,"&lt;="&amp;F$17,$D$139:$D$288,"&gt;="&amp;F$17))</f>
        <v/>
      </c>
      <c r="AP39" s="31">
        <f>IF($A39="","",SUMIFS($E$139:$E$288,$B$139:$B$288,$A39,$U$139:$U$288,1,$Y$139:$Y$288,1,$C$139:$C$288,"&lt;="&amp;G$17,$D$139:$D$288,"&gt;="&amp;G$17))</f>
        <v/>
      </c>
      <c r="AQ39" s="31">
        <f>IF($A39="","",SUMIFS($E$139:$E$288,$B$139:$B$288,$A39,$U$139:$U$288,1,$Y$139:$Y$288,1,$C$139:$C$288,"&lt;="&amp;H$17,$D$139:$D$288,"&gt;="&amp;H$17))</f>
        <v/>
      </c>
      <c r="AR39" s="31">
        <f>IF($A39="","",SUMIFS($E$139:$E$288,$B$139:$B$288,$A39,$U$139:$U$288,1,$Y$139:$Y$288,1,$C$139:$C$288,"&lt;="&amp;I$17,$D$139:$D$288,"&gt;="&amp;I$17))</f>
        <v/>
      </c>
      <c r="AS39" s="31">
        <f>IF($A39="","",SUMIFS($E$139:$E$288,$B$139:$B$288,$A39,$U$139:$U$288,1,$Y$139:$Y$288,1,$C$139:$C$288,"&lt;="&amp;J$17,$D$139:$D$288,"&gt;="&amp;J$17))</f>
        <v/>
      </c>
      <c r="AT39" s="31">
        <f>IF($A39="","",SUMIFS($E$139:$E$288,$B$139:$B$288,$A39,$U$139:$U$288,1,$Y$139:$Y$288,1,$C$139:$C$288,"&lt;="&amp;K$17,$D$139:$D$288,"&gt;="&amp;K$17))</f>
        <v/>
      </c>
      <c r="AU39" s="31">
        <f>IF($A39="","",SUMIFS($E$139:$E$288,$B$139:$B$288,$A39,$U$139:$U$288,1,$Y$139:$Y$288,1,$C$139:$C$288,"&lt;="&amp;L$17,$D$139:$D$288,"&gt;="&amp;L$17))</f>
        <v/>
      </c>
      <c r="AV39" s="31">
        <f>IF($A39="","",SUMIFS($E$139:$E$288,$B$139:$B$288,$A39,$U$139:$U$288,1,$Y$139:$Y$288,1,$C$139:$C$288,"&lt;="&amp;M$17,$D$139:$D$288,"&gt;="&amp;M$17))</f>
        <v/>
      </c>
      <c r="AW39" s="31">
        <f>IF($A39="","",SUMIFS($E$139:$E$288,$B$139:$B$288,$A39,$U$139:$U$288,1,$Y$139:$Y$288,1,$C$139:$C$288,"&lt;="&amp;N$17,$D$139:$D$288,"&gt;="&amp;N$17))</f>
        <v/>
      </c>
      <c r="AX39" s="31">
        <f>IF($A39="","",SUMIFS($E$139:$E$288,$B$139:$B$288,$A39,$U$139:$U$288,1,$Y$139:$Y$288,1,$C$139:$C$288,"&lt;="&amp;O$17,$D$139:$D$288,"&gt;="&amp;O$17))</f>
        <v/>
      </c>
      <c r="AY39" s="31">
        <f>IF($A39="","",SUMIFS($E$139:$E$288,$B$139:$B$288,$A39,$U$139:$U$288,1,$Y$139:$Y$288,1,$C$139:$C$288,"&lt;="&amp;P$17,$D$139:$D$288,"&gt;="&amp;P$17))</f>
        <v/>
      </c>
      <c r="AZ39" s="31">
        <f>IF($A39="","",SUMIFS($E$139:$E$288,$B$139:$B$288,$A39,$U$139:$U$288,2,$Y$139:$Y$288,1,$C$139:$C$288,"&lt;="&amp;D$17,$D$139:$D$288,"&gt;="&amp;D$17))</f>
        <v/>
      </c>
      <c r="BA39" s="31">
        <f>IF($A39="","",SUMIFS($E$139:$E$288,$B$139:$B$288,$A39,$U$139:$U$288,2,$Y$139:$Y$288,1,$C$139:$C$288,"&lt;="&amp;E$17,$D$139:$D$288,"&gt;="&amp;E$17))</f>
        <v/>
      </c>
      <c r="BB39" s="31">
        <f>IF($A39="","",SUMIFS($E$139:$E$288,$B$139:$B$288,$A39,$U$139:$U$288,2,$Y$139:$Y$288,1,$C$139:$C$288,"&lt;="&amp;F$17,$D$139:$D$288,"&gt;="&amp;F$17))</f>
        <v/>
      </c>
      <c r="BC39" s="31">
        <f>IF($A39="","",SUMIFS($E$139:$E$288,$B$139:$B$288,$A39,$U$139:$U$288,2,$Y$139:$Y$288,1,$C$139:$C$288,"&lt;="&amp;G$17,$D$139:$D$288,"&gt;="&amp;G$17))</f>
        <v/>
      </c>
      <c r="BD39" s="31">
        <f>IF($A39="","",SUMIFS($E$139:$E$288,$B$139:$B$288,$A39,$U$139:$U$288,2,$Y$139:$Y$288,1,$C$139:$C$288,"&lt;="&amp;H$17,$D$139:$D$288,"&gt;="&amp;H$17))</f>
        <v/>
      </c>
      <c r="BE39" s="31">
        <f>IF($A39="","",SUMIFS($E$139:$E$288,$B$139:$B$288,$A39,$U$139:$U$288,2,$Y$139:$Y$288,1,$C$139:$C$288,"&lt;="&amp;I$17,$D$139:$D$288,"&gt;="&amp;I$17))</f>
        <v/>
      </c>
      <c r="BF39" s="31">
        <f>IF($A39="","",SUMIFS($E$139:$E$288,$B$139:$B$288,$A39,$U$139:$U$288,2,$Y$139:$Y$288,1,$C$139:$C$288,"&lt;="&amp;J$17,$D$139:$D$288,"&gt;="&amp;J$17))</f>
        <v/>
      </c>
      <c r="BG39" s="31">
        <f>IF($A39="","",SUMIFS($E$139:$E$288,$B$139:$B$288,$A39,$U$139:$U$288,2,$Y$139:$Y$288,1,$C$139:$C$288,"&lt;="&amp;K$17,$D$139:$D$288,"&gt;="&amp;K$17))</f>
        <v/>
      </c>
      <c r="BH39" s="31">
        <f>IF($A39="","",SUMIFS($E$139:$E$288,$B$139:$B$288,$A39,$U$139:$U$288,2,$Y$139:$Y$288,1,$C$139:$C$288,"&lt;="&amp;L$17,$D$139:$D$288,"&gt;="&amp;L$17))</f>
        <v/>
      </c>
      <c r="BI39" s="31">
        <f>IF($A39="","",SUMIFS($E$139:$E$288,$B$139:$B$288,$A39,$U$139:$U$288,2,$Y$139:$Y$288,1,$C$139:$C$288,"&lt;="&amp;M$17,$D$139:$D$288,"&gt;="&amp;M$17))</f>
        <v/>
      </c>
      <c r="BJ39" s="31">
        <f>IF($A39="","",SUMIFS($E$139:$E$288,$B$139:$B$288,$A39,$U$139:$U$288,2,$Y$139:$Y$288,1,$C$139:$C$288,"&lt;="&amp;N$17,$D$139:$D$288,"&gt;="&amp;N$17))</f>
        <v/>
      </c>
      <c r="BK39" s="31">
        <f>IF($A39="","",SUMIFS($E$139:$E$288,$B$139:$B$288,$A39,$U$139:$U$288,2,$Y$139:$Y$288,1,$C$139:$C$288,"&lt;="&amp;O$17,$D$139:$D$288,"&gt;="&amp;O$17))</f>
        <v/>
      </c>
      <c r="BL39" s="31">
        <f>IF($A39="","",SUMIFS($E$139:$E$288,$B$139:$B$288,$A39,$U$139:$U$288,2,$Y$139:$Y$288,1,$C$139:$C$288,"&lt;="&amp;P$17,$D$139:$D$288,"&gt;="&amp;P$17))</f>
        <v/>
      </c>
      <c r="BM39" s="31">
        <f>IF(OR($A39="",$D$17=""),0,SUMPRODUCT(($D39:$P39&gt;=0)*(($D39:$P39-$AZ39:$BL39)&lt;0)))</f>
        <v/>
      </c>
      <c r="BN39" s="31">
        <f>IF(IFERROR(INDEX(Register!$A$6:$A$305,ROW()-5),"")="",0,SUMIF($A$139:$A$288,IFERROR(INDEX(Register!$A$6:$A$305,ROW()-5),""),$Z$139:$Z$288))</f>
        <v/>
      </c>
      <c r="BO39" s="31">
        <f>IF(OR(IFERROR(INDEX(Register!$A$6:$A$305,ROW()-5),"")="",SUM($Z$139:$Z$288)=0),0,IF(AND(IFERROR(INDEX(Register!$B$6:$B$305,ROW()-5),"")="Project",IFERROR(INDEX(Register!$D$6:$D$305,ROW()-5),"")="Active",IFERROR(INDEX(Register!$Z$6:$Z$305,ROW()-5),"")=1,$BN39=0),1,0))</f>
        <v/>
      </c>
      <c r="BP39" s="31">
        <f>IF(AND(IFERROR(INDEX(Register!$A$6:$A$305,ROW()-5),"")&lt;&gt;"",IFERROR(INDEX(Register!$D$6:$D$305,ROW()-5),"")="Proposed"),$BN39,0)</f>
        <v/>
      </c>
      <c r="BQ39" s="31">
        <f>IF(OR($A39="",$D$17=""),0,COUNTIF($D39:$P39,"&lt;0"))</f>
        <v/>
      </c>
      <c r="BR39" s="31">
        <f>IF(INDEX($A$63:$A$102,ROW()-6)="","",INDEX($A$63:$A$102,ROW()-6))</f>
        <v/>
      </c>
      <c r="BS39" s="31">
        <f>IF(INDEX($A$63:$A$102,ROW()-6)="","",INDEX($A$63:$A$102,ROW()-6))</f>
        <v/>
      </c>
    </row>
    <row r="40">
      <c r="A40" s="31">
        <f>IF(INDEX($A$63:$A$102,ROW()-17)="","",INDEX($A$63:$A$102,ROW()-17))</f>
        <v/>
      </c>
      <c r="B40" s="31">
        <f>IF(OR($A40="",$D$17=""),"",IF($BQ40=0,"○ Clear","△ "&amp;$BQ40&amp;IF($BQ40=1," week"," weeks")&amp;" over, from "&amp;TEXT(SUMPRODUCT(MIN($D$17:$P$17+($D40:$P40&gt;=0)*100000)),"d mmm")))</f>
        <v/>
      </c>
      <c r="C40" s="32">
        <f>IF($A40="","",IF(AND(ISNUMBER(INDEX($B$63:$B$102,ROW()-17)),INDEX($S$63:$S$102,ROW()-17)=0),INDEX($B$63:$B$102,ROW()-17),IF($C$7="",$B$7,5)))</f>
        <v/>
      </c>
      <c r="D40" s="51">
        <f>IF(OR($A40="",$D$17=""),"",ROUND(Z40-AM40,2))</f>
        <v/>
      </c>
      <c r="E40" s="51">
        <f>IF(OR($A40="",$D$17=""),"",ROUND(AA40-AN40,2))</f>
        <v/>
      </c>
      <c r="F40" s="51">
        <f>IF(OR($A40="",$D$17=""),"",ROUND(AB40-AO40,2))</f>
        <v/>
      </c>
      <c r="G40" s="51">
        <f>IF(OR($A40="",$D$17=""),"",ROUND(AC40-AP40,2))</f>
        <v/>
      </c>
      <c r="H40" s="51">
        <f>IF(OR($A40="",$D$17=""),"",ROUND(AD40-AQ40,2))</f>
        <v/>
      </c>
      <c r="I40" s="51">
        <f>IF(OR($A40="",$D$17=""),"",ROUND(AE40-AR40,2))</f>
        <v/>
      </c>
      <c r="J40" s="51">
        <f>IF(OR($A40="",$D$17=""),"",ROUND(AF40-AS40,2))</f>
        <v/>
      </c>
      <c r="K40" s="51">
        <f>IF(OR($A40="",$D$17=""),"",ROUND(AG40-AT40,2))</f>
        <v/>
      </c>
      <c r="L40" s="51">
        <f>IF(OR($A40="",$D$17=""),"",ROUND(AH40-AU40,2))</f>
        <v/>
      </c>
      <c r="M40" s="51">
        <f>IF(OR($A40="",$D$17=""),"",ROUND(AI40-AV40,2))</f>
        <v/>
      </c>
      <c r="N40" s="51">
        <f>IF(OR($A40="",$D$17=""),"",ROUND(AJ40-AW40,2))</f>
        <v/>
      </c>
      <c r="O40" s="51">
        <f>IF(OR($A40="",$D$17=""),"",ROUND(AK40-AX40,2))</f>
        <v/>
      </c>
      <c r="P40" s="51">
        <f>IF(OR($A40="",$D$17=""),"",ROUND(AL40-AY40,2))</f>
        <v/>
      </c>
      <c r="Q40" s="31">
        <f>IF(OR($A40="",$D$17=""),"",IF(SUM($AZ40:$BL40)=0,"",IF($BM40=0,"Fits","Over in "&amp;$BM40&amp;IF($BM40=1," week"," weeks")&amp;" if approved")))</f>
        <v/>
      </c>
      <c r="Z40" s="31">
        <f>IF(OR($A40="",$D$17=""),"",MAX(0,$C40-SUMIFS($D$106:$D$135,$A$106:$A$135,$A40,$B$106:$B$135,"&lt;="&amp;D$17,$C$106:$C$135,"&gt;="&amp;D$17,$S$106:$S$135,0)-SUMIFS($D$106:$D$135,$A$106:$A$135,"Everyone",$B$106:$B$135,"&lt;="&amp;D$17,$C$106:$C$135,"&gt;="&amp;D$17,$S$106:$S$135,0)))</f>
        <v/>
      </c>
      <c r="AA40" s="31">
        <f>IF(OR($A40="",$D$17=""),"",MAX(0,$C40-SUMIFS($D$106:$D$135,$A$106:$A$135,$A40,$B$106:$B$135,"&lt;="&amp;E$17,$C$106:$C$135,"&gt;="&amp;E$17,$S$106:$S$135,0)-SUMIFS($D$106:$D$135,$A$106:$A$135,"Everyone",$B$106:$B$135,"&lt;="&amp;E$17,$C$106:$C$135,"&gt;="&amp;E$17,$S$106:$S$135,0)))</f>
        <v/>
      </c>
      <c r="AB40" s="31">
        <f>IF(OR($A40="",$D$17=""),"",MAX(0,$C40-SUMIFS($D$106:$D$135,$A$106:$A$135,$A40,$B$106:$B$135,"&lt;="&amp;F$17,$C$106:$C$135,"&gt;="&amp;F$17,$S$106:$S$135,0)-SUMIFS($D$106:$D$135,$A$106:$A$135,"Everyone",$B$106:$B$135,"&lt;="&amp;F$17,$C$106:$C$135,"&gt;="&amp;F$17,$S$106:$S$135,0)))</f>
        <v/>
      </c>
      <c r="AC40" s="31">
        <f>IF(OR($A40="",$D$17=""),"",MAX(0,$C40-SUMIFS($D$106:$D$135,$A$106:$A$135,$A40,$B$106:$B$135,"&lt;="&amp;G$17,$C$106:$C$135,"&gt;="&amp;G$17,$S$106:$S$135,0)-SUMIFS($D$106:$D$135,$A$106:$A$135,"Everyone",$B$106:$B$135,"&lt;="&amp;G$17,$C$106:$C$135,"&gt;="&amp;G$17,$S$106:$S$135,0)))</f>
        <v/>
      </c>
      <c r="AD40" s="31">
        <f>IF(OR($A40="",$D$17=""),"",MAX(0,$C40-SUMIFS($D$106:$D$135,$A$106:$A$135,$A40,$B$106:$B$135,"&lt;="&amp;H$17,$C$106:$C$135,"&gt;="&amp;H$17,$S$106:$S$135,0)-SUMIFS($D$106:$D$135,$A$106:$A$135,"Everyone",$B$106:$B$135,"&lt;="&amp;H$17,$C$106:$C$135,"&gt;="&amp;H$17,$S$106:$S$135,0)))</f>
        <v/>
      </c>
      <c r="AE40" s="31">
        <f>IF(OR($A40="",$D$17=""),"",MAX(0,$C40-SUMIFS($D$106:$D$135,$A$106:$A$135,$A40,$B$106:$B$135,"&lt;="&amp;I$17,$C$106:$C$135,"&gt;="&amp;I$17,$S$106:$S$135,0)-SUMIFS($D$106:$D$135,$A$106:$A$135,"Everyone",$B$106:$B$135,"&lt;="&amp;I$17,$C$106:$C$135,"&gt;="&amp;I$17,$S$106:$S$135,0)))</f>
        <v/>
      </c>
      <c r="AF40" s="31">
        <f>IF(OR($A40="",$D$17=""),"",MAX(0,$C40-SUMIFS($D$106:$D$135,$A$106:$A$135,$A40,$B$106:$B$135,"&lt;="&amp;J$17,$C$106:$C$135,"&gt;="&amp;J$17,$S$106:$S$135,0)-SUMIFS($D$106:$D$135,$A$106:$A$135,"Everyone",$B$106:$B$135,"&lt;="&amp;J$17,$C$106:$C$135,"&gt;="&amp;J$17,$S$106:$S$135,0)))</f>
        <v/>
      </c>
      <c r="AG40" s="31">
        <f>IF(OR($A40="",$D$17=""),"",MAX(0,$C40-SUMIFS($D$106:$D$135,$A$106:$A$135,$A40,$B$106:$B$135,"&lt;="&amp;K$17,$C$106:$C$135,"&gt;="&amp;K$17,$S$106:$S$135,0)-SUMIFS($D$106:$D$135,$A$106:$A$135,"Everyone",$B$106:$B$135,"&lt;="&amp;K$17,$C$106:$C$135,"&gt;="&amp;K$17,$S$106:$S$135,0)))</f>
        <v/>
      </c>
      <c r="AH40" s="31">
        <f>IF(OR($A40="",$D$17=""),"",MAX(0,$C40-SUMIFS($D$106:$D$135,$A$106:$A$135,$A40,$B$106:$B$135,"&lt;="&amp;L$17,$C$106:$C$135,"&gt;="&amp;L$17,$S$106:$S$135,0)-SUMIFS($D$106:$D$135,$A$106:$A$135,"Everyone",$B$106:$B$135,"&lt;="&amp;L$17,$C$106:$C$135,"&gt;="&amp;L$17,$S$106:$S$135,0)))</f>
        <v/>
      </c>
      <c r="AI40" s="31">
        <f>IF(OR($A40="",$D$17=""),"",MAX(0,$C40-SUMIFS($D$106:$D$135,$A$106:$A$135,$A40,$B$106:$B$135,"&lt;="&amp;M$17,$C$106:$C$135,"&gt;="&amp;M$17,$S$106:$S$135,0)-SUMIFS($D$106:$D$135,$A$106:$A$135,"Everyone",$B$106:$B$135,"&lt;="&amp;M$17,$C$106:$C$135,"&gt;="&amp;M$17,$S$106:$S$135,0)))</f>
        <v/>
      </c>
      <c r="AJ40" s="31">
        <f>IF(OR($A40="",$D$17=""),"",MAX(0,$C40-SUMIFS($D$106:$D$135,$A$106:$A$135,$A40,$B$106:$B$135,"&lt;="&amp;N$17,$C$106:$C$135,"&gt;="&amp;N$17,$S$106:$S$135,0)-SUMIFS($D$106:$D$135,$A$106:$A$135,"Everyone",$B$106:$B$135,"&lt;="&amp;N$17,$C$106:$C$135,"&gt;="&amp;N$17,$S$106:$S$135,0)))</f>
        <v/>
      </c>
      <c r="AK40" s="31">
        <f>IF(OR($A40="",$D$17=""),"",MAX(0,$C40-SUMIFS($D$106:$D$135,$A$106:$A$135,$A40,$B$106:$B$135,"&lt;="&amp;O$17,$C$106:$C$135,"&gt;="&amp;O$17,$S$106:$S$135,0)-SUMIFS($D$106:$D$135,$A$106:$A$135,"Everyone",$B$106:$B$135,"&lt;="&amp;O$17,$C$106:$C$135,"&gt;="&amp;O$17,$S$106:$S$135,0)))</f>
        <v/>
      </c>
      <c r="AL40" s="31">
        <f>IF(OR($A40="",$D$17=""),"",MAX(0,$C40-SUMIFS($D$106:$D$135,$A$106:$A$135,$A40,$B$106:$B$135,"&lt;="&amp;P$17,$C$106:$C$135,"&gt;="&amp;P$17,$S$106:$S$135,0)-SUMIFS($D$106:$D$135,$A$106:$A$135,"Everyone",$B$106:$B$135,"&lt;="&amp;P$17,$C$106:$C$135,"&gt;="&amp;P$17,$S$106:$S$135,0)))</f>
        <v/>
      </c>
      <c r="AM40" s="31">
        <f>IF($A40="","",SUMIFS($E$139:$E$288,$B$139:$B$288,$A40,$U$139:$U$288,1,$Y$139:$Y$288,1,$C$139:$C$288,"&lt;="&amp;D$17,$D$139:$D$288,"&gt;="&amp;D$17))</f>
        <v/>
      </c>
      <c r="AN40" s="31">
        <f>IF($A40="","",SUMIFS($E$139:$E$288,$B$139:$B$288,$A40,$U$139:$U$288,1,$Y$139:$Y$288,1,$C$139:$C$288,"&lt;="&amp;E$17,$D$139:$D$288,"&gt;="&amp;E$17))</f>
        <v/>
      </c>
      <c r="AO40" s="31">
        <f>IF($A40="","",SUMIFS($E$139:$E$288,$B$139:$B$288,$A40,$U$139:$U$288,1,$Y$139:$Y$288,1,$C$139:$C$288,"&lt;="&amp;F$17,$D$139:$D$288,"&gt;="&amp;F$17))</f>
        <v/>
      </c>
      <c r="AP40" s="31">
        <f>IF($A40="","",SUMIFS($E$139:$E$288,$B$139:$B$288,$A40,$U$139:$U$288,1,$Y$139:$Y$288,1,$C$139:$C$288,"&lt;="&amp;G$17,$D$139:$D$288,"&gt;="&amp;G$17))</f>
        <v/>
      </c>
      <c r="AQ40" s="31">
        <f>IF($A40="","",SUMIFS($E$139:$E$288,$B$139:$B$288,$A40,$U$139:$U$288,1,$Y$139:$Y$288,1,$C$139:$C$288,"&lt;="&amp;H$17,$D$139:$D$288,"&gt;="&amp;H$17))</f>
        <v/>
      </c>
      <c r="AR40" s="31">
        <f>IF($A40="","",SUMIFS($E$139:$E$288,$B$139:$B$288,$A40,$U$139:$U$288,1,$Y$139:$Y$288,1,$C$139:$C$288,"&lt;="&amp;I$17,$D$139:$D$288,"&gt;="&amp;I$17))</f>
        <v/>
      </c>
      <c r="AS40" s="31">
        <f>IF($A40="","",SUMIFS($E$139:$E$288,$B$139:$B$288,$A40,$U$139:$U$288,1,$Y$139:$Y$288,1,$C$139:$C$288,"&lt;="&amp;J$17,$D$139:$D$288,"&gt;="&amp;J$17))</f>
        <v/>
      </c>
      <c r="AT40" s="31">
        <f>IF($A40="","",SUMIFS($E$139:$E$288,$B$139:$B$288,$A40,$U$139:$U$288,1,$Y$139:$Y$288,1,$C$139:$C$288,"&lt;="&amp;K$17,$D$139:$D$288,"&gt;="&amp;K$17))</f>
        <v/>
      </c>
      <c r="AU40" s="31">
        <f>IF($A40="","",SUMIFS($E$139:$E$288,$B$139:$B$288,$A40,$U$139:$U$288,1,$Y$139:$Y$288,1,$C$139:$C$288,"&lt;="&amp;L$17,$D$139:$D$288,"&gt;="&amp;L$17))</f>
        <v/>
      </c>
      <c r="AV40" s="31">
        <f>IF($A40="","",SUMIFS($E$139:$E$288,$B$139:$B$288,$A40,$U$139:$U$288,1,$Y$139:$Y$288,1,$C$139:$C$288,"&lt;="&amp;M$17,$D$139:$D$288,"&gt;="&amp;M$17))</f>
        <v/>
      </c>
      <c r="AW40" s="31">
        <f>IF($A40="","",SUMIFS($E$139:$E$288,$B$139:$B$288,$A40,$U$139:$U$288,1,$Y$139:$Y$288,1,$C$139:$C$288,"&lt;="&amp;N$17,$D$139:$D$288,"&gt;="&amp;N$17))</f>
        <v/>
      </c>
      <c r="AX40" s="31">
        <f>IF($A40="","",SUMIFS($E$139:$E$288,$B$139:$B$288,$A40,$U$139:$U$288,1,$Y$139:$Y$288,1,$C$139:$C$288,"&lt;="&amp;O$17,$D$139:$D$288,"&gt;="&amp;O$17))</f>
        <v/>
      </c>
      <c r="AY40" s="31">
        <f>IF($A40="","",SUMIFS($E$139:$E$288,$B$139:$B$288,$A40,$U$139:$U$288,1,$Y$139:$Y$288,1,$C$139:$C$288,"&lt;="&amp;P$17,$D$139:$D$288,"&gt;="&amp;P$17))</f>
        <v/>
      </c>
      <c r="AZ40" s="31">
        <f>IF($A40="","",SUMIFS($E$139:$E$288,$B$139:$B$288,$A40,$U$139:$U$288,2,$Y$139:$Y$288,1,$C$139:$C$288,"&lt;="&amp;D$17,$D$139:$D$288,"&gt;="&amp;D$17))</f>
        <v/>
      </c>
      <c r="BA40" s="31">
        <f>IF($A40="","",SUMIFS($E$139:$E$288,$B$139:$B$288,$A40,$U$139:$U$288,2,$Y$139:$Y$288,1,$C$139:$C$288,"&lt;="&amp;E$17,$D$139:$D$288,"&gt;="&amp;E$17))</f>
        <v/>
      </c>
      <c r="BB40" s="31">
        <f>IF($A40="","",SUMIFS($E$139:$E$288,$B$139:$B$288,$A40,$U$139:$U$288,2,$Y$139:$Y$288,1,$C$139:$C$288,"&lt;="&amp;F$17,$D$139:$D$288,"&gt;="&amp;F$17))</f>
        <v/>
      </c>
      <c r="BC40" s="31">
        <f>IF($A40="","",SUMIFS($E$139:$E$288,$B$139:$B$288,$A40,$U$139:$U$288,2,$Y$139:$Y$288,1,$C$139:$C$288,"&lt;="&amp;G$17,$D$139:$D$288,"&gt;="&amp;G$17))</f>
        <v/>
      </c>
      <c r="BD40" s="31">
        <f>IF($A40="","",SUMIFS($E$139:$E$288,$B$139:$B$288,$A40,$U$139:$U$288,2,$Y$139:$Y$288,1,$C$139:$C$288,"&lt;="&amp;H$17,$D$139:$D$288,"&gt;="&amp;H$17))</f>
        <v/>
      </c>
      <c r="BE40" s="31">
        <f>IF($A40="","",SUMIFS($E$139:$E$288,$B$139:$B$288,$A40,$U$139:$U$288,2,$Y$139:$Y$288,1,$C$139:$C$288,"&lt;="&amp;I$17,$D$139:$D$288,"&gt;="&amp;I$17))</f>
        <v/>
      </c>
      <c r="BF40" s="31">
        <f>IF($A40="","",SUMIFS($E$139:$E$288,$B$139:$B$288,$A40,$U$139:$U$288,2,$Y$139:$Y$288,1,$C$139:$C$288,"&lt;="&amp;J$17,$D$139:$D$288,"&gt;="&amp;J$17))</f>
        <v/>
      </c>
      <c r="BG40" s="31">
        <f>IF($A40="","",SUMIFS($E$139:$E$288,$B$139:$B$288,$A40,$U$139:$U$288,2,$Y$139:$Y$288,1,$C$139:$C$288,"&lt;="&amp;K$17,$D$139:$D$288,"&gt;="&amp;K$17))</f>
        <v/>
      </c>
      <c r="BH40" s="31">
        <f>IF($A40="","",SUMIFS($E$139:$E$288,$B$139:$B$288,$A40,$U$139:$U$288,2,$Y$139:$Y$288,1,$C$139:$C$288,"&lt;="&amp;L$17,$D$139:$D$288,"&gt;="&amp;L$17))</f>
        <v/>
      </c>
      <c r="BI40" s="31">
        <f>IF($A40="","",SUMIFS($E$139:$E$288,$B$139:$B$288,$A40,$U$139:$U$288,2,$Y$139:$Y$288,1,$C$139:$C$288,"&lt;="&amp;M$17,$D$139:$D$288,"&gt;="&amp;M$17))</f>
        <v/>
      </c>
      <c r="BJ40" s="31">
        <f>IF($A40="","",SUMIFS($E$139:$E$288,$B$139:$B$288,$A40,$U$139:$U$288,2,$Y$139:$Y$288,1,$C$139:$C$288,"&lt;="&amp;N$17,$D$139:$D$288,"&gt;="&amp;N$17))</f>
        <v/>
      </c>
      <c r="BK40" s="31">
        <f>IF($A40="","",SUMIFS($E$139:$E$288,$B$139:$B$288,$A40,$U$139:$U$288,2,$Y$139:$Y$288,1,$C$139:$C$288,"&lt;="&amp;O$17,$D$139:$D$288,"&gt;="&amp;O$17))</f>
        <v/>
      </c>
      <c r="BL40" s="31">
        <f>IF($A40="","",SUMIFS($E$139:$E$288,$B$139:$B$288,$A40,$U$139:$U$288,2,$Y$139:$Y$288,1,$C$139:$C$288,"&lt;="&amp;P$17,$D$139:$D$288,"&gt;="&amp;P$17))</f>
        <v/>
      </c>
      <c r="BM40" s="31">
        <f>IF(OR($A40="",$D$17=""),0,SUMPRODUCT(($D40:$P40&gt;=0)*(($D40:$P40-$AZ40:$BL40)&lt;0)))</f>
        <v/>
      </c>
      <c r="BN40" s="31">
        <f>IF(IFERROR(INDEX(Register!$A$6:$A$305,ROW()-5),"")="",0,SUMIF($A$139:$A$288,IFERROR(INDEX(Register!$A$6:$A$305,ROW()-5),""),$Z$139:$Z$288))</f>
        <v/>
      </c>
      <c r="BO40" s="31">
        <f>IF(OR(IFERROR(INDEX(Register!$A$6:$A$305,ROW()-5),"")="",SUM($Z$139:$Z$288)=0),0,IF(AND(IFERROR(INDEX(Register!$B$6:$B$305,ROW()-5),"")="Project",IFERROR(INDEX(Register!$D$6:$D$305,ROW()-5),"")="Active",IFERROR(INDEX(Register!$Z$6:$Z$305,ROW()-5),"")=1,$BN40=0),1,0))</f>
        <v/>
      </c>
      <c r="BP40" s="31">
        <f>IF(AND(IFERROR(INDEX(Register!$A$6:$A$305,ROW()-5),"")&lt;&gt;"",IFERROR(INDEX(Register!$D$6:$D$305,ROW()-5),"")="Proposed"),$BN40,0)</f>
        <v/>
      </c>
      <c r="BQ40" s="31">
        <f>IF(OR($A40="",$D$17=""),0,COUNTIF($D40:$P40,"&lt;0"))</f>
        <v/>
      </c>
      <c r="BR40" s="31">
        <f>IF(INDEX($A$63:$A$102,ROW()-6)="","",INDEX($A$63:$A$102,ROW()-6))</f>
        <v/>
      </c>
      <c r="BS40" s="31">
        <f>IF(INDEX($A$63:$A$102,ROW()-6)="","",INDEX($A$63:$A$102,ROW()-6))</f>
        <v/>
      </c>
    </row>
    <row r="41">
      <c r="A41" s="31">
        <f>IF(INDEX($A$63:$A$102,ROW()-17)="","",INDEX($A$63:$A$102,ROW()-17))</f>
        <v/>
      </c>
      <c r="B41" s="31">
        <f>IF(OR($A41="",$D$17=""),"",IF($BQ41=0,"○ Clear","△ "&amp;$BQ41&amp;IF($BQ41=1," week"," weeks")&amp;" over, from "&amp;TEXT(SUMPRODUCT(MIN($D$17:$P$17+($D41:$P41&gt;=0)*100000)),"d mmm")))</f>
        <v/>
      </c>
      <c r="C41" s="32">
        <f>IF($A41="","",IF(AND(ISNUMBER(INDEX($B$63:$B$102,ROW()-17)),INDEX($S$63:$S$102,ROW()-17)=0),INDEX($B$63:$B$102,ROW()-17),IF($C$7="",$B$7,5)))</f>
        <v/>
      </c>
      <c r="D41" s="51">
        <f>IF(OR($A41="",$D$17=""),"",ROUND(Z41-AM41,2))</f>
        <v/>
      </c>
      <c r="E41" s="51">
        <f>IF(OR($A41="",$D$17=""),"",ROUND(AA41-AN41,2))</f>
        <v/>
      </c>
      <c r="F41" s="51">
        <f>IF(OR($A41="",$D$17=""),"",ROUND(AB41-AO41,2))</f>
        <v/>
      </c>
      <c r="G41" s="51">
        <f>IF(OR($A41="",$D$17=""),"",ROUND(AC41-AP41,2))</f>
        <v/>
      </c>
      <c r="H41" s="51">
        <f>IF(OR($A41="",$D$17=""),"",ROUND(AD41-AQ41,2))</f>
        <v/>
      </c>
      <c r="I41" s="51">
        <f>IF(OR($A41="",$D$17=""),"",ROUND(AE41-AR41,2))</f>
        <v/>
      </c>
      <c r="J41" s="51">
        <f>IF(OR($A41="",$D$17=""),"",ROUND(AF41-AS41,2))</f>
        <v/>
      </c>
      <c r="K41" s="51">
        <f>IF(OR($A41="",$D$17=""),"",ROUND(AG41-AT41,2))</f>
        <v/>
      </c>
      <c r="L41" s="51">
        <f>IF(OR($A41="",$D$17=""),"",ROUND(AH41-AU41,2))</f>
        <v/>
      </c>
      <c r="M41" s="51">
        <f>IF(OR($A41="",$D$17=""),"",ROUND(AI41-AV41,2))</f>
        <v/>
      </c>
      <c r="N41" s="51">
        <f>IF(OR($A41="",$D$17=""),"",ROUND(AJ41-AW41,2))</f>
        <v/>
      </c>
      <c r="O41" s="51">
        <f>IF(OR($A41="",$D$17=""),"",ROUND(AK41-AX41,2))</f>
        <v/>
      </c>
      <c r="P41" s="51">
        <f>IF(OR($A41="",$D$17=""),"",ROUND(AL41-AY41,2))</f>
        <v/>
      </c>
      <c r="Q41" s="31">
        <f>IF(OR($A41="",$D$17=""),"",IF(SUM($AZ41:$BL41)=0,"",IF($BM41=0,"Fits","Over in "&amp;$BM41&amp;IF($BM41=1," week"," weeks")&amp;" if approved")))</f>
        <v/>
      </c>
      <c r="Z41" s="31">
        <f>IF(OR($A41="",$D$17=""),"",MAX(0,$C41-SUMIFS($D$106:$D$135,$A$106:$A$135,$A41,$B$106:$B$135,"&lt;="&amp;D$17,$C$106:$C$135,"&gt;="&amp;D$17,$S$106:$S$135,0)-SUMIFS($D$106:$D$135,$A$106:$A$135,"Everyone",$B$106:$B$135,"&lt;="&amp;D$17,$C$106:$C$135,"&gt;="&amp;D$17,$S$106:$S$135,0)))</f>
        <v/>
      </c>
      <c r="AA41" s="31">
        <f>IF(OR($A41="",$D$17=""),"",MAX(0,$C41-SUMIFS($D$106:$D$135,$A$106:$A$135,$A41,$B$106:$B$135,"&lt;="&amp;E$17,$C$106:$C$135,"&gt;="&amp;E$17,$S$106:$S$135,0)-SUMIFS($D$106:$D$135,$A$106:$A$135,"Everyone",$B$106:$B$135,"&lt;="&amp;E$17,$C$106:$C$135,"&gt;="&amp;E$17,$S$106:$S$135,0)))</f>
        <v/>
      </c>
      <c r="AB41" s="31">
        <f>IF(OR($A41="",$D$17=""),"",MAX(0,$C41-SUMIFS($D$106:$D$135,$A$106:$A$135,$A41,$B$106:$B$135,"&lt;="&amp;F$17,$C$106:$C$135,"&gt;="&amp;F$17,$S$106:$S$135,0)-SUMIFS($D$106:$D$135,$A$106:$A$135,"Everyone",$B$106:$B$135,"&lt;="&amp;F$17,$C$106:$C$135,"&gt;="&amp;F$17,$S$106:$S$135,0)))</f>
        <v/>
      </c>
      <c r="AC41" s="31">
        <f>IF(OR($A41="",$D$17=""),"",MAX(0,$C41-SUMIFS($D$106:$D$135,$A$106:$A$135,$A41,$B$106:$B$135,"&lt;="&amp;G$17,$C$106:$C$135,"&gt;="&amp;G$17,$S$106:$S$135,0)-SUMIFS($D$106:$D$135,$A$106:$A$135,"Everyone",$B$106:$B$135,"&lt;="&amp;G$17,$C$106:$C$135,"&gt;="&amp;G$17,$S$106:$S$135,0)))</f>
        <v/>
      </c>
      <c r="AD41" s="31">
        <f>IF(OR($A41="",$D$17=""),"",MAX(0,$C41-SUMIFS($D$106:$D$135,$A$106:$A$135,$A41,$B$106:$B$135,"&lt;="&amp;H$17,$C$106:$C$135,"&gt;="&amp;H$17,$S$106:$S$135,0)-SUMIFS($D$106:$D$135,$A$106:$A$135,"Everyone",$B$106:$B$135,"&lt;="&amp;H$17,$C$106:$C$135,"&gt;="&amp;H$17,$S$106:$S$135,0)))</f>
        <v/>
      </c>
      <c r="AE41" s="31">
        <f>IF(OR($A41="",$D$17=""),"",MAX(0,$C41-SUMIFS($D$106:$D$135,$A$106:$A$135,$A41,$B$106:$B$135,"&lt;="&amp;I$17,$C$106:$C$135,"&gt;="&amp;I$17,$S$106:$S$135,0)-SUMIFS($D$106:$D$135,$A$106:$A$135,"Everyone",$B$106:$B$135,"&lt;="&amp;I$17,$C$106:$C$135,"&gt;="&amp;I$17,$S$106:$S$135,0)))</f>
        <v/>
      </c>
      <c r="AF41" s="31">
        <f>IF(OR($A41="",$D$17=""),"",MAX(0,$C41-SUMIFS($D$106:$D$135,$A$106:$A$135,$A41,$B$106:$B$135,"&lt;="&amp;J$17,$C$106:$C$135,"&gt;="&amp;J$17,$S$106:$S$135,0)-SUMIFS($D$106:$D$135,$A$106:$A$135,"Everyone",$B$106:$B$135,"&lt;="&amp;J$17,$C$106:$C$135,"&gt;="&amp;J$17,$S$106:$S$135,0)))</f>
        <v/>
      </c>
      <c r="AG41" s="31">
        <f>IF(OR($A41="",$D$17=""),"",MAX(0,$C41-SUMIFS($D$106:$D$135,$A$106:$A$135,$A41,$B$106:$B$135,"&lt;="&amp;K$17,$C$106:$C$135,"&gt;="&amp;K$17,$S$106:$S$135,0)-SUMIFS($D$106:$D$135,$A$106:$A$135,"Everyone",$B$106:$B$135,"&lt;="&amp;K$17,$C$106:$C$135,"&gt;="&amp;K$17,$S$106:$S$135,0)))</f>
        <v/>
      </c>
      <c r="AH41" s="31">
        <f>IF(OR($A41="",$D$17=""),"",MAX(0,$C41-SUMIFS($D$106:$D$135,$A$106:$A$135,$A41,$B$106:$B$135,"&lt;="&amp;L$17,$C$106:$C$135,"&gt;="&amp;L$17,$S$106:$S$135,0)-SUMIFS($D$106:$D$135,$A$106:$A$135,"Everyone",$B$106:$B$135,"&lt;="&amp;L$17,$C$106:$C$135,"&gt;="&amp;L$17,$S$106:$S$135,0)))</f>
        <v/>
      </c>
      <c r="AI41" s="31">
        <f>IF(OR($A41="",$D$17=""),"",MAX(0,$C41-SUMIFS($D$106:$D$135,$A$106:$A$135,$A41,$B$106:$B$135,"&lt;="&amp;M$17,$C$106:$C$135,"&gt;="&amp;M$17,$S$106:$S$135,0)-SUMIFS($D$106:$D$135,$A$106:$A$135,"Everyone",$B$106:$B$135,"&lt;="&amp;M$17,$C$106:$C$135,"&gt;="&amp;M$17,$S$106:$S$135,0)))</f>
        <v/>
      </c>
      <c r="AJ41" s="31">
        <f>IF(OR($A41="",$D$17=""),"",MAX(0,$C41-SUMIFS($D$106:$D$135,$A$106:$A$135,$A41,$B$106:$B$135,"&lt;="&amp;N$17,$C$106:$C$135,"&gt;="&amp;N$17,$S$106:$S$135,0)-SUMIFS($D$106:$D$135,$A$106:$A$135,"Everyone",$B$106:$B$135,"&lt;="&amp;N$17,$C$106:$C$135,"&gt;="&amp;N$17,$S$106:$S$135,0)))</f>
        <v/>
      </c>
      <c r="AK41" s="31">
        <f>IF(OR($A41="",$D$17=""),"",MAX(0,$C41-SUMIFS($D$106:$D$135,$A$106:$A$135,$A41,$B$106:$B$135,"&lt;="&amp;O$17,$C$106:$C$135,"&gt;="&amp;O$17,$S$106:$S$135,0)-SUMIFS($D$106:$D$135,$A$106:$A$135,"Everyone",$B$106:$B$135,"&lt;="&amp;O$17,$C$106:$C$135,"&gt;="&amp;O$17,$S$106:$S$135,0)))</f>
        <v/>
      </c>
      <c r="AL41" s="31">
        <f>IF(OR($A41="",$D$17=""),"",MAX(0,$C41-SUMIFS($D$106:$D$135,$A$106:$A$135,$A41,$B$106:$B$135,"&lt;="&amp;P$17,$C$106:$C$135,"&gt;="&amp;P$17,$S$106:$S$135,0)-SUMIFS($D$106:$D$135,$A$106:$A$135,"Everyone",$B$106:$B$135,"&lt;="&amp;P$17,$C$106:$C$135,"&gt;="&amp;P$17,$S$106:$S$135,0)))</f>
        <v/>
      </c>
      <c r="AM41" s="31">
        <f>IF($A41="","",SUMIFS($E$139:$E$288,$B$139:$B$288,$A41,$U$139:$U$288,1,$Y$139:$Y$288,1,$C$139:$C$288,"&lt;="&amp;D$17,$D$139:$D$288,"&gt;="&amp;D$17))</f>
        <v/>
      </c>
      <c r="AN41" s="31">
        <f>IF($A41="","",SUMIFS($E$139:$E$288,$B$139:$B$288,$A41,$U$139:$U$288,1,$Y$139:$Y$288,1,$C$139:$C$288,"&lt;="&amp;E$17,$D$139:$D$288,"&gt;="&amp;E$17))</f>
        <v/>
      </c>
      <c r="AO41" s="31">
        <f>IF($A41="","",SUMIFS($E$139:$E$288,$B$139:$B$288,$A41,$U$139:$U$288,1,$Y$139:$Y$288,1,$C$139:$C$288,"&lt;="&amp;F$17,$D$139:$D$288,"&gt;="&amp;F$17))</f>
        <v/>
      </c>
      <c r="AP41" s="31">
        <f>IF($A41="","",SUMIFS($E$139:$E$288,$B$139:$B$288,$A41,$U$139:$U$288,1,$Y$139:$Y$288,1,$C$139:$C$288,"&lt;="&amp;G$17,$D$139:$D$288,"&gt;="&amp;G$17))</f>
        <v/>
      </c>
      <c r="AQ41" s="31">
        <f>IF($A41="","",SUMIFS($E$139:$E$288,$B$139:$B$288,$A41,$U$139:$U$288,1,$Y$139:$Y$288,1,$C$139:$C$288,"&lt;="&amp;H$17,$D$139:$D$288,"&gt;="&amp;H$17))</f>
        <v/>
      </c>
      <c r="AR41" s="31">
        <f>IF($A41="","",SUMIFS($E$139:$E$288,$B$139:$B$288,$A41,$U$139:$U$288,1,$Y$139:$Y$288,1,$C$139:$C$288,"&lt;="&amp;I$17,$D$139:$D$288,"&gt;="&amp;I$17))</f>
        <v/>
      </c>
      <c r="AS41" s="31">
        <f>IF($A41="","",SUMIFS($E$139:$E$288,$B$139:$B$288,$A41,$U$139:$U$288,1,$Y$139:$Y$288,1,$C$139:$C$288,"&lt;="&amp;J$17,$D$139:$D$288,"&gt;="&amp;J$17))</f>
        <v/>
      </c>
      <c r="AT41" s="31">
        <f>IF($A41="","",SUMIFS($E$139:$E$288,$B$139:$B$288,$A41,$U$139:$U$288,1,$Y$139:$Y$288,1,$C$139:$C$288,"&lt;="&amp;K$17,$D$139:$D$288,"&gt;="&amp;K$17))</f>
        <v/>
      </c>
      <c r="AU41" s="31">
        <f>IF($A41="","",SUMIFS($E$139:$E$288,$B$139:$B$288,$A41,$U$139:$U$288,1,$Y$139:$Y$288,1,$C$139:$C$288,"&lt;="&amp;L$17,$D$139:$D$288,"&gt;="&amp;L$17))</f>
        <v/>
      </c>
      <c r="AV41" s="31">
        <f>IF($A41="","",SUMIFS($E$139:$E$288,$B$139:$B$288,$A41,$U$139:$U$288,1,$Y$139:$Y$288,1,$C$139:$C$288,"&lt;="&amp;M$17,$D$139:$D$288,"&gt;="&amp;M$17))</f>
        <v/>
      </c>
      <c r="AW41" s="31">
        <f>IF($A41="","",SUMIFS($E$139:$E$288,$B$139:$B$288,$A41,$U$139:$U$288,1,$Y$139:$Y$288,1,$C$139:$C$288,"&lt;="&amp;N$17,$D$139:$D$288,"&gt;="&amp;N$17))</f>
        <v/>
      </c>
      <c r="AX41" s="31">
        <f>IF($A41="","",SUMIFS($E$139:$E$288,$B$139:$B$288,$A41,$U$139:$U$288,1,$Y$139:$Y$288,1,$C$139:$C$288,"&lt;="&amp;O$17,$D$139:$D$288,"&gt;="&amp;O$17))</f>
        <v/>
      </c>
      <c r="AY41" s="31">
        <f>IF($A41="","",SUMIFS($E$139:$E$288,$B$139:$B$288,$A41,$U$139:$U$288,1,$Y$139:$Y$288,1,$C$139:$C$288,"&lt;="&amp;P$17,$D$139:$D$288,"&gt;="&amp;P$17))</f>
        <v/>
      </c>
      <c r="AZ41" s="31">
        <f>IF($A41="","",SUMIFS($E$139:$E$288,$B$139:$B$288,$A41,$U$139:$U$288,2,$Y$139:$Y$288,1,$C$139:$C$288,"&lt;="&amp;D$17,$D$139:$D$288,"&gt;="&amp;D$17))</f>
        <v/>
      </c>
      <c r="BA41" s="31">
        <f>IF($A41="","",SUMIFS($E$139:$E$288,$B$139:$B$288,$A41,$U$139:$U$288,2,$Y$139:$Y$288,1,$C$139:$C$288,"&lt;="&amp;E$17,$D$139:$D$288,"&gt;="&amp;E$17))</f>
        <v/>
      </c>
      <c r="BB41" s="31">
        <f>IF($A41="","",SUMIFS($E$139:$E$288,$B$139:$B$288,$A41,$U$139:$U$288,2,$Y$139:$Y$288,1,$C$139:$C$288,"&lt;="&amp;F$17,$D$139:$D$288,"&gt;="&amp;F$17))</f>
        <v/>
      </c>
      <c r="BC41" s="31">
        <f>IF($A41="","",SUMIFS($E$139:$E$288,$B$139:$B$288,$A41,$U$139:$U$288,2,$Y$139:$Y$288,1,$C$139:$C$288,"&lt;="&amp;G$17,$D$139:$D$288,"&gt;="&amp;G$17))</f>
        <v/>
      </c>
      <c r="BD41" s="31">
        <f>IF($A41="","",SUMIFS($E$139:$E$288,$B$139:$B$288,$A41,$U$139:$U$288,2,$Y$139:$Y$288,1,$C$139:$C$288,"&lt;="&amp;H$17,$D$139:$D$288,"&gt;="&amp;H$17))</f>
        <v/>
      </c>
      <c r="BE41" s="31">
        <f>IF($A41="","",SUMIFS($E$139:$E$288,$B$139:$B$288,$A41,$U$139:$U$288,2,$Y$139:$Y$288,1,$C$139:$C$288,"&lt;="&amp;I$17,$D$139:$D$288,"&gt;="&amp;I$17))</f>
        <v/>
      </c>
      <c r="BF41" s="31">
        <f>IF($A41="","",SUMIFS($E$139:$E$288,$B$139:$B$288,$A41,$U$139:$U$288,2,$Y$139:$Y$288,1,$C$139:$C$288,"&lt;="&amp;J$17,$D$139:$D$288,"&gt;="&amp;J$17))</f>
        <v/>
      </c>
      <c r="BG41" s="31">
        <f>IF($A41="","",SUMIFS($E$139:$E$288,$B$139:$B$288,$A41,$U$139:$U$288,2,$Y$139:$Y$288,1,$C$139:$C$288,"&lt;="&amp;K$17,$D$139:$D$288,"&gt;="&amp;K$17))</f>
        <v/>
      </c>
      <c r="BH41" s="31">
        <f>IF($A41="","",SUMIFS($E$139:$E$288,$B$139:$B$288,$A41,$U$139:$U$288,2,$Y$139:$Y$288,1,$C$139:$C$288,"&lt;="&amp;L$17,$D$139:$D$288,"&gt;="&amp;L$17))</f>
        <v/>
      </c>
      <c r="BI41" s="31">
        <f>IF($A41="","",SUMIFS($E$139:$E$288,$B$139:$B$288,$A41,$U$139:$U$288,2,$Y$139:$Y$288,1,$C$139:$C$288,"&lt;="&amp;M$17,$D$139:$D$288,"&gt;="&amp;M$17))</f>
        <v/>
      </c>
      <c r="BJ41" s="31">
        <f>IF($A41="","",SUMIFS($E$139:$E$288,$B$139:$B$288,$A41,$U$139:$U$288,2,$Y$139:$Y$288,1,$C$139:$C$288,"&lt;="&amp;N$17,$D$139:$D$288,"&gt;="&amp;N$17))</f>
        <v/>
      </c>
      <c r="BK41" s="31">
        <f>IF($A41="","",SUMIFS($E$139:$E$288,$B$139:$B$288,$A41,$U$139:$U$288,2,$Y$139:$Y$288,1,$C$139:$C$288,"&lt;="&amp;O$17,$D$139:$D$288,"&gt;="&amp;O$17))</f>
        <v/>
      </c>
      <c r="BL41" s="31">
        <f>IF($A41="","",SUMIFS($E$139:$E$288,$B$139:$B$288,$A41,$U$139:$U$288,2,$Y$139:$Y$288,1,$C$139:$C$288,"&lt;="&amp;P$17,$D$139:$D$288,"&gt;="&amp;P$17))</f>
        <v/>
      </c>
      <c r="BM41" s="31">
        <f>IF(OR($A41="",$D$17=""),0,SUMPRODUCT(($D41:$P41&gt;=0)*(($D41:$P41-$AZ41:$BL41)&lt;0)))</f>
        <v/>
      </c>
      <c r="BN41" s="31">
        <f>IF(IFERROR(INDEX(Register!$A$6:$A$305,ROW()-5),"")="",0,SUMIF($A$139:$A$288,IFERROR(INDEX(Register!$A$6:$A$305,ROW()-5),""),$Z$139:$Z$288))</f>
        <v/>
      </c>
      <c r="BO41" s="31">
        <f>IF(OR(IFERROR(INDEX(Register!$A$6:$A$305,ROW()-5),"")="",SUM($Z$139:$Z$288)=0),0,IF(AND(IFERROR(INDEX(Register!$B$6:$B$305,ROW()-5),"")="Project",IFERROR(INDEX(Register!$D$6:$D$305,ROW()-5),"")="Active",IFERROR(INDEX(Register!$Z$6:$Z$305,ROW()-5),"")=1,$BN41=0),1,0))</f>
        <v/>
      </c>
      <c r="BP41" s="31">
        <f>IF(AND(IFERROR(INDEX(Register!$A$6:$A$305,ROW()-5),"")&lt;&gt;"",IFERROR(INDEX(Register!$D$6:$D$305,ROW()-5),"")="Proposed"),$BN41,0)</f>
        <v/>
      </c>
      <c r="BQ41" s="31">
        <f>IF(OR($A41="",$D$17=""),0,COUNTIF($D41:$P41,"&lt;0"))</f>
        <v/>
      </c>
      <c r="BR41" s="31">
        <f>IF(INDEX($A$63:$A$102,ROW()-6)="","",INDEX($A$63:$A$102,ROW()-6))</f>
        <v/>
      </c>
      <c r="BS41" s="31">
        <f>IF(INDEX($A$63:$A$102,ROW()-6)="","",INDEX($A$63:$A$102,ROW()-6))</f>
        <v/>
      </c>
    </row>
    <row r="42">
      <c r="A42" s="31">
        <f>IF(INDEX($A$63:$A$102,ROW()-17)="","",INDEX($A$63:$A$102,ROW()-17))</f>
        <v/>
      </c>
      <c r="B42" s="31">
        <f>IF(OR($A42="",$D$17=""),"",IF($BQ42=0,"○ Clear","△ "&amp;$BQ42&amp;IF($BQ42=1," week"," weeks")&amp;" over, from "&amp;TEXT(SUMPRODUCT(MIN($D$17:$P$17+($D42:$P42&gt;=0)*100000)),"d mmm")))</f>
        <v/>
      </c>
      <c r="C42" s="32">
        <f>IF($A42="","",IF(AND(ISNUMBER(INDEX($B$63:$B$102,ROW()-17)),INDEX($S$63:$S$102,ROW()-17)=0),INDEX($B$63:$B$102,ROW()-17),IF($C$7="",$B$7,5)))</f>
        <v/>
      </c>
      <c r="D42" s="51">
        <f>IF(OR($A42="",$D$17=""),"",ROUND(Z42-AM42,2))</f>
        <v/>
      </c>
      <c r="E42" s="51">
        <f>IF(OR($A42="",$D$17=""),"",ROUND(AA42-AN42,2))</f>
        <v/>
      </c>
      <c r="F42" s="51">
        <f>IF(OR($A42="",$D$17=""),"",ROUND(AB42-AO42,2))</f>
        <v/>
      </c>
      <c r="G42" s="51">
        <f>IF(OR($A42="",$D$17=""),"",ROUND(AC42-AP42,2))</f>
        <v/>
      </c>
      <c r="H42" s="51">
        <f>IF(OR($A42="",$D$17=""),"",ROUND(AD42-AQ42,2))</f>
        <v/>
      </c>
      <c r="I42" s="51">
        <f>IF(OR($A42="",$D$17=""),"",ROUND(AE42-AR42,2))</f>
        <v/>
      </c>
      <c r="J42" s="51">
        <f>IF(OR($A42="",$D$17=""),"",ROUND(AF42-AS42,2))</f>
        <v/>
      </c>
      <c r="K42" s="51">
        <f>IF(OR($A42="",$D$17=""),"",ROUND(AG42-AT42,2))</f>
        <v/>
      </c>
      <c r="L42" s="51">
        <f>IF(OR($A42="",$D$17=""),"",ROUND(AH42-AU42,2))</f>
        <v/>
      </c>
      <c r="M42" s="51">
        <f>IF(OR($A42="",$D$17=""),"",ROUND(AI42-AV42,2))</f>
        <v/>
      </c>
      <c r="N42" s="51">
        <f>IF(OR($A42="",$D$17=""),"",ROUND(AJ42-AW42,2))</f>
        <v/>
      </c>
      <c r="O42" s="51">
        <f>IF(OR($A42="",$D$17=""),"",ROUND(AK42-AX42,2))</f>
        <v/>
      </c>
      <c r="P42" s="51">
        <f>IF(OR($A42="",$D$17=""),"",ROUND(AL42-AY42,2))</f>
        <v/>
      </c>
      <c r="Q42" s="31">
        <f>IF(OR($A42="",$D$17=""),"",IF(SUM($AZ42:$BL42)=0,"",IF($BM42=0,"Fits","Over in "&amp;$BM42&amp;IF($BM42=1," week"," weeks")&amp;" if approved")))</f>
        <v/>
      </c>
      <c r="Z42" s="31">
        <f>IF(OR($A42="",$D$17=""),"",MAX(0,$C42-SUMIFS($D$106:$D$135,$A$106:$A$135,$A42,$B$106:$B$135,"&lt;="&amp;D$17,$C$106:$C$135,"&gt;="&amp;D$17,$S$106:$S$135,0)-SUMIFS($D$106:$D$135,$A$106:$A$135,"Everyone",$B$106:$B$135,"&lt;="&amp;D$17,$C$106:$C$135,"&gt;="&amp;D$17,$S$106:$S$135,0)))</f>
        <v/>
      </c>
      <c r="AA42" s="31">
        <f>IF(OR($A42="",$D$17=""),"",MAX(0,$C42-SUMIFS($D$106:$D$135,$A$106:$A$135,$A42,$B$106:$B$135,"&lt;="&amp;E$17,$C$106:$C$135,"&gt;="&amp;E$17,$S$106:$S$135,0)-SUMIFS($D$106:$D$135,$A$106:$A$135,"Everyone",$B$106:$B$135,"&lt;="&amp;E$17,$C$106:$C$135,"&gt;="&amp;E$17,$S$106:$S$135,0)))</f>
        <v/>
      </c>
      <c r="AB42" s="31">
        <f>IF(OR($A42="",$D$17=""),"",MAX(0,$C42-SUMIFS($D$106:$D$135,$A$106:$A$135,$A42,$B$106:$B$135,"&lt;="&amp;F$17,$C$106:$C$135,"&gt;="&amp;F$17,$S$106:$S$135,0)-SUMIFS($D$106:$D$135,$A$106:$A$135,"Everyone",$B$106:$B$135,"&lt;="&amp;F$17,$C$106:$C$135,"&gt;="&amp;F$17,$S$106:$S$135,0)))</f>
        <v/>
      </c>
      <c r="AC42" s="31">
        <f>IF(OR($A42="",$D$17=""),"",MAX(0,$C42-SUMIFS($D$106:$D$135,$A$106:$A$135,$A42,$B$106:$B$135,"&lt;="&amp;G$17,$C$106:$C$135,"&gt;="&amp;G$17,$S$106:$S$135,0)-SUMIFS($D$106:$D$135,$A$106:$A$135,"Everyone",$B$106:$B$135,"&lt;="&amp;G$17,$C$106:$C$135,"&gt;="&amp;G$17,$S$106:$S$135,0)))</f>
        <v/>
      </c>
      <c r="AD42" s="31">
        <f>IF(OR($A42="",$D$17=""),"",MAX(0,$C42-SUMIFS($D$106:$D$135,$A$106:$A$135,$A42,$B$106:$B$135,"&lt;="&amp;H$17,$C$106:$C$135,"&gt;="&amp;H$17,$S$106:$S$135,0)-SUMIFS($D$106:$D$135,$A$106:$A$135,"Everyone",$B$106:$B$135,"&lt;="&amp;H$17,$C$106:$C$135,"&gt;="&amp;H$17,$S$106:$S$135,0)))</f>
        <v/>
      </c>
      <c r="AE42" s="31">
        <f>IF(OR($A42="",$D$17=""),"",MAX(0,$C42-SUMIFS($D$106:$D$135,$A$106:$A$135,$A42,$B$106:$B$135,"&lt;="&amp;I$17,$C$106:$C$135,"&gt;="&amp;I$17,$S$106:$S$135,0)-SUMIFS($D$106:$D$135,$A$106:$A$135,"Everyone",$B$106:$B$135,"&lt;="&amp;I$17,$C$106:$C$135,"&gt;="&amp;I$17,$S$106:$S$135,0)))</f>
        <v/>
      </c>
      <c r="AF42" s="31">
        <f>IF(OR($A42="",$D$17=""),"",MAX(0,$C42-SUMIFS($D$106:$D$135,$A$106:$A$135,$A42,$B$106:$B$135,"&lt;="&amp;J$17,$C$106:$C$135,"&gt;="&amp;J$17,$S$106:$S$135,0)-SUMIFS($D$106:$D$135,$A$106:$A$135,"Everyone",$B$106:$B$135,"&lt;="&amp;J$17,$C$106:$C$135,"&gt;="&amp;J$17,$S$106:$S$135,0)))</f>
        <v/>
      </c>
      <c r="AG42" s="31">
        <f>IF(OR($A42="",$D$17=""),"",MAX(0,$C42-SUMIFS($D$106:$D$135,$A$106:$A$135,$A42,$B$106:$B$135,"&lt;="&amp;K$17,$C$106:$C$135,"&gt;="&amp;K$17,$S$106:$S$135,0)-SUMIFS($D$106:$D$135,$A$106:$A$135,"Everyone",$B$106:$B$135,"&lt;="&amp;K$17,$C$106:$C$135,"&gt;="&amp;K$17,$S$106:$S$135,0)))</f>
        <v/>
      </c>
      <c r="AH42" s="31">
        <f>IF(OR($A42="",$D$17=""),"",MAX(0,$C42-SUMIFS($D$106:$D$135,$A$106:$A$135,$A42,$B$106:$B$135,"&lt;="&amp;L$17,$C$106:$C$135,"&gt;="&amp;L$17,$S$106:$S$135,0)-SUMIFS($D$106:$D$135,$A$106:$A$135,"Everyone",$B$106:$B$135,"&lt;="&amp;L$17,$C$106:$C$135,"&gt;="&amp;L$17,$S$106:$S$135,0)))</f>
        <v/>
      </c>
      <c r="AI42" s="31">
        <f>IF(OR($A42="",$D$17=""),"",MAX(0,$C42-SUMIFS($D$106:$D$135,$A$106:$A$135,$A42,$B$106:$B$135,"&lt;="&amp;M$17,$C$106:$C$135,"&gt;="&amp;M$17,$S$106:$S$135,0)-SUMIFS($D$106:$D$135,$A$106:$A$135,"Everyone",$B$106:$B$135,"&lt;="&amp;M$17,$C$106:$C$135,"&gt;="&amp;M$17,$S$106:$S$135,0)))</f>
        <v/>
      </c>
      <c r="AJ42" s="31">
        <f>IF(OR($A42="",$D$17=""),"",MAX(0,$C42-SUMIFS($D$106:$D$135,$A$106:$A$135,$A42,$B$106:$B$135,"&lt;="&amp;N$17,$C$106:$C$135,"&gt;="&amp;N$17,$S$106:$S$135,0)-SUMIFS($D$106:$D$135,$A$106:$A$135,"Everyone",$B$106:$B$135,"&lt;="&amp;N$17,$C$106:$C$135,"&gt;="&amp;N$17,$S$106:$S$135,0)))</f>
        <v/>
      </c>
      <c r="AK42" s="31">
        <f>IF(OR($A42="",$D$17=""),"",MAX(0,$C42-SUMIFS($D$106:$D$135,$A$106:$A$135,$A42,$B$106:$B$135,"&lt;="&amp;O$17,$C$106:$C$135,"&gt;="&amp;O$17,$S$106:$S$135,0)-SUMIFS($D$106:$D$135,$A$106:$A$135,"Everyone",$B$106:$B$135,"&lt;="&amp;O$17,$C$106:$C$135,"&gt;="&amp;O$17,$S$106:$S$135,0)))</f>
        <v/>
      </c>
      <c r="AL42" s="31">
        <f>IF(OR($A42="",$D$17=""),"",MAX(0,$C42-SUMIFS($D$106:$D$135,$A$106:$A$135,$A42,$B$106:$B$135,"&lt;="&amp;P$17,$C$106:$C$135,"&gt;="&amp;P$17,$S$106:$S$135,0)-SUMIFS($D$106:$D$135,$A$106:$A$135,"Everyone",$B$106:$B$135,"&lt;="&amp;P$17,$C$106:$C$135,"&gt;="&amp;P$17,$S$106:$S$135,0)))</f>
        <v/>
      </c>
      <c r="AM42" s="31">
        <f>IF($A42="","",SUMIFS($E$139:$E$288,$B$139:$B$288,$A42,$U$139:$U$288,1,$Y$139:$Y$288,1,$C$139:$C$288,"&lt;="&amp;D$17,$D$139:$D$288,"&gt;="&amp;D$17))</f>
        <v/>
      </c>
      <c r="AN42" s="31">
        <f>IF($A42="","",SUMIFS($E$139:$E$288,$B$139:$B$288,$A42,$U$139:$U$288,1,$Y$139:$Y$288,1,$C$139:$C$288,"&lt;="&amp;E$17,$D$139:$D$288,"&gt;="&amp;E$17))</f>
        <v/>
      </c>
      <c r="AO42" s="31">
        <f>IF($A42="","",SUMIFS($E$139:$E$288,$B$139:$B$288,$A42,$U$139:$U$288,1,$Y$139:$Y$288,1,$C$139:$C$288,"&lt;="&amp;F$17,$D$139:$D$288,"&gt;="&amp;F$17))</f>
        <v/>
      </c>
      <c r="AP42" s="31">
        <f>IF($A42="","",SUMIFS($E$139:$E$288,$B$139:$B$288,$A42,$U$139:$U$288,1,$Y$139:$Y$288,1,$C$139:$C$288,"&lt;="&amp;G$17,$D$139:$D$288,"&gt;="&amp;G$17))</f>
        <v/>
      </c>
      <c r="AQ42" s="31">
        <f>IF($A42="","",SUMIFS($E$139:$E$288,$B$139:$B$288,$A42,$U$139:$U$288,1,$Y$139:$Y$288,1,$C$139:$C$288,"&lt;="&amp;H$17,$D$139:$D$288,"&gt;="&amp;H$17))</f>
        <v/>
      </c>
      <c r="AR42" s="31">
        <f>IF($A42="","",SUMIFS($E$139:$E$288,$B$139:$B$288,$A42,$U$139:$U$288,1,$Y$139:$Y$288,1,$C$139:$C$288,"&lt;="&amp;I$17,$D$139:$D$288,"&gt;="&amp;I$17))</f>
        <v/>
      </c>
      <c r="AS42" s="31">
        <f>IF($A42="","",SUMIFS($E$139:$E$288,$B$139:$B$288,$A42,$U$139:$U$288,1,$Y$139:$Y$288,1,$C$139:$C$288,"&lt;="&amp;J$17,$D$139:$D$288,"&gt;="&amp;J$17))</f>
        <v/>
      </c>
      <c r="AT42" s="31">
        <f>IF($A42="","",SUMIFS($E$139:$E$288,$B$139:$B$288,$A42,$U$139:$U$288,1,$Y$139:$Y$288,1,$C$139:$C$288,"&lt;="&amp;K$17,$D$139:$D$288,"&gt;="&amp;K$17))</f>
        <v/>
      </c>
      <c r="AU42" s="31">
        <f>IF($A42="","",SUMIFS($E$139:$E$288,$B$139:$B$288,$A42,$U$139:$U$288,1,$Y$139:$Y$288,1,$C$139:$C$288,"&lt;="&amp;L$17,$D$139:$D$288,"&gt;="&amp;L$17))</f>
        <v/>
      </c>
      <c r="AV42" s="31">
        <f>IF($A42="","",SUMIFS($E$139:$E$288,$B$139:$B$288,$A42,$U$139:$U$288,1,$Y$139:$Y$288,1,$C$139:$C$288,"&lt;="&amp;M$17,$D$139:$D$288,"&gt;="&amp;M$17))</f>
        <v/>
      </c>
      <c r="AW42" s="31">
        <f>IF($A42="","",SUMIFS($E$139:$E$288,$B$139:$B$288,$A42,$U$139:$U$288,1,$Y$139:$Y$288,1,$C$139:$C$288,"&lt;="&amp;N$17,$D$139:$D$288,"&gt;="&amp;N$17))</f>
        <v/>
      </c>
      <c r="AX42" s="31">
        <f>IF($A42="","",SUMIFS($E$139:$E$288,$B$139:$B$288,$A42,$U$139:$U$288,1,$Y$139:$Y$288,1,$C$139:$C$288,"&lt;="&amp;O$17,$D$139:$D$288,"&gt;="&amp;O$17))</f>
        <v/>
      </c>
      <c r="AY42" s="31">
        <f>IF($A42="","",SUMIFS($E$139:$E$288,$B$139:$B$288,$A42,$U$139:$U$288,1,$Y$139:$Y$288,1,$C$139:$C$288,"&lt;="&amp;P$17,$D$139:$D$288,"&gt;="&amp;P$17))</f>
        <v/>
      </c>
      <c r="AZ42" s="31">
        <f>IF($A42="","",SUMIFS($E$139:$E$288,$B$139:$B$288,$A42,$U$139:$U$288,2,$Y$139:$Y$288,1,$C$139:$C$288,"&lt;="&amp;D$17,$D$139:$D$288,"&gt;="&amp;D$17))</f>
        <v/>
      </c>
      <c r="BA42" s="31">
        <f>IF($A42="","",SUMIFS($E$139:$E$288,$B$139:$B$288,$A42,$U$139:$U$288,2,$Y$139:$Y$288,1,$C$139:$C$288,"&lt;="&amp;E$17,$D$139:$D$288,"&gt;="&amp;E$17))</f>
        <v/>
      </c>
      <c r="BB42" s="31">
        <f>IF($A42="","",SUMIFS($E$139:$E$288,$B$139:$B$288,$A42,$U$139:$U$288,2,$Y$139:$Y$288,1,$C$139:$C$288,"&lt;="&amp;F$17,$D$139:$D$288,"&gt;="&amp;F$17))</f>
        <v/>
      </c>
      <c r="BC42" s="31">
        <f>IF($A42="","",SUMIFS($E$139:$E$288,$B$139:$B$288,$A42,$U$139:$U$288,2,$Y$139:$Y$288,1,$C$139:$C$288,"&lt;="&amp;G$17,$D$139:$D$288,"&gt;="&amp;G$17))</f>
        <v/>
      </c>
      <c r="BD42" s="31">
        <f>IF($A42="","",SUMIFS($E$139:$E$288,$B$139:$B$288,$A42,$U$139:$U$288,2,$Y$139:$Y$288,1,$C$139:$C$288,"&lt;="&amp;H$17,$D$139:$D$288,"&gt;="&amp;H$17))</f>
        <v/>
      </c>
      <c r="BE42" s="31">
        <f>IF($A42="","",SUMIFS($E$139:$E$288,$B$139:$B$288,$A42,$U$139:$U$288,2,$Y$139:$Y$288,1,$C$139:$C$288,"&lt;="&amp;I$17,$D$139:$D$288,"&gt;="&amp;I$17))</f>
        <v/>
      </c>
      <c r="BF42" s="31">
        <f>IF($A42="","",SUMIFS($E$139:$E$288,$B$139:$B$288,$A42,$U$139:$U$288,2,$Y$139:$Y$288,1,$C$139:$C$288,"&lt;="&amp;J$17,$D$139:$D$288,"&gt;="&amp;J$17))</f>
        <v/>
      </c>
      <c r="BG42" s="31">
        <f>IF($A42="","",SUMIFS($E$139:$E$288,$B$139:$B$288,$A42,$U$139:$U$288,2,$Y$139:$Y$288,1,$C$139:$C$288,"&lt;="&amp;K$17,$D$139:$D$288,"&gt;="&amp;K$17))</f>
        <v/>
      </c>
      <c r="BH42" s="31">
        <f>IF($A42="","",SUMIFS($E$139:$E$288,$B$139:$B$288,$A42,$U$139:$U$288,2,$Y$139:$Y$288,1,$C$139:$C$288,"&lt;="&amp;L$17,$D$139:$D$288,"&gt;="&amp;L$17))</f>
        <v/>
      </c>
      <c r="BI42" s="31">
        <f>IF($A42="","",SUMIFS($E$139:$E$288,$B$139:$B$288,$A42,$U$139:$U$288,2,$Y$139:$Y$288,1,$C$139:$C$288,"&lt;="&amp;M$17,$D$139:$D$288,"&gt;="&amp;M$17))</f>
        <v/>
      </c>
      <c r="BJ42" s="31">
        <f>IF($A42="","",SUMIFS($E$139:$E$288,$B$139:$B$288,$A42,$U$139:$U$288,2,$Y$139:$Y$288,1,$C$139:$C$288,"&lt;="&amp;N$17,$D$139:$D$288,"&gt;="&amp;N$17))</f>
        <v/>
      </c>
      <c r="BK42" s="31">
        <f>IF($A42="","",SUMIFS($E$139:$E$288,$B$139:$B$288,$A42,$U$139:$U$288,2,$Y$139:$Y$288,1,$C$139:$C$288,"&lt;="&amp;O$17,$D$139:$D$288,"&gt;="&amp;O$17))</f>
        <v/>
      </c>
      <c r="BL42" s="31">
        <f>IF($A42="","",SUMIFS($E$139:$E$288,$B$139:$B$288,$A42,$U$139:$U$288,2,$Y$139:$Y$288,1,$C$139:$C$288,"&lt;="&amp;P$17,$D$139:$D$288,"&gt;="&amp;P$17))</f>
        <v/>
      </c>
      <c r="BM42" s="31">
        <f>IF(OR($A42="",$D$17=""),0,SUMPRODUCT(($D42:$P42&gt;=0)*(($D42:$P42-$AZ42:$BL42)&lt;0)))</f>
        <v/>
      </c>
      <c r="BN42" s="31">
        <f>IF(IFERROR(INDEX(Register!$A$6:$A$305,ROW()-5),"")="",0,SUMIF($A$139:$A$288,IFERROR(INDEX(Register!$A$6:$A$305,ROW()-5),""),$Z$139:$Z$288))</f>
        <v/>
      </c>
      <c r="BO42" s="31">
        <f>IF(OR(IFERROR(INDEX(Register!$A$6:$A$305,ROW()-5),"")="",SUM($Z$139:$Z$288)=0),0,IF(AND(IFERROR(INDEX(Register!$B$6:$B$305,ROW()-5),"")="Project",IFERROR(INDEX(Register!$D$6:$D$305,ROW()-5),"")="Active",IFERROR(INDEX(Register!$Z$6:$Z$305,ROW()-5),"")=1,$BN42=0),1,0))</f>
        <v/>
      </c>
      <c r="BP42" s="31">
        <f>IF(AND(IFERROR(INDEX(Register!$A$6:$A$305,ROW()-5),"")&lt;&gt;"",IFERROR(INDEX(Register!$D$6:$D$305,ROW()-5),"")="Proposed"),$BN42,0)</f>
        <v/>
      </c>
      <c r="BQ42" s="31">
        <f>IF(OR($A42="",$D$17=""),0,COUNTIF($D42:$P42,"&lt;0"))</f>
        <v/>
      </c>
      <c r="BR42" s="31">
        <f>IF(INDEX($A$63:$A$102,ROW()-6)="","",INDEX($A$63:$A$102,ROW()-6))</f>
        <v/>
      </c>
      <c r="BS42" s="31">
        <f>IF(INDEX($A$63:$A$102,ROW()-6)="","",INDEX($A$63:$A$102,ROW()-6))</f>
        <v/>
      </c>
    </row>
    <row r="43">
      <c r="A43" s="31">
        <f>IF(INDEX($A$63:$A$102,ROW()-17)="","",INDEX($A$63:$A$102,ROW()-17))</f>
        <v/>
      </c>
      <c r="B43" s="31">
        <f>IF(OR($A43="",$D$17=""),"",IF($BQ43=0,"○ Clear","△ "&amp;$BQ43&amp;IF($BQ43=1," week"," weeks")&amp;" over, from "&amp;TEXT(SUMPRODUCT(MIN($D$17:$P$17+($D43:$P43&gt;=0)*100000)),"d mmm")))</f>
        <v/>
      </c>
      <c r="C43" s="32">
        <f>IF($A43="","",IF(AND(ISNUMBER(INDEX($B$63:$B$102,ROW()-17)),INDEX($S$63:$S$102,ROW()-17)=0),INDEX($B$63:$B$102,ROW()-17),IF($C$7="",$B$7,5)))</f>
        <v/>
      </c>
      <c r="D43" s="51">
        <f>IF(OR($A43="",$D$17=""),"",ROUND(Z43-AM43,2))</f>
        <v/>
      </c>
      <c r="E43" s="51">
        <f>IF(OR($A43="",$D$17=""),"",ROUND(AA43-AN43,2))</f>
        <v/>
      </c>
      <c r="F43" s="51">
        <f>IF(OR($A43="",$D$17=""),"",ROUND(AB43-AO43,2))</f>
        <v/>
      </c>
      <c r="G43" s="51">
        <f>IF(OR($A43="",$D$17=""),"",ROUND(AC43-AP43,2))</f>
        <v/>
      </c>
      <c r="H43" s="51">
        <f>IF(OR($A43="",$D$17=""),"",ROUND(AD43-AQ43,2))</f>
        <v/>
      </c>
      <c r="I43" s="51">
        <f>IF(OR($A43="",$D$17=""),"",ROUND(AE43-AR43,2))</f>
        <v/>
      </c>
      <c r="J43" s="51">
        <f>IF(OR($A43="",$D$17=""),"",ROUND(AF43-AS43,2))</f>
        <v/>
      </c>
      <c r="K43" s="51">
        <f>IF(OR($A43="",$D$17=""),"",ROUND(AG43-AT43,2))</f>
        <v/>
      </c>
      <c r="L43" s="51">
        <f>IF(OR($A43="",$D$17=""),"",ROUND(AH43-AU43,2))</f>
        <v/>
      </c>
      <c r="M43" s="51">
        <f>IF(OR($A43="",$D$17=""),"",ROUND(AI43-AV43,2))</f>
        <v/>
      </c>
      <c r="N43" s="51">
        <f>IF(OR($A43="",$D$17=""),"",ROUND(AJ43-AW43,2))</f>
        <v/>
      </c>
      <c r="O43" s="51">
        <f>IF(OR($A43="",$D$17=""),"",ROUND(AK43-AX43,2))</f>
        <v/>
      </c>
      <c r="P43" s="51">
        <f>IF(OR($A43="",$D$17=""),"",ROUND(AL43-AY43,2))</f>
        <v/>
      </c>
      <c r="Q43" s="31">
        <f>IF(OR($A43="",$D$17=""),"",IF(SUM($AZ43:$BL43)=0,"",IF($BM43=0,"Fits","Over in "&amp;$BM43&amp;IF($BM43=1," week"," weeks")&amp;" if approved")))</f>
        <v/>
      </c>
      <c r="Z43" s="31">
        <f>IF(OR($A43="",$D$17=""),"",MAX(0,$C43-SUMIFS($D$106:$D$135,$A$106:$A$135,$A43,$B$106:$B$135,"&lt;="&amp;D$17,$C$106:$C$135,"&gt;="&amp;D$17,$S$106:$S$135,0)-SUMIFS($D$106:$D$135,$A$106:$A$135,"Everyone",$B$106:$B$135,"&lt;="&amp;D$17,$C$106:$C$135,"&gt;="&amp;D$17,$S$106:$S$135,0)))</f>
        <v/>
      </c>
      <c r="AA43" s="31">
        <f>IF(OR($A43="",$D$17=""),"",MAX(0,$C43-SUMIFS($D$106:$D$135,$A$106:$A$135,$A43,$B$106:$B$135,"&lt;="&amp;E$17,$C$106:$C$135,"&gt;="&amp;E$17,$S$106:$S$135,0)-SUMIFS($D$106:$D$135,$A$106:$A$135,"Everyone",$B$106:$B$135,"&lt;="&amp;E$17,$C$106:$C$135,"&gt;="&amp;E$17,$S$106:$S$135,0)))</f>
        <v/>
      </c>
      <c r="AB43" s="31">
        <f>IF(OR($A43="",$D$17=""),"",MAX(0,$C43-SUMIFS($D$106:$D$135,$A$106:$A$135,$A43,$B$106:$B$135,"&lt;="&amp;F$17,$C$106:$C$135,"&gt;="&amp;F$17,$S$106:$S$135,0)-SUMIFS($D$106:$D$135,$A$106:$A$135,"Everyone",$B$106:$B$135,"&lt;="&amp;F$17,$C$106:$C$135,"&gt;="&amp;F$17,$S$106:$S$135,0)))</f>
        <v/>
      </c>
      <c r="AC43" s="31">
        <f>IF(OR($A43="",$D$17=""),"",MAX(0,$C43-SUMIFS($D$106:$D$135,$A$106:$A$135,$A43,$B$106:$B$135,"&lt;="&amp;G$17,$C$106:$C$135,"&gt;="&amp;G$17,$S$106:$S$135,0)-SUMIFS($D$106:$D$135,$A$106:$A$135,"Everyone",$B$106:$B$135,"&lt;="&amp;G$17,$C$106:$C$135,"&gt;="&amp;G$17,$S$106:$S$135,0)))</f>
        <v/>
      </c>
      <c r="AD43" s="31">
        <f>IF(OR($A43="",$D$17=""),"",MAX(0,$C43-SUMIFS($D$106:$D$135,$A$106:$A$135,$A43,$B$106:$B$135,"&lt;="&amp;H$17,$C$106:$C$135,"&gt;="&amp;H$17,$S$106:$S$135,0)-SUMIFS($D$106:$D$135,$A$106:$A$135,"Everyone",$B$106:$B$135,"&lt;="&amp;H$17,$C$106:$C$135,"&gt;="&amp;H$17,$S$106:$S$135,0)))</f>
        <v/>
      </c>
      <c r="AE43" s="31">
        <f>IF(OR($A43="",$D$17=""),"",MAX(0,$C43-SUMIFS($D$106:$D$135,$A$106:$A$135,$A43,$B$106:$B$135,"&lt;="&amp;I$17,$C$106:$C$135,"&gt;="&amp;I$17,$S$106:$S$135,0)-SUMIFS($D$106:$D$135,$A$106:$A$135,"Everyone",$B$106:$B$135,"&lt;="&amp;I$17,$C$106:$C$135,"&gt;="&amp;I$17,$S$106:$S$135,0)))</f>
        <v/>
      </c>
      <c r="AF43" s="31">
        <f>IF(OR($A43="",$D$17=""),"",MAX(0,$C43-SUMIFS($D$106:$D$135,$A$106:$A$135,$A43,$B$106:$B$135,"&lt;="&amp;J$17,$C$106:$C$135,"&gt;="&amp;J$17,$S$106:$S$135,0)-SUMIFS($D$106:$D$135,$A$106:$A$135,"Everyone",$B$106:$B$135,"&lt;="&amp;J$17,$C$106:$C$135,"&gt;="&amp;J$17,$S$106:$S$135,0)))</f>
        <v/>
      </c>
      <c r="AG43" s="31">
        <f>IF(OR($A43="",$D$17=""),"",MAX(0,$C43-SUMIFS($D$106:$D$135,$A$106:$A$135,$A43,$B$106:$B$135,"&lt;="&amp;K$17,$C$106:$C$135,"&gt;="&amp;K$17,$S$106:$S$135,0)-SUMIFS($D$106:$D$135,$A$106:$A$135,"Everyone",$B$106:$B$135,"&lt;="&amp;K$17,$C$106:$C$135,"&gt;="&amp;K$17,$S$106:$S$135,0)))</f>
        <v/>
      </c>
      <c r="AH43" s="31">
        <f>IF(OR($A43="",$D$17=""),"",MAX(0,$C43-SUMIFS($D$106:$D$135,$A$106:$A$135,$A43,$B$106:$B$135,"&lt;="&amp;L$17,$C$106:$C$135,"&gt;="&amp;L$17,$S$106:$S$135,0)-SUMIFS($D$106:$D$135,$A$106:$A$135,"Everyone",$B$106:$B$135,"&lt;="&amp;L$17,$C$106:$C$135,"&gt;="&amp;L$17,$S$106:$S$135,0)))</f>
        <v/>
      </c>
      <c r="AI43" s="31">
        <f>IF(OR($A43="",$D$17=""),"",MAX(0,$C43-SUMIFS($D$106:$D$135,$A$106:$A$135,$A43,$B$106:$B$135,"&lt;="&amp;M$17,$C$106:$C$135,"&gt;="&amp;M$17,$S$106:$S$135,0)-SUMIFS($D$106:$D$135,$A$106:$A$135,"Everyone",$B$106:$B$135,"&lt;="&amp;M$17,$C$106:$C$135,"&gt;="&amp;M$17,$S$106:$S$135,0)))</f>
        <v/>
      </c>
      <c r="AJ43" s="31">
        <f>IF(OR($A43="",$D$17=""),"",MAX(0,$C43-SUMIFS($D$106:$D$135,$A$106:$A$135,$A43,$B$106:$B$135,"&lt;="&amp;N$17,$C$106:$C$135,"&gt;="&amp;N$17,$S$106:$S$135,0)-SUMIFS($D$106:$D$135,$A$106:$A$135,"Everyone",$B$106:$B$135,"&lt;="&amp;N$17,$C$106:$C$135,"&gt;="&amp;N$17,$S$106:$S$135,0)))</f>
        <v/>
      </c>
      <c r="AK43" s="31">
        <f>IF(OR($A43="",$D$17=""),"",MAX(0,$C43-SUMIFS($D$106:$D$135,$A$106:$A$135,$A43,$B$106:$B$135,"&lt;="&amp;O$17,$C$106:$C$135,"&gt;="&amp;O$17,$S$106:$S$135,0)-SUMIFS($D$106:$D$135,$A$106:$A$135,"Everyone",$B$106:$B$135,"&lt;="&amp;O$17,$C$106:$C$135,"&gt;="&amp;O$17,$S$106:$S$135,0)))</f>
        <v/>
      </c>
      <c r="AL43" s="31">
        <f>IF(OR($A43="",$D$17=""),"",MAX(0,$C43-SUMIFS($D$106:$D$135,$A$106:$A$135,$A43,$B$106:$B$135,"&lt;="&amp;P$17,$C$106:$C$135,"&gt;="&amp;P$17,$S$106:$S$135,0)-SUMIFS($D$106:$D$135,$A$106:$A$135,"Everyone",$B$106:$B$135,"&lt;="&amp;P$17,$C$106:$C$135,"&gt;="&amp;P$17,$S$106:$S$135,0)))</f>
        <v/>
      </c>
      <c r="AM43" s="31">
        <f>IF($A43="","",SUMIFS($E$139:$E$288,$B$139:$B$288,$A43,$U$139:$U$288,1,$Y$139:$Y$288,1,$C$139:$C$288,"&lt;="&amp;D$17,$D$139:$D$288,"&gt;="&amp;D$17))</f>
        <v/>
      </c>
      <c r="AN43" s="31">
        <f>IF($A43="","",SUMIFS($E$139:$E$288,$B$139:$B$288,$A43,$U$139:$U$288,1,$Y$139:$Y$288,1,$C$139:$C$288,"&lt;="&amp;E$17,$D$139:$D$288,"&gt;="&amp;E$17))</f>
        <v/>
      </c>
      <c r="AO43" s="31">
        <f>IF($A43="","",SUMIFS($E$139:$E$288,$B$139:$B$288,$A43,$U$139:$U$288,1,$Y$139:$Y$288,1,$C$139:$C$288,"&lt;="&amp;F$17,$D$139:$D$288,"&gt;="&amp;F$17))</f>
        <v/>
      </c>
      <c r="AP43" s="31">
        <f>IF($A43="","",SUMIFS($E$139:$E$288,$B$139:$B$288,$A43,$U$139:$U$288,1,$Y$139:$Y$288,1,$C$139:$C$288,"&lt;="&amp;G$17,$D$139:$D$288,"&gt;="&amp;G$17))</f>
        <v/>
      </c>
      <c r="AQ43" s="31">
        <f>IF($A43="","",SUMIFS($E$139:$E$288,$B$139:$B$288,$A43,$U$139:$U$288,1,$Y$139:$Y$288,1,$C$139:$C$288,"&lt;="&amp;H$17,$D$139:$D$288,"&gt;="&amp;H$17))</f>
        <v/>
      </c>
      <c r="AR43" s="31">
        <f>IF($A43="","",SUMIFS($E$139:$E$288,$B$139:$B$288,$A43,$U$139:$U$288,1,$Y$139:$Y$288,1,$C$139:$C$288,"&lt;="&amp;I$17,$D$139:$D$288,"&gt;="&amp;I$17))</f>
        <v/>
      </c>
      <c r="AS43" s="31">
        <f>IF($A43="","",SUMIFS($E$139:$E$288,$B$139:$B$288,$A43,$U$139:$U$288,1,$Y$139:$Y$288,1,$C$139:$C$288,"&lt;="&amp;J$17,$D$139:$D$288,"&gt;="&amp;J$17))</f>
        <v/>
      </c>
      <c r="AT43" s="31">
        <f>IF($A43="","",SUMIFS($E$139:$E$288,$B$139:$B$288,$A43,$U$139:$U$288,1,$Y$139:$Y$288,1,$C$139:$C$288,"&lt;="&amp;K$17,$D$139:$D$288,"&gt;="&amp;K$17))</f>
        <v/>
      </c>
      <c r="AU43" s="31">
        <f>IF($A43="","",SUMIFS($E$139:$E$288,$B$139:$B$288,$A43,$U$139:$U$288,1,$Y$139:$Y$288,1,$C$139:$C$288,"&lt;="&amp;L$17,$D$139:$D$288,"&gt;="&amp;L$17))</f>
        <v/>
      </c>
      <c r="AV43" s="31">
        <f>IF($A43="","",SUMIFS($E$139:$E$288,$B$139:$B$288,$A43,$U$139:$U$288,1,$Y$139:$Y$288,1,$C$139:$C$288,"&lt;="&amp;M$17,$D$139:$D$288,"&gt;="&amp;M$17))</f>
        <v/>
      </c>
      <c r="AW43" s="31">
        <f>IF($A43="","",SUMIFS($E$139:$E$288,$B$139:$B$288,$A43,$U$139:$U$288,1,$Y$139:$Y$288,1,$C$139:$C$288,"&lt;="&amp;N$17,$D$139:$D$288,"&gt;="&amp;N$17))</f>
        <v/>
      </c>
      <c r="AX43" s="31">
        <f>IF($A43="","",SUMIFS($E$139:$E$288,$B$139:$B$288,$A43,$U$139:$U$288,1,$Y$139:$Y$288,1,$C$139:$C$288,"&lt;="&amp;O$17,$D$139:$D$288,"&gt;="&amp;O$17))</f>
        <v/>
      </c>
      <c r="AY43" s="31">
        <f>IF($A43="","",SUMIFS($E$139:$E$288,$B$139:$B$288,$A43,$U$139:$U$288,1,$Y$139:$Y$288,1,$C$139:$C$288,"&lt;="&amp;P$17,$D$139:$D$288,"&gt;="&amp;P$17))</f>
        <v/>
      </c>
      <c r="AZ43" s="31">
        <f>IF($A43="","",SUMIFS($E$139:$E$288,$B$139:$B$288,$A43,$U$139:$U$288,2,$Y$139:$Y$288,1,$C$139:$C$288,"&lt;="&amp;D$17,$D$139:$D$288,"&gt;="&amp;D$17))</f>
        <v/>
      </c>
      <c r="BA43" s="31">
        <f>IF($A43="","",SUMIFS($E$139:$E$288,$B$139:$B$288,$A43,$U$139:$U$288,2,$Y$139:$Y$288,1,$C$139:$C$288,"&lt;="&amp;E$17,$D$139:$D$288,"&gt;="&amp;E$17))</f>
        <v/>
      </c>
      <c r="BB43" s="31">
        <f>IF($A43="","",SUMIFS($E$139:$E$288,$B$139:$B$288,$A43,$U$139:$U$288,2,$Y$139:$Y$288,1,$C$139:$C$288,"&lt;="&amp;F$17,$D$139:$D$288,"&gt;="&amp;F$17))</f>
        <v/>
      </c>
      <c r="BC43" s="31">
        <f>IF($A43="","",SUMIFS($E$139:$E$288,$B$139:$B$288,$A43,$U$139:$U$288,2,$Y$139:$Y$288,1,$C$139:$C$288,"&lt;="&amp;G$17,$D$139:$D$288,"&gt;="&amp;G$17))</f>
        <v/>
      </c>
      <c r="BD43" s="31">
        <f>IF($A43="","",SUMIFS($E$139:$E$288,$B$139:$B$288,$A43,$U$139:$U$288,2,$Y$139:$Y$288,1,$C$139:$C$288,"&lt;="&amp;H$17,$D$139:$D$288,"&gt;="&amp;H$17))</f>
        <v/>
      </c>
      <c r="BE43" s="31">
        <f>IF($A43="","",SUMIFS($E$139:$E$288,$B$139:$B$288,$A43,$U$139:$U$288,2,$Y$139:$Y$288,1,$C$139:$C$288,"&lt;="&amp;I$17,$D$139:$D$288,"&gt;="&amp;I$17))</f>
        <v/>
      </c>
      <c r="BF43" s="31">
        <f>IF($A43="","",SUMIFS($E$139:$E$288,$B$139:$B$288,$A43,$U$139:$U$288,2,$Y$139:$Y$288,1,$C$139:$C$288,"&lt;="&amp;J$17,$D$139:$D$288,"&gt;="&amp;J$17))</f>
        <v/>
      </c>
      <c r="BG43" s="31">
        <f>IF($A43="","",SUMIFS($E$139:$E$288,$B$139:$B$288,$A43,$U$139:$U$288,2,$Y$139:$Y$288,1,$C$139:$C$288,"&lt;="&amp;K$17,$D$139:$D$288,"&gt;="&amp;K$17))</f>
        <v/>
      </c>
      <c r="BH43" s="31">
        <f>IF($A43="","",SUMIFS($E$139:$E$288,$B$139:$B$288,$A43,$U$139:$U$288,2,$Y$139:$Y$288,1,$C$139:$C$288,"&lt;="&amp;L$17,$D$139:$D$288,"&gt;="&amp;L$17))</f>
        <v/>
      </c>
      <c r="BI43" s="31">
        <f>IF($A43="","",SUMIFS($E$139:$E$288,$B$139:$B$288,$A43,$U$139:$U$288,2,$Y$139:$Y$288,1,$C$139:$C$288,"&lt;="&amp;M$17,$D$139:$D$288,"&gt;="&amp;M$17))</f>
        <v/>
      </c>
      <c r="BJ43" s="31">
        <f>IF($A43="","",SUMIFS($E$139:$E$288,$B$139:$B$288,$A43,$U$139:$U$288,2,$Y$139:$Y$288,1,$C$139:$C$288,"&lt;="&amp;N$17,$D$139:$D$288,"&gt;="&amp;N$17))</f>
        <v/>
      </c>
      <c r="BK43" s="31">
        <f>IF($A43="","",SUMIFS($E$139:$E$288,$B$139:$B$288,$A43,$U$139:$U$288,2,$Y$139:$Y$288,1,$C$139:$C$288,"&lt;="&amp;O$17,$D$139:$D$288,"&gt;="&amp;O$17))</f>
        <v/>
      </c>
      <c r="BL43" s="31">
        <f>IF($A43="","",SUMIFS($E$139:$E$288,$B$139:$B$288,$A43,$U$139:$U$288,2,$Y$139:$Y$288,1,$C$139:$C$288,"&lt;="&amp;P$17,$D$139:$D$288,"&gt;="&amp;P$17))</f>
        <v/>
      </c>
      <c r="BM43" s="31">
        <f>IF(OR($A43="",$D$17=""),0,SUMPRODUCT(($D43:$P43&gt;=0)*(($D43:$P43-$AZ43:$BL43)&lt;0)))</f>
        <v/>
      </c>
      <c r="BN43" s="31">
        <f>IF(IFERROR(INDEX(Register!$A$6:$A$305,ROW()-5),"")="",0,SUMIF($A$139:$A$288,IFERROR(INDEX(Register!$A$6:$A$305,ROW()-5),""),$Z$139:$Z$288))</f>
        <v/>
      </c>
      <c r="BO43" s="31">
        <f>IF(OR(IFERROR(INDEX(Register!$A$6:$A$305,ROW()-5),"")="",SUM($Z$139:$Z$288)=0),0,IF(AND(IFERROR(INDEX(Register!$B$6:$B$305,ROW()-5),"")="Project",IFERROR(INDEX(Register!$D$6:$D$305,ROW()-5),"")="Active",IFERROR(INDEX(Register!$Z$6:$Z$305,ROW()-5),"")=1,$BN43=0),1,0))</f>
        <v/>
      </c>
      <c r="BP43" s="31">
        <f>IF(AND(IFERROR(INDEX(Register!$A$6:$A$305,ROW()-5),"")&lt;&gt;"",IFERROR(INDEX(Register!$D$6:$D$305,ROW()-5),"")="Proposed"),$BN43,0)</f>
        <v/>
      </c>
      <c r="BQ43" s="31">
        <f>IF(OR($A43="",$D$17=""),0,COUNTIF($D43:$P43,"&lt;0"))</f>
        <v/>
      </c>
      <c r="BR43" s="31">
        <f>IF(INDEX($A$63:$A$102,ROW()-6)="","",INDEX($A$63:$A$102,ROW()-6))</f>
        <v/>
      </c>
      <c r="BS43" s="31">
        <f>IF(INDEX($A$63:$A$102,ROW()-6)="","",INDEX($A$63:$A$102,ROW()-6))</f>
        <v/>
      </c>
    </row>
    <row r="44">
      <c r="A44" s="31">
        <f>IF(INDEX($A$63:$A$102,ROW()-17)="","",INDEX($A$63:$A$102,ROW()-17))</f>
        <v/>
      </c>
      <c r="B44" s="31">
        <f>IF(OR($A44="",$D$17=""),"",IF($BQ44=0,"○ Clear","△ "&amp;$BQ44&amp;IF($BQ44=1," week"," weeks")&amp;" over, from "&amp;TEXT(SUMPRODUCT(MIN($D$17:$P$17+($D44:$P44&gt;=0)*100000)),"d mmm")))</f>
        <v/>
      </c>
      <c r="C44" s="32">
        <f>IF($A44="","",IF(AND(ISNUMBER(INDEX($B$63:$B$102,ROW()-17)),INDEX($S$63:$S$102,ROW()-17)=0),INDEX($B$63:$B$102,ROW()-17),IF($C$7="",$B$7,5)))</f>
        <v/>
      </c>
      <c r="D44" s="51">
        <f>IF(OR($A44="",$D$17=""),"",ROUND(Z44-AM44,2))</f>
        <v/>
      </c>
      <c r="E44" s="51">
        <f>IF(OR($A44="",$D$17=""),"",ROUND(AA44-AN44,2))</f>
        <v/>
      </c>
      <c r="F44" s="51">
        <f>IF(OR($A44="",$D$17=""),"",ROUND(AB44-AO44,2))</f>
        <v/>
      </c>
      <c r="G44" s="51">
        <f>IF(OR($A44="",$D$17=""),"",ROUND(AC44-AP44,2))</f>
        <v/>
      </c>
      <c r="H44" s="51">
        <f>IF(OR($A44="",$D$17=""),"",ROUND(AD44-AQ44,2))</f>
        <v/>
      </c>
      <c r="I44" s="51">
        <f>IF(OR($A44="",$D$17=""),"",ROUND(AE44-AR44,2))</f>
        <v/>
      </c>
      <c r="J44" s="51">
        <f>IF(OR($A44="",$D$17=""),"",ROUND(AF44-AS44,2))</f>
        <v/>
      </c>
      <c r="K44" s="51">
        <f>IF(OR($A44="",$D$17=""),"",ROUND(AG44-AT44,2))</f>
        <v/>
      </c>
      <c r="L44" s="51">
        <f>IF(OR($A44="",$D$17=""),"",ROUND(AH44-AU44,2))</f>
        <v/>
      </c>
      <c r="M44" s="51">
        <f>IF(OR($A44="",$D$17=""),"",ROUND(AI44-AV44,2))</f>
        <v/>
      </c>
      <c r="N44" s="51">
        <f>IF(OR($A44="",$D$17=""),"",ROUND(AJ44-AW44,2))</f>
        <v/>
      </c>
      <c r="O44" s="51">
        <f>IF(OR($A44="",$D$17=""),"",ROUND(AK44-AX44,2))</f>
        <v/>
      </c>
      <c r="P44" s="51">
        <f>IF(OR($A44="",$D$17=""),"",ROUND(AL44-AY44,2))</f>
        <v/>
      </c>
      <c r="Q44" s="31">
        <f>IF(OR($A44="",$D$17=""),"",IF(SUM($AZ44:$BL44)=0,"",IF($BM44=0,"Fits","Over in "&amp;$BM44&amp;IF($BM44=1," week"," weeks")&amp;" if approved")))</f>
        <v/>
      </c>
      <c r="Z44" s="31">
        <f>IF(OR($A44="",$D$17=""),"",MAX(0,$C44-SUMIFS($D$106:$D$135,$A$106:$A$135,$A44,$B$106:$B$135,"&lt;="&amp;D$17,$C$106:$C$135,"&gt;="&amp;D$17,$S$106:$S$135,0)-SUMIFS($D$106:$D$135,$A$106:$A$135,"Everyone",$B$106:$B$135,"&lt;="&amp;D$17,$C$106:$C$135,"&gt;="&amp;D$17,$S$106:$S$135,0)))</f>
        <v/>
      </c>
      <c r="AA44" s="31">
        <f>IF(OR($A44="",$D$17=""),"",MAX(0,$C44-SUMIFS($D$106:$D$135,$A$106:$A$135,$A44,$B$106:$B$135,"&lt;="&amp;E$17,$C$106:$C$135,"&gt;="&amp;E$17,$S$106:$S$135,0)-SUMIFS($D$106:$D$135,$A$106:$A$135,"Everyone",$B$106:$B$135,"&lt;="&amp;E$17,$C$106:$C$135,"&gt;="&amp;E$17,$S$106:$S$135,0)))</f>
        <v/>
      </c>
      <c r="AB44" s="31">
        <f>IF(OR($A44="",$D$17=""),"",MAX(0,$C44-SUMIFS($D$106:$D$135,$A$106:$A$135,$A44,$B$106:$B$135,"&lt;="&amp;F$17,$C$106:$C$135,"&gt;="&amp;F$17,$S$106:$S$135,0)-SUMIFS($D$106:$D$135,$A$106:$A$135,"Everyone",$B$106:$B$135,"&lt;="&amp;F$17,$C$106:$C$135,"&gt;="&amp;F$17,$S$106:$S$135,0)))</f>
        <v/>
      </c>
      <c r="AC44" s="31">
        <f>IF(OR($A44="",$D$17=""),"",MAX(0,$C44-SUMIFS($D$106:$D$135,$A$106:$A$135,$A44,$B$106:$B$135,"&lt;="&amp;G$17,$C$106:$C$135,"&gt;="&amp;G$17,$S$106:$S$135,0)-SUMIFS($D$106:$D$135,$A$106:$A$135,"Everyone",$B$106:$B$135,"&lt;="&amp;G$17,$C$106:$C$135,"&gt;="&amp;G$17,$S$106:$S$135,0)))</f>
        <v/>
      </c>
      <c r="AD44" s="31">
        <f>IF(OR($A44="",$D$17=""),"",MAX(0,$C44-SUMIFS($D$106:$D$135,$A$106:$A$135,$A44,$B$106:$B$135,"&lt;="&amp;H$17,$C$106:$C$135,"&gt;="&amp;H$17,$S$106:$S$135,0)-SUMIFS($D$106:$D$135,$A$106:$A$135,"Everyone",$B$106:$B$135,"&lt;="&amp;H$17,$C$106:$C$135,"&gt;="&amp;H$17,$S$106:$S$135,0)))</f>
        <v/>
      </c>
      <c r="AE44" s="31">
        <f>IF(OR($A44="",$D$17=""),"",MAX(0,$C44-SUMIFS($D$106:$D$135,$A$106:$A$135,$A44,$B$106:$B$135,"&lt;="&amp;I$17,$C$106:$C$135,"&gt;="&amp;I$17,$S$106:$S$135,0)-SUMIFS($D$106:$D$135,$A$106:$A$135,"Everyone",$B$106:$B$135,"&lt;="&amp;I$17,$C$106:$C$135,"&gt;="&amp;I$17,$S$106:$S$135,0)))</f>
        <v/>
      </c>
      <c r="AF44" s="31">
        <f>IF(OR($A44="",$D$17=""),"",MAX(0,$C44-SUMIFS($D$106:$D$135,$A$106:$A$135,$A44,$B$106:$B$135,"&lt;="&amp;J$17,$C$106:$C$135,"&gt;="&amp;J$17,$S$106:$S$135,0)-SUMIFS($D$106:$D$135,$A$106:$A$135,"Everyone",$B$106:$B$135,"&lt;="&amp;J$17,$C$106:$C$135,"&gt;="&amp;J$17,$S$106:$S$135,0)))</f>
        <v/>
      </c>
      <c r="AG44" s="31">
        <f>IF(OR($A44="",$D$17=""),"",MAX(0,$C44-SUMIFS($D$106:$D$135,$A$106:$A$135,$A44,$B$106:$B$135,"&lt;="&amp;K$17,$C$106:$C$135,"&gt;="&amp;K$17,$S$106:$S$135,0)-SUMIFS($D$106:$D$135,$A$106:$A$135,"Everyone",$B$106:$B$135,"&lt;="&amp;K$17,$C$106:$C$135,"&gt;="&amp;K$17,$S$106:$S$135,0)))</f>
        <v/>
      </c>
      <c r="AH44" s="31">
        <f>IF(OR($A44="",$D$17=""),"",MAX(0,$C44-SUMIFS($D$106:$D$135,$A$106:$A$135,$A44,$B$106:$B$135,"&lt;="&amp;L$17,$C$106:$C$135,"&gt;="&amp;L$17,$S$106:$S$135,0)-SUMIFS($D$106:$D$135,$A$106:$A$135,"Everyone",$B$106:$B$135,"&lt;="&amp;L$17,$C$106:$C$135,"&gt;="&amp;L$17,$S$106:$S$135,0)))</f>
        <v/>
      </c>
      <c r="AI44" s="31">
        <f>IF(OR($A44="",$D$17=""),"",MAX(0,$C44-SUMIFS($D$106:$D$135,$A$106:$A$135,$A44,$B$106:$B$135,"&lt;="&amp;M$17,$C$106:$C$135,"&gt;="&amp;M$17,$S$106:$S$135,0)-SUMIFS($D$106:$D$135,$A$106:$A$135,"Everyone",$B$106:$B$135,"&lt;="&amp;M$17,$C$106:$C$135,"&gt;="&amp;M$17,$S$106:$S$135,0)))</f>
        <v/>
      </c>
      <c r="AJ44" s="31">
        <f>IF(OR($A44="",$D$17=""),"",MAX(0,$C44-SUMIFS($D$106:$D$135,$A$106:$A$135,$A44,$B$106:$B$135,"&lt;="&amp;N$17,$C$106:$C$135,"&gt;="&amp;N$17,$S$106:$S$135,0)-SUMIFS($D$106:$D$135,$A$106:$A$135,"Everyone",$B$106:$B$135,"&lt;="&amp;N$17,$C$106:$C$135,"&gt;="&amp;N$17,$S$106:$S$135,0)))</f>
        <v/>
      </c>
      <c r="AK44" s="31">
        <f>IF(OR($A44="",$D$17=""),"",MAX(0,$C44-SUMIFS($D$106:$D$135,$A$106:$A$135,$A44,$B$106:$B$135,"&lt;="&amp;O$17,$C$106:$C$135,"&gt;="&amp;O$17,$S$106:$S$135,0)-SUMIFS($D$106:$D$135,$A$106:$A$135,"Everyone",$B$106:$B$135,"&lt;="&amp;O$17,$C$106:$C$135,"&gt;="&amp;O$17,$S$106:$S$135,0)))</f>
        <v/>
      </c>
      <c r="AL44" s="31">
        <f>IF(OR($A44="",$D$17=""),"",MAX(0,$C44-SUMIFS($D$106:$D$135,$A$106:$A$135,$A44,$B$106:$B$135,"&lt;="&amp;P$17,$C$106:$C$135,"&gt;="&amp;P$17,$S$106:$S$135,0)-SUMIFS($D$106:$D$135,$A$106:$A$135,"Everyone",$B$106:$B$135,"&lt;="&amp;P$17,$C$106:$C$135,"&gt;="&amp;P$17,$S$106:$S$135,0)))</f>
        <v/>
      </c>
      <c r="AM44" s="31">
        <f>IF($A44="","",SUMIFS($E$139:$E$288,$B$139:$B$288,$A44,$U$139:$U$288,1,$Y$139:$Y$288,1,$C$139:$C$288,"&lt;="&amp;D$17,$D$139:$D$288,"&gt;="&amp;D$17))</f>
        <v/>
      </c>
      <c r="AN44" s="31">
        <f>IF($A44="","",SUMIFS($E$139:$E$288,$B$139:$B$288,$A44,$U$139:$U$288,1,$Y$139:$Y$288,1,$C$139:$C$288,"&lt;="&amp;E$17,$D$139:$D$288,"&gt;="&amp;E$17))</f>
        <v/>
      </c>
      <c r="AO44" s="31">
        <f>IF($A44="","",SUMIFS($E$139:$E$288,$B$139:$B$288,$A44,$U$139:$U$288,1,$Y$139:$Y$288,1,$C$139:$C$288,"&lt;="&amp;F$17,$D$139:$D$288,"&gt;="&amp;F$17))</f>
        <v/>
      </c>
      <c r="AP44" s="31">
        <f>IF($A44="","",SUMIFS($E$139:$E$288,$B$139:$B$288,$A44,$U$139:$U$288,1,$Y$139:$Y$288,1,$C$139:$C$288,"&lt;="&amp;G$17,$D$139:$D$288,"&gt;="&amp;G$17))</f>
        <v/>
      </c>
      <c r="AQ44" s="31">
        <f>IF($A44="","",SUMIFS($E$139:$E$288,$B$139:$B$288,$A44,$U$139:$U$288,1,$Y$139:$Y$288,1,$C$139:$C$288,"&lt;="&amp;H$17,$D$139:$D$288,"&gt;="&amp;H$17))</f>
        <v/>
      </c>
      <c r="AR44" s="31">
        <f>IF($A44="","",SUMIFS($E$139:$E$288,$B$139:$B$288,$A44,$U$139:$U$288,1,$Y$139:$Y$288,1,$C$139:$C$288,"&lt;="&amp;I$17,$D$139:$D$288,"&gt;="&amp;I$17))</f>
        <v/>
      </c>
      <c r="AS44" s="31">
        <f>IF($A44="","",SUMIFS($E$139:$E$288,$B$139:$B$288,$A44,$U$139:$U$288,1,$Y$139:$Y$288,1,$C$139:$C$288,"&lt;="&amp;J$17,$D$139:$D$288,"&gt;="&amp;J$17))</f>
        <v/>
      </c>
      <c r="AT44" s="31">
        <f>IF($A44="","",SUMIFS($E$139:$E$288,$B$139:$B$288,$A44,$U$139:$U$288,1,$Y$139:$Y$288,1,$C$139:$C$288,"&lt;="&amp;K$17,$D$139:$D$288,"&gt;="&amp;K$17))</f>
        <v/>
      </c>
      <c r="AU44" s="31">
        <f>IF($A44="","",SUMIFS($E$139:$E$288,$B$139:$B$288,$A44,$U$139:$U$288,1,$Y$139:$Y$288,1,$C$139:$C$288,"&lt;="&amp;L$17,$D$139:$D$288,"&gt;="&amp;L$17))</f>
        <v/>
      </c>
      <c r="AV44" s="31">
        <f>IF($A44="","",SUMIFS($E$139:$E$288,$B$139:$B$288,$A44,$U$139:$U$288,1,$Y$139:$Y$288,1,$C$139:$C$288,"&lt;="&amp;M$17,$D$139:$D$288,"&gt;="&amp;M$17))</f>
        <v/>
      </c>
      <c r="AW44" s="31">
        <f>IF($A44="","",SUMIFS($E$139:$E$288,$B$139:$B$288,$A44,$U$139:$U$288,1,$Y$139:$Y$288,1,$C$139:$C$288,"&lt;="&amp;N$17,$D$139:$D$288,"&gt;="&amp;N$17))</f>
        <v/>
      </c>
      <c r="AX44" s="31">
        <f>IF($A44="","",SUMIFS($E$139:$E$288,$B$139:$B$288,$A44,$U$139:$U$288,1,$Y$139:$Y$288,1,$C$139:$C$288,"&lt;="&amp;O$17,$D$139:$D$288,"&gt;="&amp;O$17))</f>
        <v/>
      </c>
      <c r="AY44" s="31">
        <f>IF($A44="","",SUMIFS($E$139:$E$288,$B$139:$B$288,$A44,$U$139:$U$288,1,$Y$139:$Y$288,1,$C$139:$C$288,"&lt;="&amp;P$17,$D$139:$D$288,"&gt;="&amp;P$17))</f>
        <v/>
      </c>
      <c r="AZ44" s="31">
        <f>IF($A44="","",SUMIFS($E$139:$E$288,$B$139:$B$288,$A44,$U$139:$U$288,2,$Y$139:$Y$288,1,$C$139:$C$288,"&lt;="&amp;D$17,$D$139:$D$288,"&gt;="&amp;D$17))</f>
        <v/>
      </c>
      <c r="BA44" s="31">
        <f>IF($A44="","",SUMIFS($E$139:$E$288,$B$139:$B$288,$A44,$U$139:$U$288,2,$Y$139:$Y$288,1,$C$139:$C$288,"&lt;="&amp;E$17,$D$139:$D$288,"&gt;="&amp;E$17))</f>
        <v/>
      </c>
      <c r="BB44" s="31">
        <f>IF($A44="","",SUMIFS($E$139:$E$288,$B$139:$B$288,$A44,$U$139:$U$288,2,$Y$139:$Y$288,1,$C$139:$C$288,"&lt;="&amp;F$17,$D$139:$D$288,"&gt;="&amp;F$17))</f>
        <v/>
      </c>
      <c r="BC44" s="31">
        <f>IF($A44="","",SUMIFS($E$139:$E$288,$B$139:$B$288,$A44,$U$139:$U$288,2,$Y$139:$Y$288,1,$C$139:$C$288,"&lt;="&amp;G$17,$D$139:$D$288,"&gt;="&amp;G$17))</f>
        <v/>
      </c>
      <c r="BD44" s="31">
        <f>IF($A44="","",SUMIFS($E$139:$E$288,$B$139:$B$288,$A44,$U$139:$U$288,2,$Y$139:$Y$288,1,$C$139:$C$288,"&lt;="&amp;H$17,$D$139:$D$288,"&gt;="&amp;H$17))</f>
        <v/>
      </c>
      <c r="BE44" s="31">
        <f>IF($A44="","",SUMIFS($E$139:$E$288,$B$139:$B$288,$A44,$U$139:$U$288,2,$Y$139:$Y$288,1,$C$139:$C$288,"&lt;="&amp;I$17,$D$139:$D$288,"&gt;="&amp;I$17))</f>
        <v/>
      </c>
      <c r="BF44" s="31">
        <f>IF($A44="","",SUMIFS($E$139:$E$288,$B$139:$B$288,$A44,$U$139:$U$288,2,$Y$139:$Y$288,1,$C$139:$C$288,"&lt;="&amp;J$17,$D$139:$D$288,"&gt;="&amp;J$17))</f>
        <v/>
      </c>
      <c r="BG44" s="31">
        <f>IF($A44="","",SUMIFS($E$139:$E$288,$B$139:$B$288,$A44,$U$139:$U$288,2,$Y$139:$Y$288,1,$C$139:$C$288,"&lt;="&amp;K$17,$D$139:$D$288,"&gt;="&amp;K$17))</f>
        <v/>
      </c>
      <c r="BH44" s="31">
        <f>IF($A44="","",SUMIFS($E$139:$E$288,$B$139:$B$288,$A44,$U$139:$U$288,2,$Y$139:$Y$288,1,$C$139:$C$288,"&lt;="&amp;L$17,$D$139:$D$288,"&gt;="&amp;L$17))</f>
        <v/>
      </c>
      <c r="BI44" s="31">
        <f>IF($A44="","",SUMIFS($E$139:$E$288,$B$139:$B$288,$A44,$U$139:$U$288,2,$Y$139:$Y$288,1,$C$139:$C$288,"&lt;="&amp;M$17,$D$139:$D$288,"&gt;="&amp;M$17))</f>
        <v/>
      </c>
      <c r="BJ44" s="31">
        <f>IF($A44="","",SUMIFS($E$139:$E$288,$B$139:$B$288,$A44,$U$139:$U$288,2,$Y$139:$Y$288,1,$C$139:$C$288,"&lt;="&amp;N$17,$D$139:$D$288,"&gt;="&amp;N$17))</f>
        <v/>
      </c>
      <c r="BK44" s="31">
        <f>IF($A44="","",SUMIFS($E$139:$E$288,$B$139:$B$288,$A44,$U$139:$U$288,2,$Y$139:$Y$288,1,$C$139:$C$288,"&lt;="&amp;O$17,$D$139:$D$288,"&gt;="&amp;O$17))</f>
        <v/>
      </c>
      <c r="BL44" s="31">
        <f>IF($A44="","",SUMIFS($E$139:$E$288,$B$139:$B$288,$A44,$U$139:$U$288,2,$Y$139:$Y$288,1,$C$139:$C$288,"&lt;="&amp;P$17,$D$139:$D$288,"&gt;="&amp;P$17))</f>
        <v/>
      </c>
      <c r="BM44" s="31">
        <f>IF(OR($A44="",$D$17=""),0,SUMPRODUCT(($D44:$P44&gt;=0)*(($D44:$P44-$AZ44:$BL44)&lt;0)))</f>
        <v/>
      </c>
      <c r="BN44" s="31">
        <f>IF(IFERROR(INDEX(Register!$A$6:$A$305,ROW()-5),"")="",0,SUMIF($A$139:$A$288,IFERROR(INDEX(Register!$A$6:$A$305,ROW()-5),""),$Z$139:$Z$288))</f>
        <v/>
      </c>
      <c r="BO44" s="31">
        <f>IF(OR(IFERROR(INDEX(Register!$A$6:$A$305,ROW()-5),"")="",SUM($Z$139:$Z$288)=0),0,IF(AND(IFERROR(INDEX(Register!$B$6:$B$305,ROW()-5),"")="Project",IFERROR(INDEX(Register!$D$6:$D$305,ROW()-5),"")="Active",IFERROR(INDEX(Register!$Z$6:$Z$305,ROW()-5),"")=1,$BN44=0),1,0))</f>
        <v/>
      </c>
      <c r="BP44" s="31">
        <f>IF(AND(IFERROR(INDEX(Register!$A$6:$A$305,ROW()-5),"")&lt;&gt;"",IFERROR(INDEX(Register!$D$6:$D$305,ROW()-5),"")="Proposed"),$BN44,0)</f>
        <v/>
      </c>
      <c r="BQ44" s="31">
        <f>IF(OR($A44="",$D$17=""),0,COUNTIF($D44:$P44,"&lt;0"))</f>
        <v/>
      </c>
      <c r="BR44" s="31">
        <f>IF(INDEX($A$63:$A$102,ROW()-6)="","",INDEX($A$63:$A$102,ROW()-6))</f>
        <v/>
      </c>
      <c r="BS44" s="31">
        <f>IF(INDEX($A$63:$A$102,ROW()-6)="","",INDEX($A$63:$A$102,ROW()-6))</f>
        <v/>
      </c>
    </row>
    <row r="45">
      <c r="A45" s="31">
        <f>IF(INDEX($A$63:$A$102,ROW()-17)="","",INDEX($A$63:$A$102,ROW()-17))</f>
        <v/>
      </c>
      <c r="B45" s="31">
        <f>IF(OR($A45="",$D$17=""),"",IF($BQ45=0,"○ Clear","△ "&amp;$BQ45&amp;IF($BQ45=1," week"," weeks")&amp;" over, from "&amp;TEXT(SUMPRODUCT(MIN($D$17:$P$17+($D45:$P45&gt;=0)*100000)),"d mmm")))</f>
        <v/>
      </c>
      <c r="C45" s="32">
        <f>IF($A45="","",IF(AND(ISNUMBER(INDEX($B$63:$B$102,ROW()-17)),INDEX($S$63:$S$102,ROW()-17)=0),INDEX($B$63:$B$102,ROW()-17),IF($C$7="",$B$7,5)))</f>
        <v/>
      </c>
      <c r="D45" s="51">
        <f>IF(OR($A45="",$D$17=""),"",ROUND(Z45-AM45,2))</f>
        <v/>
      </c>
      <c r="E45" s="51">
        <f>IF(OR($A45="",$D$17=""),"",ROUND(AA45-AN45,2))</f>
        <v/>
      </c>
      <c r="F45" s="51">
        <f>IF(OR($A45="",$D$17=""),"",ROUND(AB45-AO45,2))</f>
        <v/>
      </c>
      <c r="G45" s="51">
        <f>IF(OR($A45="",$D$17=""),"",ROUND(AC45-AP45,2))</f>
        <v/>
      </c>
      <c r="H45" s="51">
        <f>IF(OR($A45="",$D$17=""),"",ROUND(AD45-AQ45,2))</f>
        <v/>
      </c>
      <c r="I45" s="51">
        <f>IF(OR($A45="",$D$17=""),"",ROUND(AE45-AR45,2))</f>
        <v/>
      </c>
      <c r="J45" s="51">
        <f>IF(OR($A45="",$D$17=""),"",ROUND(AF45-AS45,2))</f>
        <v/>
      </c>
      <c r="K45" s="51">
        <f>IF(OR($A45="",$D$17=""),"",ROUND(AG45-AT45,2))</f>
        <v/>
      </c>
      <c r="L45" s="51">
        <f>IF(OR($A45="",$D$17=""),"",ROUND(AH45-AU45,2))</f>
        <v/>
      </c>
      <c r="M45" s="51">
        <f>IF(OR($A45="",$D$17=""),"",ROUND(AI45-AV45,2))</f>
        <v/>
      </c>
      <c r="N45" s="51">
        <f>IF(OR($A45="",$D$17=""),"",ROUND(AJ45-AW45,2))</f>
        <v/>
      </c>
      <c r="O45" s="51">
        <f>IF(OR($A45="",$D$17=""),"",ROUND(AK45-AX45,2))</f>
        <v/>
      </c>
      <c r="P45" s="51">
        <f>IF(OR($A45="",$D$17=""),"",ROUND(AL45-AY45,2))</f>
        <v/>
      </c>
      <c r="Q45" s="31">
        <f>IF(OR($A45="",$D$17=""),"",IF(SUM($AZ45:$BL45)=0,"",IF($BM45=0,"Fits","Over in "&amp;$BM45&amp;IF($BM45=1," week"," weeks")&amp;" if approved")))</f>
        <v/>
      </c>
      <c r="Z45" s="31">
        <f>IF(OR($A45="",$D$17=""),"",MAX(0,$C45-SUMIFS($D$106:$D$135,$A$106:$A$135,$A45,$B$106:$B$135,"&lt;="&amp;D$17,$C$106:$C$135,"&gt;="&amp;D$17,$S$106:$S$135,0)-SUMIFS($D$106:$D$135,$A$106:$A$135,"Everyone",$B$106:$B$135,"&lt;="&amp;D$17,$C$106:$C$135,"&gt;="&amp;D$17,$S$106:$S$135,0)))</f>
        <v/>
      </c>
      <c r="AA45" s="31">
        <f>IF(OR($A45="",$D$17=""),"",MAX(0,$C45-SUMIFS($D$106:$D$135,$A$106:$A$135,$A45,$B$106:$B$135,"&lt;="&amp;E$17,$C$106:$C$135,"&gt;="&amp;E$17,$S$106:$S$135,0)-SUMIFS($D$106:$D$135,$A$106:$A$135,"Everyone",$B$106:$B$135,"&lt;="&amp;E$17,$C$106:$C$135,"&gt;="&amp;E$17,$S$106:$S$135,0)))</f>
        <v/>
      </c>
      <c r="AB45" s="31">
        <f>IF(OR($A45="",$D$17=""),"",MAX(0,$C45-SUMIFS($D$106:$D$135,$A$106:$A$135,$A45,$B$106:$B$135,"&lt;="&amp;F$17,$C$106:$C$135,"&gt;="&amp;F$17,$S$106:$S$135,0)-SUMIFS($D$106:$D$135,$A$106:$A$135,"Everyone",$B$106:$B$135,"&lt;="&amp;F$17,$C$106:$C$135,"&gt;="&amp;F$17,$S$106:$S$135,0)))</f>
        <v/>
      </c>
      <c r="AC45" s="31">
        <f>IF(OR($A45="",$D$17=""),"",MAX(0,$C45-SUMIFS($D$106:$D$135,$A$106:$A$135,$A45,$B$106:$B$135,"&lt;="&amp;G$17,$C$106:$C$135,"&gt;="&amp;G$17,$S$106:$S$135,0)-SUMIFS($D$106:$D$135,$A$106:$A$135,"Everyone",$B$106:$B$135,"&lt;="&amp;G$17,$C$106:$C$135,"&gt;="&amp;G$17,$S$106:$S$135,0)))</f>
        <v/>
      </c>
      <c r="AD45" s="31">
        <f>IF(OR($A45="",$D$17=""),"",MAX(0,$C45-SUMIFS($D$106:$D$135,$A$106:$A$135,$A45,$B$106:$B$135,"&lt;="&amp;H$17,$C$106:$C$135,"&gt;="&amp;H$17,$S$106:$S$135,0)-SUMIFS($D$106:$D$135,$A$106:$A$135,"Everyone",$B$106:$B$135,"&lt;="&amp;H$17,$C$106:$C$135,"&gt;="&amp;H$17,$S$106:$S$135,0)))</f>
        <v/>
      </c>
      <c r="AE45" s="31">
        <f>IF(OR($A45="",$D$17=""),"",MAX(0,$C45-SUMIFS($D$106:$D$135,$A$106:$A$135,$A45,$B$106:$B$135,"&lt;="&amp;I$17,$C$106:$C$135,"&gt;="&amp;I$17,$S$106:$S$135,0)-SUMIFS($D$106:$D$135,$A$106:$A$135,"Everyone",$B$106:$B$135,"&lt;="&amp;I$17,$C$106:$C$135,"&gt;="&amp;I$17,$S$106:$S$135,0)))</f>
        <v/>
      </c>
      <c r="AF45" s="31">
        <f>IF(OR($A45="",$D$17=""),"",MAX(0,$C45-SUMIFS($D$106:$D$135,$A$106:$A$135,$A45,$B$106:$B$135,"&lt;="&amp;J$17,$C$106:$C$135,"&gt;="&amp;J$17,$S$106:$S$135,0)-SUMIFS($D$106:$D$135,$A$106:$A$135,"Everyone",$B$106:$B$135,"&lt;="&amp;J$17,$C$106:$C$135,"&gt;="&amp;J$17,$S$106:$S$135,0)))</f>
        <v/>
      </c>
      <c r="AG45" s="31">
        <f>IF(OR($A45="",$D$17=""),"",MAX(0,$C45-SUMIFS($D$106:$D$135,$A$106:$A$135,$A45,$B$106:$B$135,"&lt;="&amp;K$17,$C$106:$C$135,"&gt;="&amp;K$17,$S$106:$S$135,0)-SUMIFS($D$106:$D$135,$A$106:$A$135,"Everyone",$B$106:$B$135,"&lt;="&amp;K$17,$C$106:$C$135,"&gt;="&amp;K$17,$S$106:$S$135,0)))</f>
        <v/>
      </c>
      <c r="AH45" s="31">
        <f>IF(OR($A45="",$D$17=""),"",MAX(0,$C45-SUMIFS($D$106:$D$135,$A$106:$A$135,$A45,$B$106:$B$135,"&lt;="&amp;L$17,$C$106:$C$135,"&gt;="&amp;L$17,$S$106:$S$135,0)-SUMIFS($D$106:$D$135,$A$106:$A$135,"Everyone",$B$106:$B$135,"&lt;="&amp;L$17,$C$106:$C$135,"&gt;="&amp;L$17,$S$106:$S$135,0)))</f>
        <v/>
      </c>
      <c r="AI45" s="31">
        <f>IF(OR($A45="",$D$17=""),"",MAX(0,$C45-SUMIFS($D$106:$D$135,$A$106:$A$135,$A45,$B$106:$B$135,"&lt;="&amp;M$17,$C$106:$C$135,"&gt;="&amp;M$17,$S$106:$S$135,0)-SUMIFS($D$106:$D$135,$A$106:$A$135,"Everyone",$B$106:$B$135,"&lt;="&amp;M$17,$C$106:$C$135,"&gt;="&amp;M$17,$S$106:$S$135,0)))</f>
        <v/>
      </c>
      <c r="AJ45" s="31">
        <f>IF(OR($A45="",$D$17=""),"",MAX(0,$C45-SUMIFS($D$106:$D$135,$A$106:$A$135,$A45,$B$106:$B$135,"&lt;="&amp;N$17,$C$106:$C$135,"&gt;="&amp;N$17,$S$106:$S$135,0)-SUMIFS($D$106:$D$135,$A$106:$A$135,"Everyone",$B$106:$B$135,"&lt;="&amp;N$17,$C$106:$C$135,"&gt;="&amp;N$17,$S$106:$S$135,0)))</f>
        <v/>
      </c>
      <c r="AK45" s="31">
        <f>IF(OR($A45="",$D$17=""),"",MAX(0,$C45-SUMIFS($D$106:$D$135,$A$106:$A$135,$A45,$B$106:$B$135,"&lt;="&amp;O$17,$C$106:$C$135,"&gt;="&amp;O$17,$S$106:$S$135,0)-SUMIFS($D$106:$D$135,$A$106:$A$135,"Everyone",$B$106:$B$135,"&lt;="&amp;O$17,$C$106:$C$135,"&gt;="&amp;O$17,$S$106:$S$135,0)))</f>
        <v/>
      </c>
      <c r="AL45" s="31">
        <f>IF(OR($A45="",$D$17=""),"",MAX(0,$C45-SUMIFS($D$106:$D$135,$A$106:$A$135,$A45,$B$106:$B$135,"&lt;="&amp;P$17,$C$106:$C$135,"&gt;="&amp;P$17,$S$106:$S$135,0)-SUMIFS($D$106:$D$135,$A$106:$A$135,"Everyone",$B$106:$B$135,"&lt;="&amp;P$17,$C$106:$C$135,"&gt;="&amp;P$17,$S$106:$S$135,0)))</f>
        <v/>
      </c>
      <c r="AM45" s="31">
        <f>IF($A45="","",SUMIFS($E$139:$E$288,$B$139:$B$288,$A45,$U$139:$U$288,1,$Y$139:$Y$288,1,$C$139:$C$288,"&lt;="&amp;D$17,$D$139:$D$288,"&gt;="&amp;D$17))</f>
        <v/>
      </c>
      <c r="AN45" s="31">
        <f>IF($A45="","",SUMIFS($E$139:$E$288,$B$139:$B$288,$A45,$U$139:$U$288,1,$Y$139:$Y$288,1,$C$139:$C$288,"&lt;="&amp;E$17,$D$139:$D$288,"&gt;="&amp;E$17))</f>
        <v/>
      </c>
      <c r="AO45" s="31">
        <f>IF($A45="","",SUMIFS($E$139:$E$288,$B$139:$B$288,$A45,$U$139:$U$288,1,$Y$139:$Y$288,1,$C$139:$C$288,"&lt;="&amp;F$17,$D$139:$D$288,"&gt;="&amp;F$17))</f>
        <v/>
      </c>
      <c r="AP45" s="31">
        <f>IF($A45="","",SUMIFS($E$139:$E$288,$B$139:$B$288,$A45,$U$139:$U$288,1,$Y$139:$Y$288,1,$C$139:$C$288,"&lt;="&amp;G$17,$D$139:$D$288,"&gt;="&amp;G$17))</f>
        <v/>
      </c>
      <c r="AQ45" s="31">
        <f>IF($A45="","",SUMIFS($E$139:$E$288,$B$139:$B$288,$A45,$U$139:$U$288,1,$Y$139:$Y$288,1,$C$139:$C$288,"&lt;="&amp;H$17,$D$139:$D$288,"&gt;="&amp;H$17))</f>
        <v/>
      </c>
      <c r="AR45" s="31">
        <f>IF($A45="","",SUMIFS($E$139:$E$288,$B$139:$B$288,$A45,$U$139:$U$288,1,$Y$139:$Y$288,1,$C$139:$C$288,"&lt;="&amp;I$17,$D$139:$D$288,"&gt;="&amp;I$17))</f>
        <v/>
      </c>
      <c r="AS45" s="31">
        <f>IF($A45="","",SUMIFS($E$139:$E$288,$B$139:$B$288,$A45,$U$139:$U$288,1,$Y$139:$Y$288,1,$C$139:$C$288,"&lt;="&amp;J$17,$D$139:$D$288,"&gt;="&amp;J$17))</f>
        <v/>
      </c>
      <c r="AT45" s="31">
        <f>IF($A45="","",SUMIFS($E$139:$E$288,$B$139:$B$288,$A45,$U$139:$U$288,1,$Y$139:$Y$288,1,$C$139:$C$288,"&lt;="&amp;K$17,$D$139:$D$288,"&gt;="&amp;K$17))</f>
        <v/>
      </c>
      <c r="AU45" s="31">
        <f>IF($A45="","",SUMIFS($E$139:$E$288,$B$139:$B$288,$A45,$U$139:$U$288,1,$Y$139:$Y$288,1,$C$139:$C$288,"&lt;="&amp;L$17,$D$139:$D$288,"&gt;="&amp;L$17))</f>
        <v/>
      </c>
      <c r="AV45" s="31">
        <f>IF($A45="","",SUMIFS($E$139:$E$288,$B$139:$B$288,$A45,$U$139:$U$288,1,$Y$139:$Y$288,1,$C$139:$C$288,"&lt;="&amp;M$17,$D$139:$D$288,"&gt;="&amp;M$17))</f>
        <v/>
      </c>
      <c r="AW45" s="31">
        <f>IF($A45="","",SUMIFS($E$139:$E$288,$B$139:$B$288,$A45,$U$139:$U$288,1,$Y$139:$Y$288,1,$C$139:$C$288,"&lt;="&amp;N$17,$D$139:$D$288,"&gt;="&amp;N$17))</f>
        <v/>
      </c>
      <c r="AX45" s="31">
        <f>IF($A45="","",SUMIFS($E$139:$E$288,$B$139:$B$288,$A45,$U$139:$U$288,1,$Y$139:$Y$288,1,$C$139:$C$288,"&lt;="&amp;O$17,$D$139:$D$288,"&gt;="&amp;O$17))</f>
        <v/>
      </c>
      <c r="AY45" s="31">
        <f>IF($A45="","",SUMIFS($E$139:$E$288,$B$139:$B$288,$A45,$U$139:$U$288,1,$Y$139:$Y$288,1,$C$139:$C$288,"&lt;="&amp;P$17,$D$139:$D$288,"&gt;="&amp;P$17))</f>
        <v/>
      </c>
      <c r="AZ45" s="31">
        <f>IF($A45="","",SUMIFS($E$139:$E$288,$B$139:$B$288,$A45,$U$139:$U$288,2,$Y$139:$Y$288,1,$C$139:$C$288,"&lt;="&amp;D$17,$D$139:$D$288,"&gt;="&amp;D$17))</f>
        <v/>
      </c>
      <c r="BA45" s="31">
        <f>IF($A45="","",SUMIFS($E$139:$E$288,$B$139:$B$288,$A45,$U$139:$U$288,2,$Y$139:$Y$288,1,$C$139:$C$288,"&lt;="&amp;E$17,$D$139:$D$288,"&gt;="&amp;E$17))</f>
        <v/>
      </c>
      <c r="BB45" s="31">
        <f>IF($A45="","",SUMIFS($E$139:$E$288,$B$139:$B$288,$A45,$U$139:$U$288,2,$Y$139:$Y$288,1,$C$139:$C$288,"&lt;="&amp;F$17,$D$139:$D$288,"&gt;="&amp;F$17))</f>
        <v/>
      </c>
      <c r="BC45" s="31">
        <f>IF($A45="","",SUMIFS($E$139:$E$288,$B$139:$B$288,$A45,$U$139:$U$288,2,$Y$139:$Y$288,1,$C$139:$C$288,"&lt;="&amp;G$17,$D$139:$D$288,"&gt;="&amp;G$17))</f>
        <v/>
      </c>
      <c r="BD45" s="31">
        <f>IF($A45="","",SUMIFS($E$139:$E$288,$B$139:$B$288,$A45,$U$139:$U$288,2,$Y$139:$Y$288,1,$C$139:$C$288,"&lt;="&amp;H$17,$D$139:$D$288,"&gt;="&amp;H$17))</f>
        <v/>
      </c>
      <c r="BE45" s="31">
        <f>IF($A45="","",SUMIFS($E$139:$E$288,$B$139:$B$288,$A45,$U$139:$U$288,2,$Y$139:$Y$288,1,$C$139:$C$288,"&lt;="&amp;I$17,$D$139:$D$288,"&gt;="&amp;I$17))</f>
        <v/>
      </c>
      <c r="BF45" s="31">
        <f>IF($A45="","",SUMIFS($E$139:$E$288,$B$139:$B$288,$A45,$U$139:$U$288,2,$Y$139:$Y$288,1,$C$139:$C$288,"&lt;="&amp;J$17,$D$139:$D$288,"&gt;="&amp;J$17))</f>
        <v/>
      </c>
      <c r="BG45" s="31">
        <f>IF($A45="","",SUMIFS($E$139:$E$288,$B$139:$B$288,$A45,$U$139:$U$288,2,$Y$139:$Y$288,1,$C$139:$C$288,"&lt;="&amp;K$17,$D$139:$D$288,"&gt;="&amp;K$17))</f>
        <v/>
      </c>
      <c r="BH45" s="31">
        <f>IF($A45="","",SUMIFS($E$139:$E$288,$B$139:$B$288,$A45,$U$139:$U$288,2,$Y$139:$Y$288,1,$C$139:$C$288,"&lt;="&amp;L$17,$D$139:$D$288,"&gt;="&amp;L$17))</f>
        <v/>
      </c>
      <c r="BI45" s="31">
        <f>IF($A45="","",SUMIFS($E$139:$E$288,$B$139:$B$288,$A45,$U$139:$U$288,2,$Y$139:$Y$288,1,$C$139:$C$288,"&lt;="&amp;M$17,$D$139:$D$288,"&gt;="&amp;M$17))</f>
        <v/>
      </c>
      <c r="BJ45" s="31">
        <f>IF($A45="","",SUMIFS($E$139:$E$288,$B$139:$B$288,$A45,$U$139:$U$288,2,$Y$139:$Y$288,1,$C$139:$C$288,"&lt;="&amp;N$17,$D$139:$D$288,"&gt;="&amp;N$17))</f>
        <v/>
      </c>
      <c r="BK45" s="31">
        <f>IF($A45="","",SUMIFS($E$139:$E$288,$B$139:$B$288,$A45,$U$139:$U$288,2,$Y$139:$Y$288,1,$C$139:$C$288,"&lt;="&amp;O$17,$D$139:$D$288,"&gt;="&amp;O$17))</f>
        <v/>
      </c>
      <c r="BL45" s="31">
        <f>IF($A45="","",SUMIFS($E$139:$E$288,$B$139:$B$288,$A45,$U$139:$U$288,2,$Y$139:$Y$288,1,$C$139:$C$288,"&lt;="&amp;P$17,$D$139:$D$288,"&gt;="&amp;P$17))</f>
        <v/>
      </c>
      <c r="BM45" s="31">
        <f>IF(OR($A45="",$D$17=""),0,SUMPRODUCT(($D45:$P45&gt;=0)*(($D45:$P45-$AZ45:$BL45)&lt;0)))</f>
        <v/>
      </c>
      <c r="BN45" s="31">
        <f>IF(IFERROR(INDEX(Register!$A$6:$A$305,ROW()-5),"")="",0,SUMIF($A$139:$A$288,IFERROR(INDEX(Register!$A$6:$A$305,ROW()-5),""),$Z$139:$Z$288))</f>
        <v/>
      </c>
      <c r="BO45" s="31">
        <f>IF(OR(IFERROR(INDEX(Register!$A$6:$A$305,ROW()-5),"")="",SUM($Z$139:$Z$288)=0),0,IF(AND(IFERROR(INDEX(Register!$B$6:$B$305,ROW()-5),"")="Project",IFERROR(INDEX(Register!$D$6:$D$305,ROW()-5),"")="Active",IFERROR(INDEX(Register!$Z$6:$Z$305,ROW()-5),"")=1,$BN45=0),1,0))</f>
        <v/>
      </c>
      <c r="BP45" s="31">
        <f>IF(AND(IFERROR(INDEX(Register!$A$6:$A$305,ROW()-5),"")&lt;&gt;"",IFERROR(INDEX(Register!$D$6:$D$305,ROW()-5),"")="Proposed"),$BN45,0)</f>
        <v/>
      </c>
      <c r="BQ45" s="31">
        <f>IF(OR($A45="",$D$17=""),0,COUNTIF($D45:$P45,"&lt;0"))</f>
        <v/>
      </c>
      <c r="BR45" s="31">
        <f>IF(INDEX($A$63:$A$102,ROW()-6)="","",INDEX($A$63:$A$102,ROW()-6))</f>
        <v/>
      </c>
      <c r="BS45" s="31">
        <f>IF(INDEX($A$63:$A$102,ROW()-6)="","",INDEX($A$63:$A$102,ROW()-6))</f>
        <v/>
      </c>
    </row>
    <row r="46">
      <c r="A46" s="31">
        <f>IF(INDEX($A$63:$A$102,ROW()-17)="","",INDEX($A$63:$A$102,ROW()-17))</f>
        <v/>
      </c>
      <c r="B46" s="31">
        <f>IF(OR($A46="",$D$17=""),"",IF($BQ46=0,"○ Clear","△ "&amp;$BQ46&amp;IF($BQ46=1," week"," weeks")&amp;" over, from "&amp;TEXT(SUMPRODUCT(MIN($D$17:$P$17+($D46:$P46&gt;=0)*100000)),"d mmm")))</f>
        <v/>
      </c>
      <c r="C46" s="32">
        <f>IF($A46="","",IF(AND(ISNUMBER(INDEX($B$63:$B$102,ROW()-17)),INDEX($S$63:$S$102,ROW()-17)=0),INDEX($B$63:$B$102,ROW()-17),IF($C$7="",$B$7,5)))</f>
        <v/>
      </c>
      <c r="D46" s="51">
        <f>IF(OR($A46="",$D$17=""),"",ROUND(Z46-AM46,2))</f>
        <v/>
      </c>
      <c r="E46" s="51">
        <f>IF(OR($A46="",$D$17=""),"",ROUND(AA46-AN46,2))</f>
        <v/>
      </c>
      <c r="F46" s="51">
        <f>IF(OR($A46="",$D$17=""),"",ROUND(AB46-AO46,2))</f>
        <v/>
      </c>
      <c r="G46" s="51">
        <f>IF(OR($A46="",$D$17=""),"",ROUND(AC46-AP46,2))</f>
        <v/>
      </c>
      <c r="H46" s="51">
        <f>IF(OR($A46="",$D$17=""),"",ROUND(AD46-AQ46,2))</f>
        <v/>
      </c>
      <c r="I46" s="51">
        <f>IF(OR($A46="",$D$17=""),"",ROUND(AE46-AR46,2))</f>
        <v/>
      </c>
      <c r="J46" s="51">
        <f>IF(OR($A46="",$D$17=""),"",ROUND(AF46-AS46,2))</f>
        <v/>
      </c>
      <c r="K46" s="51">
        <f>IF(OR($A46="",$D$17=""),"",ROUND(AG46-AT46,2))</f>
        <v/>
      </c>
      <c r="L46" s="51">
        <f>IF(OR($A46="",$D$17=""),"",ROUND(AH46-AU46,2))</f>
        <v/>
      </c>
      <c r="M46" s="51">
        <f>IF(OR($A46="",$D$17=""),"",ROUND(AI46-AV46,2))</f>
        <v/>
      </c>
      <c r="N46" s="51">
        <f>IF(OR($A46="",$D$17=""),"",ROUND(AJ46-AW46,2))</f>
        <v/>
      </c>
      <c r="O46" s="51">
        <f>IF(OR($A46="",$D$17=""),"",ROUND(AK46-AX46,2))</f>
        <v/>
      </c>
      <c r="P46" s="51">
        <f>IF(OR($A46="",$D$17=""),"",ROUND(AL46-AY46,2))</f>
        <v/>
      </c>
      <c r="Q46" s="31">
        <f>IF(OR($A46="",$D$17=""),"",IF(SUM($AZ46:$BL46)=0,"",IF($BM46=0,"Fits","Over in "&amp;$BM46&amp;IF($BM46=1," week"," weeks")&amp;" if approved")))</f>
        <v/>
      </c>
      <c r="Z46" s="31">
        <f>IF(OR($A46="",$D$17=""),"",MAX(0,$C46-SUMIFS($D$106:$D$135,$A$106:$A$135,$A46,$B$106:$B$135,"&lt;="&amp;D$17,$C$106:$C$135,"&gt;="&amp;D$17,$S$106:$S$135,0)-SUMIFS($D$106:$D$135,$A$106:$A$135,"Everyone",$B$106:$B$135,"&lt;="&amp;D$17,$C$106:$C$135,"&gt;="&amp;D$17,$S$106:$S$135,0)))</f>
        <v/>
      </c>
      <c r="AA46" s="31">
        <f>IF(OR($A46="",$D$17=""),"",MAX(0,$C46-SUMIFS($D$106:$D$135,$A$106:$A$135,$A46,$B$106:$B$135,"&lt;="&amp;E$17,$C$106:$C$135,"&gt;="&amp;E$17,$S$106:$S$135,0)-SUMIFS($D$106:$D$135,$A$106:$A$135,"Everyone",$B$106:$B$135,"&lt;="&amp;E$17,$C$106:$C$135,"&gt;="&amp;E$17,$S$106:$S$135,0)))</f>
        <v/>
      </c>
      <c r="AB46" s="31">
        <f>IF(OR($A46="",$D$17=""),"",MAX(0,$C46-SUMIFS($D$106:$D$135,$A$106:$A$135,$A46,$B$106:$B$135,"&lt;="&amp;F$17,$C$106:$C$135,"&gt;="&amp;F$17,$S$106:$S$135,0)-SUMIFS($D$106:$D$135,$A$106:$A$135,"Everyone",$B$106:$B$135,"&lt;="&amp;F$17,$C$106:$C$135,"&gt;="&amp;F$17,$S$106:$S$135,0)))</f>
        <v/>
      </c>
      <c r="AC46" s="31">
        <f>IF(OR($A46="",$D$17=""),"",MAX(0,$C46-SUMIFS($D$106:$D$135,$A$106:$A$135,$A46,$B$106:$B$135,"&lt;="&amp;G$17,$C$106:$C$135,"&gt;="&amp;G$17,$S$106:$S$135,0)-SUMIFS($D$106:$D$135,$A$106:$A$135,"Everyone",$B$106:$B$135,"&lt;="&amp;G$17,$C$106:$C$135,"&gt;="&amp;G$17,$S$106:$S$135,0)))</f>
        <v/>
      </c>
      <c r="AD46" s="31">
        <f>IF(OR($A46="",$D$17=""),"",MAX(0,$C46-SUMIFS($D$106:$D$135,$A$106:$A$135,$A46,$B$106:$B$135,"&lt;="&amp;H$17,$C$106:$C$135,"&gt;="&amp;H$17,$S$106:$S$135,0)-SUMIFS($D$106:$D$135,$A$106:$A$135,"Everyone",$B$106:$B$135,"&lt;="&amp;H$17,$C$106:$C$135,"&gt;="&amp;H$17,$S$106:$S$135,0)))</f>
        <v/>
      </c>
      <c r="AE46" s="31">
        <f>IF(OR($A46="",$D$17=""),"",MAX(0,$C46-SUMIFS($D$106:$D$135,$A$106:$A$135,$A46,$B$106:$B$135,"&lt;="&amp;I$17,$C$106:$C$135,"&gt;="&amp;I$17,$S$106:$S$135,0)-SUMIFS($D$106:$D$135,$A$106:$A$135,"Everyone",$B$106:$B$135,"&lt;="&amp;I$17,$C$106:$C$135,"&gt;="&amp;I$17,$S$106:$S$135,0)))</f>
        <v/>
      </c>
      <c r="AF46" s="31">
        <f>IF(OR($A46="",$D$17=""),"",MAX(0,$C46-SUMIFS($D$106:$D$135,$A$106:$A$135,$A46,$B$106:$B$135,"&lt;="&amp;J$17,$C$106:$C$135,"&gt;="&amp;J$17,$S$106:$S$135,0)-SUMIFS($D$106:$D$135,$A$106:$A$135,"Everyone",$B$106:$B$135,"&lt;="&amp;J$17,$C$106:$C$135,"&gt;="&amp;J$17,$S$106:$S$135,0)))</f>
        <v/>
      </c>
      <c r="AG46" s="31">
        <f>IF(OR($A46="",$D$17=""),"",MAX(0,$C46-SUMIFS($D$106:$D$135,$A$106:$A$135,$A46,$B$106:$B$135,"&lt;="&amp;K$17,$C$106:$C$135,"&gt;="&amp;K$17,$S$106:$S$135,0)-SUMIFS($D$106:$D$135,$A$106:$A$135,"Everyone",$B$106:$B$135,"&lt;="&amp;K$17,$C$106:$C$135,"&gt;="&amp;K$17,$S$106:$S$135,0)))</f>
        <v/>
      </c>
      <c r="AH46" s="31">
        <f>IF(OR($A46="",$D$17=""),"",MAX(0,$C46-SUMIFS($D$106:$D$135,$A$106:$A$135,$A46,$B$106:$B$135,"&lt;="&amp;L$17,$C$106:$C$135,"&gt;="&amp;L$17,$S$106:$S$135,0)-SUMIFS($D$106:$D$135,$A$106:$A$135,"Everyone",$B$106:$B$135,"&lt;="&amp;L$17,$C$106:$C$135,"&gt;="&amp;L$17,$S$106:$S$135,0)))</f>
        <v/>
      </c>
      <c r="AI46" s="31">
        <f>IF(OR($A46="",$D$17=""),"",MAX(0,$C46-SUMIFS($D$106:$D$135,$A$106:$A$135,$A46,$B$106:$B$135,"&lt;="&amp;M$17,$C$106:$C$135,"&gt;="&amp;M$17,$S$106:$S$135,0)-SUMIFS($D$106:$D$135,$A$106:$A$135,"Everyone",$B$106:$B$135,"&lt;="&amp;M$17,$C$106:$C$135,"&gt;="&amp;M$17,$S$106:$S$135,0)))</f>
        <v/>
      </c>
      <c r="AJ46" s="31">
        <f>IF(OR($A46="",$D$17=""),"",MAX(0,$C46-SUMIFS($D$106:$D$135,$A$106:$A$135,$A46,$B$106:$B$135,"&lt;="&amp;N$17,$C$106:$C$135,"&gt;="&amp;N$17,$S$106:$S$135,0)-SUMIFS($D$106:$D$135,$A$106:$A$135,"Everyone",$B$106:$B$135,"&lt;="&amp;N$17,$C$106:$C$135,"&gt;="&amp;N$17,$S$106:$S$135,0)))</f>
        <v/>
      </c>
      <c r="AK46" s="31">
        <f>IF(OR($A46="",$D$17=""),"",MAX(0,$C46-SUMIFS($D$106:$D$135,$A$106:$A$135,$A46,$B$106:$B$135,"&lt;="&amp;O$17,$C$106:$C$135,"&gt;="&amp;O$17,$S$106:$S$135,0)-SUMIFS($D$106:$D$135,$A$106:$A$135,"Everyone",$B$106:$B$135,"&lt;="&amp;O$17,$C$106:$C$135,"&gt;="&amp;O$17,$S$106:$S$135,0)))</f>
        <v/>
      </c>
      <c r="AL46" s="31">
        <f>IF(OR($A46="",$D$17=""),"",MAX(0,$C46-SUMIFS($D$106:$D$135,$A$106:$A$135,$A46,$B$106:$B$135,"&lt;="&amp;P$17,$C$106:$C$135,"&gt;="&amp;P$17,$S$106:$S$135,0)-SUMIFS($D$106:$D$135,$A$106:$A$135,"Everyone",$B$106:$B$135,"&lt;="&amp;P$17,$C$106:$C$135,"&gt;="&amp;P$17,$S$106:$S$135,0)))</f>
        <v/>
      </c>
      <c r="AM46" s="31">
        <f>IF($A46="","",SUMIFS($E$139:$E$288,$B$139:$B$288,$A46,$U$139:$U$288,1,$Y$139:$Y$288,1,$C$139:$C$288,"&lt;="&amp;D$17,$D$139:$D$288,"&gt;="&amp;D$17))</f>
        <v/>
      </c>
      <c r="AN46" s="31">
        <f>IF($A46="","",SUMIFS($E$139:$E$288,$B$139:$B$288,$A46,$U$139:$U$288,1,$Y$139:$Y$288,1,$C$139:$C$288,"&lt;="&amp;E$17,$D$139:$D$288,"&gt;="&amp;E$17))</f>
        <v/>
      </c>
      <c r="AO46" s="31">
        <f>IF($A46="","",SUMIFS($E$139:$E$288,$B$139:$B$288,$A46,$U$139:$U$288,1,$Y$139:$Y$288,1,$C$139:$C$288,"&lt;="&amp;F$17,$D$139:$D$288,"&gt;="&amp;F$17))</f>
        <v/>
      </c>
      <c r="AP46" s="31">
        <f>IF($A46="","",SUMIFS($E$139:$E$288,$B$139:$B$288,$A46,$U$139:$U$288,1,$Y$139:$Y$288,1,$C$139:$C$288,"&lt;="&amp;G$17,$D$139:$D$288,"&gt;="&amp;G$17))</f>
        <v/>
      </c>
      <c r="AQ46" s="31">
        <f>IF($A46="","",SUMIFS($E$139:$E$288,$B$139:$B$288,$A46,$U$139:$U$288,1,$Y$139:$Y$288,1,$C$139:$C$288,"&lt;="&amp;H$17,$D$139:$D$288,"&gt;="&amp;H$17))</f>
        <v/>
      </c>
      <c r="AR46" s="31">
        <f>IF($A46="","",SUMIFS($E$139:$E$288,$B$139:$B$288,$A46,$U$139:$U$288,1,$Y$139:$Y$288,1,$C$139:$C$288,"&lt;="&amp;I$17,$D$139:$D$288,"&gt;="&amp;I$17))</f>
        <v/>
      </c>
      <c r="AS46" s="31">
        <f>IF($A46="","",SUMIFS($E$139:$E$288,$B$139:$B$288,$A46,$U$139:$U$288,1,$Y$139:$Y$288,1,$C$139:$C$288,"&lt;="&amp;J$17,$D$139:$D$288,"&gt;="&amp;J$17))</f>
        <v/>
      </c>
      <c r="AT46" s="31">
        <f>IF($A46="","",SUMIFS($E$139:$E$288,$B$139:$B$288,$A46,$U$139:$U$288,1,$Y$139:$Y$288,1,$C$139:$C$288,"&lt;="&amp;K$17,$D$139:$D$288,"&gt;="&amp;K$17))</f>
        <v/>
      </c>
      <c r="AU46" s="31">
        <f>IF($A46="","",SUMIFS($E$139:$E$288,$B$139:$B$288,$A46,$U$139:$U$288,1,$Y$139:$Y$288,1,$C$139:$C$288,"&lt;="&amp;L$17,$D$139:$D$288,"&gt;="&amp;L$17))</f>
        <v/>
      </c>
      <c r="AV46" s="31">
        <f>IF($A46="","",SUMIFS($E$139:$E$288,$B$139:$B$288,$A46,$U$139:$U$288,1,$Y$139:$Y$288,1,$C$139:$C$288,"&lt;="&amp;M$17,$D$139:$D$288,"&gt;="&amp;M$17))</f>
        <v/>
      </c>
      <c r="AW46" s="31">
        <f>IF($A46="","",SUMIFS($E$139:$E$288,$B$139:$B$288,$A46,$U$139:$U$288,1,$Y$139:$Y$288,1,$C$139:$C$288,"&lt;="&amp;N$17,$D$139:$D$288,"&gt;="&amp;N$17))</f>
        <v/>
      </c>
      <c r="AX46" s="31">
        <f>IF($A46="","",SUMIFS($E$139:$E$288,$B$139:$B$288,$A46,$U$139:$U$288,1,$Y$139:$Y$288,1,$C$139:$C$288,"&lt;="&amp;O$17,$D$139:$D$288,"&gt;="&amp;O$17))</f>
        <v/>
      </c>
      <c r="AY46" s="31">
        <f>IF($A46="","",SUMIFS($E$139:$E$288,$B$139:$B$288,$A46,$U$139:$U$288,1,$Y$139:$Y$288,1,$C$139:$C$288,"&lt;="&amp;P$17,$D$139:$D$288,"&gt;="&amp;P$17))</f>
        <v/>
      </c>
      <c r="AZ46" s="31">
        <f>IF($A46="","",SUMIFS($E$139:$E$288,$B$139:$B$288,$A46,$U$139:$U$288,2,$Y$139:$Y$288,1,$C$139:$C$288,"&lt;="&amp;D$17,$D$139:$D$288,"&gt;="&amp;D$17))</f>
        <v/>
      </c>
      <c r="BA46" s="31">
        <f>IF($A46="","",SUMIFS($E$139:$E$288,$B$139:$B$288,$A46,$U$139:$U$288,2,$Y$139:$Y$288,1,$C$139:$C$288,"&lt;="&amp;E$17,$D$139:$D$288,"&gt;="&amp;E$17))</f>
        <v/>
      </c>
      <c r="BB46" s="31">
        <f>IF($A46="","",SUMIFS($E$139:$E$288,$B$139:$B$288,$A46,$U$139:$U$288,2,$Y$139:$Y$288,1,$C$139:$C$288,"&lt;="&amp;F$17,$D$139:$D$288,"&gt;="&amp;F$17))</f>
        <v/>
      </c>
      <c r="BC46" s="31">
        <f>IF($A46="","",SUMIFS($E$139:$E$288,$B$139:$B$288,$A46,$U$139:$U$288,2,$Y$139:$Y$288,1,$C$139:$C$288,"&lt;="&amp;G$17,$D$139:$D$288,"&gt;="&amp;G$17))</f>
        <v/>
      </c>
      <c r="BD46" s="31">
        <f>IF($A46="","",SUMIFS($E$139:$E$288,$B$139:$B$288,$A46,$U$139:$U$288,2,$Y$139:$Y$288,1,$C$139:$C$288,"&lt;="&amp;H$17,$D$139:$D$288,"&gt;="&amp;H$17))</f>
        <v/>
      </c>
      <c r="BE46" s="31">
        <f>IF($A46="","",SUMIFS($E$139:$E$288,$B$139:$B$288,$A46,$U$139:$U$288,2,$Y$139:$Y$288,1,$C$139:$C$288,"&lt;="&amp;I$17,$D$139:$D$288,"&gt;="&amp;I$17))</f>
        <v/>
      </c>
      <c r="BF46" s="31">
        <f>IF($A46="","",SUMIFS($E$139:$E$288,$B$139:$B$288,$A46,$U$139:$U$288,2,$Y$139:$Y$288,1,$C$139:$C$288,"&lt;="&amp;J$17,$D$139:$D$288,"&gt;="&amp;J$17))</f>
        <v/>
      </c>
      <c r="BG46" s="31">
        <f>IF($A46="","",SUMIFS($E$139:$E$288,$B$139:$B$288,$A46,$U$139:$U$288,2,$Y$139:$Y$288,1,$C$139:$C$288,"&lt;="&amp;K$17,$D$139:$D$288,"&gt;="&amp;K$17))</f>
        <v/>
      </c>
      <c r="BH46" s="31">
        <f>IF($A46="","",SUMIFS($E$139:$E$288,$B$139:$B$288,$A46,$U$139:$U$288,2,$Y$139:$Y$288,1,$C$139:$C$288,"&lt;="&amp;L$17,$D$139:$D$288,"&gt;="&amp;L$17))</f>
        <v/>
      </c>
      <c r="BI46" s="31">
        <f>IF($A46="","",SUMIFS($E$139:$E$288,$B$139:$B$288,$A46,$U$139:$U$288,2,$Y$139:$Y$288,1,$C$139:$C$288,"&lt;="&amp;M$17,$D$139:$D$288,"&gt;="&amp;M$17))</f>
        <v/>
      </c>
      <c r="BJ46" s="31">
        <f>IF($A46="","",SUMIFS($E$139:$E$288,$B$139:$B$288,$A46,$U$139:$U$288,2,$Y$139:$Y$288,1,$C$139:$C$288,"&lt;="&amp;N$17,$D$139:$D$288,"&gt;="&amp;N$17))</f>
        <v/>
      </c>
      <c r="BK46" s="31">
        <f>IF($A46="","",SUMIFS($E$139:$E$288,$B$139:$B$288,$A46,$U$139:$U$288,2,$Y$139:$Y$288,1,$C$139:$C$288,"&lt;="&amp;O$17,$D$139:$D$288,"&gt;="&amp;O$17))</f>
        <v/>
      </c>
      <c r="BL46" s="31">
        <f>IF($A46="","",SUMIFS($E$139:$E$288,$B$139:$B$288,$A46,$U$139:$U$288,2,$Y$139:$Y$288,1,$C$139:$C$288,"&lt;="&amp;P$17,$D$139:$D$288,"&gt;="&amp;P$17))</f>
        <v/>
      </c>
      <c r="BM46" s="31">
        <f>IF(OR($A46="",$D$17=""),0,SUMPRODUCT(($D46:$P46&gt;=0)*(($D46:$P46-$AZ46:$BL46)&lt;0)))</f>
        <v/>
      </c>
      <c r="BN46" s="31">
        <f>IF(IFERROR(INDEX(Register!$A$6:$A$305,ROW()-5),"")="",0,SUMIF($A$139:$A$288,IFERROR(INDEX(Register!$A$6:$A$305,ROW()-5),""),$Z$139:$Z$288))</f>
        <v/>
      </c>
      <c r="BO46" s="31">
        <f>IF(OR(IFERROR(INDEX(Register!$A$6:$A$305,ROW()-5),"")="",SUM($Z$139:$Z$288)=0),0,IF(AND(IFERROR(INDEX(Register!$B$6:$B$305,ROW()-5),"")="Project",IFERROR(INDEX(Register!$D$6:$D$305,ROW()-5),"")="Active",IFERROR(INDEX(Register!$Z$6:$Z$305,ROW()-5),"")=1,$BN46=0),1,0))</f>
        <v/>
      </c>
      <c r="BP46" s="31">
        <f>IF(AND(IFERROR(INDEX(Register!$A$6:$A$305,ROW()-5),"")&lt;&gt;"",IFERROR(INDEX(Register!$D$6:$D$305,ROW()-5),"")="Proposed"),$BN46,0)</f>
        <v/>
      </c>
      <c r="BQ46" s="31">
        <f>IF(OR($A46="",$D$17=""),0,COUNTIF($D46:$P46,"&lt;0"))</f>
        <v/>
      </c>
      <c r="BR46" s="31">
        <f>IF(INDEX($A$63:$A$102,ROW()-6)="","",INDEX($A$63:$A$102,ROW()-6))</f>
        <v/>
      </c>
      <c r="BS46" s="31">
        <f>IF(INDEX($A$63:$A$102,ROW()-6)="","",INDEX($A$63:$A$102,ROW()-6))</f>
        <v/>
      </c>
    </row>
    <row r="47">
      <c r="A47" s="31">
        <f>IF(INDEX($A$63:$A$102,ROW()-17)="","",INDEX($A$63:$A$102,ROW()-17))</f>
        <v/>
      </c>
      <c r="B47" s="31">
        <f>IF(OR($A47="",$D$17=""),"",IF($BQ47=0,"○ Clear","△ "&amp;$BQ47&amp;IF($BQ47=1," week"," weeks")&amp;" over, from "&amp;TEXT(SUMPRODUCT(MIN($D$17:$P$17+($D47:$P47&gt;=0)*100000)),"d mmm")))</f>
        <v/>
      </c>
      <c r="C47" s="32">
        <f>IF($A47="","",IF(AND(ISNUMBER(INDEX($B$63:$B$102,ROW()-17)),INDEX($S$63:$S$102,ROW()-17)=0),INDEX($B$63:$B$102,ROW()-17),IF($C$7="",$B$7,5)))</f>
        <v/>
      </c>
      <c r="D47" s="51">
        <f>IF(OR($A47="",$D$17=""),"",ROUND(Z47-AM47,2))</f>
        <v/>
      </c>
      <c r="E47" s="51">
        <f>IF(OR($A47="",$D$17=""),"",ROUND(AA47-AN47,2))</f>
        <v/>
      </c>
      <c r="F47" s="51">
        <f>IF(OR($A47="",$D$17=""),"",ROUND(AB47-AO47,2))</f>
        <v/>
      </c>
      <c r="G47" s="51">
        <f>IF(OR($A47="",$D$17=""),"",ROUND(AC47-AP47,2))</f>
        <v/>
      </c>
      <c r="H47" s="51">
        <f>IF(OR($A47="",$D$17=""),"",ROUND(AD47-AQ47,2))</f>
        <v/>
      </c>
      <c r="I47" s="51">
        <f>IF(OR($A47="",$D$17=""),"",ROUND(AE47-AR47,2))</f>
        <v/>
      </c>
      <c r="J47" s="51">
        <f>IF(OR($A47="",$D$17=""),"",ROUND(AF47-AS47,2))</f>
        <v/>
      </c>
      <c r="K47" s="51">
        <f>IF(OR($A47="",$D$17=""),"",ROUND(AG47-AT47,2))</f>
        <v/>
      </c>
      <c r="L47" s="51">
        <f>IF(OR($A47="",$D$17=""),"",ROUND(AH47-AU47,2))</f>
        <v/>
      </c>
      <c r="M47" s="51">
        <f>IF(OR($A47="",$D$17=""),"",ROUND(AI47-AV47,2))</f>
        <v/>
      </c>
      <c r="N47" s="51">
        <f>IF(OR($A47="",$D$17=""),"",ROUND(AJ47-AW47,2))</f>
        <v/>
      </c>
      <c r="O47" s="51">
        <f>IF(OR($A47="",$D$17=""),"",ROUND(AK47-AX47,2))</f>
        <v/>
      </c>
      <c r="P47" s="51">
        <f>IF(OR($A47="",$D$17=""),"",ROUND(AL47-AY47,2))</f>
        <v/>
      </c>
      <c r="Q47" s="31">
        <f>IF(OR($A47="",$D$17=""),"",IF(SUM($AZ47:$BL47)=0,"",IF($BM47=0,"Fits","Over in "&amp;$BM47&amp;IF($BM47=1," week"," weeks")&amp;" if approved")))</f>
        <v/>
      </c>
      <c r="Z47" s="31">
        <f>IF(OR($A47="",$D$17=""),"",MAX(0,$C47-SUMIFS($D$106:$D$135,$A$106:$A$135,$A47,$B$106:$B$135,"&lt;="&amp;D$17,$C$106:$C$135,"&gt;="&amp;D$17,$S$106:$S$135,0)-SUMIFS($D$106:$D$135,$A$106:$A$135,"Everyone",$B$106:$B$135,"&lt;="&amp;D$17,$C$106:$C$135,"&gt;="&amp;D$17,$S$106:$S$135,0)))</f>
        <v/>
      </c>
      <c r="AA47" s="31">
        <f>IF(OR($A47="",$D$17=""),"",MAX(0,$C47-SUMIFS($D$106:$D$135,$A$106:$A$135,$A47,$B$106:$B$135,"&lt;="&amp;E$17,$C$106:$C$135,"&gt;="&amp;E$17,$S$106:$S$135,0)-SUMIFS($D$106:$D$135,$A$106:$A$135,"Everyone",$B$106:$B$135,"&lt;="&amp;E$17,$C$106:$C$135,"&gt;="&amp;E$17,$S$106:$S$135,0)))</f>
        <v/>
      </c>
      <c r="AB47" s="31">
        <f>IF(OR($A47="",$D$17=""),"",MAX(0,$C47-SUMIFS($D$106:$D$135,$A$106:$A$135,$A47,$B$106:$B$135,"&lt;="&amp;F$17,$C$106:$C$135,"&gt;="&amp;F$17,$S$106:$S$135,0)-SUMIFS($D$106:$D$135,$A$106:$A$135,"Everyone",$B$106:$B$135,"&lt;="&amp;F$17,$C$106:$C$135,"&gt;="&amp;F$17,$S$106:$S$135,0)))</f>
        <v/>
      </c>
      <c r="AC47" s="31">
        <f>IF(OR($A47="",$D$17=""),"",MAX(0,$C47-SUMIFS($D$106:$D$135,$A$106:$A$135,$A47,$B$106:$B$135,"&lt;="&amp;G$17,$C$106:$C$135,"&gt;="&amp;G$17,$S$106:$S$135,0)-SUMIFS($D$106:$D$135,$A$106:$A$135,"Everyone",$B$106:$B$135,"&lt;="&amp;G$17,$C$106:$C$135,"&gt;="&amp;G$17,$S$106:$S$135,0)))</f>
        <v/>
      </c>
      <c r="AD47" s="31">
        <f>IF(OR($A47="",$D$17=""),"",MAX(0,$C47-SUMIFS($D$106:$D$135,$A$106:$A$135,$A47,$B$106:$B$135,"&lt;="&amp;H$17,$C$106:$C$135,"&gt;="&amp;H$17,$S$106:$S$135,0)-SUMIFS($D$106:$D$135,$A$106:$A$135,"Everyone",$B$106:$B$135,"&lt;="&amp;H$17,$C$106:$C$135,"&gt;="&amp;H$17,$S$106:$S$135,0)))</f>
        <v/>
      </c>
      <c r="AE47" s="31">
        <f>IF(OR($A47="",$D$17=""),"",MAX(0,$C47-SUMIFS($D$106:$D$135,$A$106:$A$135,$A47,$B$106:$B$135,"&lt;="&amp;I$17,$C$106:$C$135,"&gt;="&amp;I$17,$S$106:$S$135,0)-SUMIFS($D$106:$D$135,$A$106:$A$135,"Everyone",$B$106:$B$135,"&lt;="&amp;I$17,$C$106:$C$135,"&gt;="&amp;I$17,$S$106:$S$135,0)))</f>
        <v/>
      </c>
      <c r="AF47" s="31">
        <f>IF(OR($A47="",$D$17=""),"",MAX(0,$C47-SUMIFS($D$106:$D$135,$A$106:$A$135,$A47,$B$106:$B$135,"&lt;="&amp;J$17,$C$106:$C$135,"&gt;="&amp;J$17,$S$106:$S$135,0)-SUMIFS($D$106:$D$135,$A$106:$A$135,"Everyone",$B$106:$B$135,"&lt;="&amp;J$17,$C$106:$C$135,"&gt;="&amp;J$17,$S$106:$S$135,0)))</f>
        <v/>
      </c>
      <c r="AG47" s="31">
        <f>IF(OR($A47="",$D$17=""),"",MAX(0,$C47-SUMIFS($D$106:$D$135,$A$106:$A$135,$A47,$B$106:$B$135,"&lt;="&amp;K$17,$C$106:$C$135,"&gt;="&amp;K$17,$S$106:$S$135,0)-SUMIFS($D$106:$D$135,$A$106:$A$135,"Everyone",$B$106:$B$135,"&lt;="&amp;K$17,$C$106:$C$135,"&gt;="&amp;K$17,$S$106:$S$135,0)))</f>
        <v/>
      </c>
      <c r="AH47" s="31">
        <f>IF(OR($A47="",$D$17=""),"",MAX(0,$C47-SUMIFS($D$106:$D$135,$A$106:$A$135,$A47,$B$106:$B$135,"&lt;="&amp;L$17,$C$106:$C$135,"&gt;="&amp;L$17,$S$106:$S$135,0)-SUMIFS($D$106:$D$135,$A$106:$A$135,"Everyone",$B$106:$B$135,"&lt;="&amp;L$17,$C$106:$C$135,"&gt;="&amp;L$17,$S$106:$S$135,0)))</f>
        <v/>
      </c>
      <c r="AI47" s="31">
        <f>IF(OR($A47="",$D$17=""),"",MAX(0,$C47-SUMIFS($D$106:$D$135,$A$106:$A$135,$A47,$B$106:$B$135,"&lt;="&amp;M$17,$C$106:$C$135,"&gt;="&amp;M$17,$S$106:$S$135,0)-SUMIFS($D$106:$D$135,$A$106:$A$135,"Everyone",$B$106:$B$135,"&lt;="&amp;M$17,$C$106:$C$135,"&gt;="&amp;M$17,$S$106:$S$135,0)))</f>
        <v/>
      </c>
      <c r="AJ47" s="31">
        <f>IF(OR($A47="",$D$17=""),"",MAX(0,$C47-SUMIFS($D$106:$D$135,$A$106:$A$135,$A47,$B$106:$B$135,"&lt;="&amp;N$17,$C$106:$C$135,"&gt;="&amp;N$17,$S$106:$S$135,0)-SUMIFS($D$106:$D$135,$A$106:$A$135,"Everyone",$B$106:$B$135,"&lt;="&amp;N$17,$C$106:$C$135,"&gt;="&amp;N$17,$S$106:$S$135,0)))</f>
        <v/>
      </c>
      <c r="AK47" s="31">
        <f>IF(OR($A47="",$D$17=""),"",MAX(0,$C47-SUMIFS($D$106:$D$135,$A$106:$A$135,$A47,$B$106:$B$135,"&lt;="&amp;O$17,$C$106:$C$135,"&gt;="&amp;O$17,$S$106:$S$135,0)-SUMIFS($D$106:$D$135,$A$106:$A$135,"Everyone",$B$106:$B$135,"&lt;="&amp;O$17,$C$106:$C$135,"&gt;="&amp;O$17,$S$106:$S$135,0)))</f>
        <v/>
      </c>
      <c r="AL47" s="31">
        <f>IF(OR($A47="",$D$17=""),"",MAX(0,$C47-SUMIFS($D$106:$D$135,$A$106:$A$135,$A47,$B$106:$B$135,"&lt;="&amp;P$17,$C$106:$C$135,"&gt;="&amp;P$17,$S$106:$S$135,0)-SUMIFS($D$106:$D$135,$A$106:$A$135,"Everyone",$B$106:$B$135,"&lt;="&amp;P$17,$C$106:$C$135,"&gt;="&amp;P$17,$S$106:$S$135,0)))</f>
        <v/>
      </c>
      <c r="AM47" s="31">
        <f>IF($A47="","",SUMIFS($E$139:$E$288,$B$139:$B$288,$A47,$U$139:$U$288,1,$Y$139:$Y$288,1,$C$139:$C$288,"&lt;="&amp;D$17,$D$139:$D$288,"&gt;="&amp;D$17))</f>
        <v/>
      </c>
      <c r="AN47" s="31">
        <f>IF($A47="","",SUMIFS($E$139:$E$288,$B$139:$B$288,$A47,$U$139:$U$288,1,$Y$139:$Y$288,1,$C$139:$C$288,"&lt;="&amp;E$17,$D$139:$D$288,"&gt;="&amp;E$17))</f>
        <v/>
      </c>
      <c r="AO47" s="31">
        <f>IF($A47="","",SUMIFS($E$139:$E$288,$B$139:$B$288,$A47,$U$139:$U$288,1,$Y$139:$Y$288,1,$C$139:$C$288,"&lt;="&amp;F$17,$D$139:$D$288,"&gt;="&amp;F$17))</f>
        <v/>
      </c>
      <c r="AP47" s="31">
        <f>IF($A47="","",SUMIFS($E$139:$E$288,$B$139:$B$288,$A47,$U$139:$U$288,1,$Y$139:$Y$288,1,$C$139:$C$288,"&lt;="&amp;G$17,$D$139:$D$288,"&gt;="&amp;G$17))</f>
        <v/>
      </c>
      <c r="AQ47" s="31">
        <f>IF($A47="","",SUMIFS($E$139:$E$288,$B$139:$B$288,$A47,$U$139:$U$288,1,$Y$139:$Y$288,1,$C$139:$C$288,"&lt;="&amp;H$17,$D$139:$D$288,"&gt;="&amp;H$17))</f>
        <v/>
      </c>
      <c r="AR47" s="31">
        <f>IF($A47="","",SUMIFS($E$139:$E$288,$B$139:$B$288,$A47,$U$139:$U$288,1,$Y$139:$Y$288,1,$C$139:$C$288,"&lt;="&amp;I$17,$D$139:$D$288,"&gt;="&amp;I$17))</f>
        <v/>
      </c>
      <c r="AS47" s="31">
        <f>IF($A47="","",SUMIFS($E$139:$E$288,$B$139:$B$288,$A47,$U$139:$U$288,1,$Y$139:$Y$288,1,$C$139:$C$288,"&lt;="&amp;J$17,$D$139:$D$288,"&gt;="&amp;J$17))</f>
        <v/>
      </c>
      <c r="AT47" s="31">
        <f>IF($A47="","",SUMIFS($E$139:$E$288,$B$139:$B$288,$A47,$U$139:$U$288,1,$Y$139:$Y$288,1,$C$139:$C$288,"&lt;="&amp;K$17,$D$139:$D$288,"&gt;="&amp;K$17))</f>
        <v/>
      </c>
      <c r="AU47" s="31">
        <f>IF($A47="","",SUMIFS($E$139:$E$288,$B$139:$B$288,$A47,$U$139:$U$288,1,$Y$139:$Y$288,1,$C$139:$C$288,"&lt;="&amp;L$17,$D$139:$D$288,"&gt;="&amp;L$17))</f>
        <v/>
      </c>
      <c r="AV47" s="31">
        <f>IF($A47="","",SUMIFS($E$139:$E$288,$B$139:$B$288,$A47,$U$139:$U$288,1,$Y$139:$Y$288,1,$C$139:$C$288,"&lt;="&amp;M$17,$D$139:$D$288,"&gt;="&amp;M$17))</f>
        <v/>
      </c>
      <c r="AW47" s="31">
        <f>IF($A47="","",SUMIFS($E$139:$E$288,$B$139:$B$288,$A47,$U$139:$U$288,1,$Y$139:$Y$288,1,$C$139:$C$288,"&lt;="&amp;N$17,$D$139:$D$288,"&gt;="&amp;N$17))</f>
        <v/>
      </c>
      <c r="AX47" s="31">
        <f>IF($A47="","",SUMIFS($E$139:$E$288,$B$139:$B$288,$A47,$U$139:$U$288,1,$Y$139:$Y$288,1,$C$139:$C$288,"&lt;="&amp;O$17,$D$139:$D$288,"&gt;="&amp;O$17))</f>
        <v/>
      </c>
      <c r="AY47" s="31">
        <f>IF($A47="","",SUMIFS($E$139:$E$288,$B$139:$B$288,$A47,$U$139:$U$288,1,$Y$139:$Y$288,1,$C$139:$C$288,"&lt;="&amp;P$17,$D$139:$D$288,"&gt;="&amp;P$17))</f>
        <v/>
      </c>
      <c r="AZ47" s="31">
        <f>IF($A47="","",SUMIFS($E$139:$E$288,$B$139:$B$288,$A47,$U$139:$U$288,2,$Y$139:$Y$288,1,$C$139:$C$288,"&lt;="&amp;D$17,$D$139:$D$288,"&gt;="&amp;D$17))</f>
        <v/>
      </c>
      <c r="BA47" s="31">
        <f>IF($A47="","",SUMIFS($E$139:$E$288,$B$139:$B$288,$A47,$U$139:$U$288,2,$Y$139:$Y$288,1,$C$139:$C$288,"&lt;="&amp;E$17,$D$139:$D$288,"&gt;="&amp;E$17))</f>
        <v/>
      </c>
      <c r="BB47" s="31">
        <f>IF($A47="","",SUMIFS($E$139:$E$288,$B$139:$B$288,$A47,$U$139:$U$288,2,$Y$139:$Y$288,1,$C$139:$C$288,"&lt;="&amp;F$17,$D$139:$D$288,"&gt;="&amp;F$17))</f>
        <v/>
      </c>
      <c r="BC47" s="31">
        <f>IF($A47="","",SUMIFS($E$139:$E$288,$B$139:$B$288,$A47,$U$139:$U$288,2,$Y$139:$Y$288,1,$C$139:$C$288,"&lt;="&amp;G$17,$D$139:$D$288,"&gt;="&amp;G$17))</f>
        <v/>
      </c>
      <c r="BD47" s="31">
        <f>IF($A47="","",SUMIFS($E$139:$E$288,$B$139:$B$288,$A47,$U$139:$U$288,2,$Y$139:$Y$288,1,$C$139:$C$288,"&lt;="&amp;H$17,$D$139:$D$288,"&gt;="&amp;H$17))</f>
        <v/>
      </c>
      <c r="BE47" s="31">
        <f>IF($A47="","",SUMIFS($E$139:$E$288,$B$139:$B$288,$A47,$U$139:$U$288,2,$Y$139:$Y$288,1,$C$139:$C$288,"&lt;="&amp;I$17,$D$139:$D$288,"&gt;="&amp;I$17))</f>
        <v/>
      </c>
      <c r="BF47" s="31">
        <f>IF($A47="","",SUMIFS($E$139:$E$288,$B$139:$B$288,$A47,$U$139:$U$288,2,$Y$139:$Y$288,1,$C$139:$C$288,"&lt;="&amp;J$17,$D$139:$D$288,"&gt;="&amp;J$17))</f>
        <v/>
      </c>
      <c r="BG47" s="31">
        <f>IF($A47="","",SUMIFS($E$139:$E$288,$B$139:$B$288,$A47,$U$139:$U$288,2,$Y$139:$Y$288,1,$C$139:$C$288,"&lt;="&amp;K$17,$D$139:$D$288,"&gt;="&amp;K$17))</f>
        <v/>
      </c>
      <c r="BH47" s="31">
        <f>IF($A47="","",SUMIFS($E$139:$E$288,$B$139:$B$288,$A47,$U$139:$U$288,2,$Y$139:$Y$288,1,$C$139:$C$288,"&lt;="&amp;L$17,$D$139:$D$288,"&gt;="&amp;L$17))</f>
        <v/>
      </c>
      <c r="BI47" s="31">
        <f>IF($A47="","",SUMIFS($E$139:$E$288,$B$139:$B$288,$A47,$U$139:$U$288,2,$Y$139:$Y$288,1,$C$139:$C$288,"&lt;="&amp;M$17,$D$139:$D$288,"&gt;="&amp;M$17))</f>
        <v/>
      </c>
      <c r="BJ47" s="31">
        <f>IF($A47="","",SUMIFS($E$139:$E$288,$B$139:$B$288,$A47,$U$139:$U$288,2,$Y$139:$Y$288,1,$C$139:$C$288,"&lt;="&amp;N$17,$D$139:$D$288,"&gt;="&amp;N$17))</f>
        <v/>
      </c>
      <c r="BK47" s="31">
        <f>IF($A47="","",SUMIFS($E$139:$E$288,$B$139:$B$288,$A47,$U$139:$U$288,2,$Y$139:$Y$288,1,$C$139:$C$288,"&lt;="&amp;O$17,$D$139:$D$288,"&gt;="&amp;O$17))</f>
        <v/>
      </c>
      <c r="BL47" s="31">
        <f>IF($A47="","",SUMIFS($E$139:$E$288,$B$139:$B$288,$A47,$U$139:$U$288,2,$Y$139:$Y$288,1,$C$139:$C$288,"&lt;="&amp;P$17,$D$139:$D$288,"&gt;="&amp;P$17))</f>
        <v/>
      </c>
      <c r="BM47" s="31">
        <f>IF(OR($A47="",$D$17=""),0,SUMPRODUCT(($D47:$P47&gt;=0)*(($D47:$P47-$AZ47:$BL47)&lt;0)))</f>
        <v/>
      </c>
      <c r="BN47" s="31">
        <f>IF(IFERROR(INDEX(Register!$A$6:$A$305,ROW()-5),"")="",0,SUMIF($A$139:$A$288,IFERROR(INDEX(Register!$A$6:$A$305,ROW()-5),""),$Z$139:$Z$288))</f>
        <v/>
      </c>
      <c r="BO47" s="31">
        <f>IF(OR(IFERROR(INDEX(Register!$A$6:$A$305,ROW()-5),"")="",SUM($Z$139:$Z$288)=0),0,IF(AND(IFERROR(INDEX(Register!$B$6:$B$305,ROW()-5),"")="Project",IFERROR(INDEX(Register!$D$6:$D$305,ROW()-5),"")="Active",IFERROR(INDEX(Register!$Z$6:$Z$305,ROW()-5),"")=1,$BN47=0),1,0))</f>
        <v/>
      </c>
      <c r="BP47" s="31">
        <f>IF(AND(IFERROR(INDEX(Register!$A$6:$A$305,ROW()-5),"")&lt;&gt;"",IFERROR(INDEX(Register!$D$6:$D$305,ROW()-5),"")="Proposed"),$BN47,0)</f>
        <v/>
      </c>
      <c r="BQ47" s="31">
        <f>IF(OR($A47="",$D$17=""),0,COUNTIF($D47:$P47,"&lt;0"))</f>
        <v/>
      </c>
    </row>
    <row r="48">
      <c r="A48" s="31">
        <f>IF(INDEX($A$63:$A$102,ROW()-17)="","",INDEX($A$63:$A$102,ROW()-17))</f>
        <v/>
      </c>
      <c r="B48" s="31">
        <f>IF(OR($A48="",$D$17=""),"",IF($BQ48=0,"○ Clear","△ "&amp;$BQ48&amp;IF($BQ48=1," week"," weeks")&amp;" over, from "&amp;TEXT(SUMPRODUCT(MIN($D$17:$P$17+($D48:$P48&gt;=0)*100000)),"d mmm")))</f>
        <v/>
      </c>
      <c r="C48" s="32">
        <f>IF($A48="","",IF(AND(ISNUMBER(INDEX($B$63:$B$102,ROW()-17)),INDEX($S$63:$S$102,ROW()-17)=0),INDEX($B$63:$B$102,ROW()-17),IF($C$7="",$B$7,5)))</f>
        <v/>
      </c>
      <c r="D48" s="51">
        <f>IF(OR($A48="",$D$17=""),"",ROUND(Z48-AM48,2))</f>
        <v/>
      </c>
      <c r="E48" s="51">
        <f>IF(OR($A48="",$D$17=""),"",ROUND(AA48-AN48,2))</f>
        <v/>
      </c>
      <c r="F48" s="51">
        <f>IF(OR($A48="",$D$17=""),"",ROUND(AB48-AO48,2))</f>
        <v/>
      </c>
      <c r="G48" s="51">
        <f>IF(OR($A48="",$D$17=""),"",ROUND(AC48-AP48,2))</f>
        <v/>
      </c>
      <c r="H48" s="51">
        <f>IF(OR($A48="",$D$17=""),"",ROUND(AD48-AQ48,2))</f>
        <v/>
      </c>
      <c r="I48" s="51">
        <f>IF(OR($A48="",$D$17=""),"",ROUND(AE48-AR48,2))</f>
        <v/>
      </c>
      <c r="J48" s="51">
        <f>IF(OR($A48="",$D$17=""),"",ROUND(AF48-AS48,2))</f>
        <v/>
      </c>
      <c r="K48" s="51">
        <f>IF(OR($A48="",$D$17=""),"",ROUND(AG48-AT48,2))</f>
        <v/>
      </c>
      <c r="L48" s="51">
        <f>IF(OR($A48="",$D$17=""),"",ROUND(AH48-AU48,2))</f>
        <v/>
      </c>
      <c r="M48" s="51">
        <f>IF(OR($A48="",$D$17=""),"",ROUND(AI48-AV48,2))</f>
        <v/>
      </c>
      <c r="N48" s="51">
        <f>IF(OR($A48="",$D$17=""),"",ROUND(AJ48-AW48,2))</f>
        <v/>
      </c>
      <c r="O48" s="51">
        <f>IF(OR($A48="",$D$17=""),"",ROUND(AK48-AX48,2))</f>
        <v/>
      </c>
      <c r="P48" s="51">
        <f>IF(OR($A48="",$D$17=""),"",ROUND(AL48-AY48,2))</f>
        <v/>
      </c>
      <c r="Q48" s="31">
        <f>IF(OR($A48="",$D$17=""),"",IF(SUM($AZ48:$BL48)=0,"",IF($BM48=0,"Fits","Over in "&amp;$BM48&amp;IF($BM48=1," week"," weeks")&amp;" if approved")))</f>
        <v/>
      </c>
      <c r="Z48" s="31">
        <f>IF(OR($A48="",$D$17=""),"",MAX(0,$C48-SUMIFS($D$106:$D$135,$A$106:$A$135,$A48,$B$106:$B$135,"&lt;="&amp;D$17,$C$106:$C$135,"&gt;="&amp;D$17,$S$106:$S$135,0)-SUMIFS($D$106:$D$135,$A$106:$A$135,"Everyone",$B$106:$B$135,"&lt;="&amp;D$17,$C$106:$C$135,"&gt;="&amp;D$17,$S$106:$S$135,0)))</f>
        <v/>
      </c>
      <c r="AA48" s="31">
        <f>IF(OR($A48="",$D$17=""),"",MAX(0,$C48-SUMIFS($D$106:$D$135,$A$106:$A$135,$A48,$B$106:$B$135,"&lt;="&amp;E$17,$C$106:$C$135,"&gt;="&amp;E$17,$S$106:$S$135,0)-SUMIFS($D$106:$D$135,$A$106:$A$135,"Everyone",$B$106:$B$135,"&lt;="&amp;E$17,$C$106:$C$135,"&gt;="&amp;E$17,$S$106:$S$135,0)))</f>
        <v/>
      </c>
      <c r="AB48" s="31">
        <f>IF(OR($A48="",$D$17=""),"",MAX(0,$C48-SUMIFS($D$106:$D$135,$A$106:$A$135,$A48,$B$106:$B$135,"&lt;="&amp;F$17,$C$106:$C$135,"&gt;="&amp;F$17,$S$106:$S$135,0)-SUMIFS($D$106:$D$135,$A$106:$A$135,"Everyone",$B$106:$B$135,"&lt;="&amp;F$17,$C$106:$C$135,"&gt;="&amp;F$17,$S$106:$S$135,0)))</f>
        <v/>
      </c>
      <c r="AC48" s="31">
        <f>IF(OR($A48="",$D$17=""),"",MAX(0,$C48-SUMIFS($D$106:$D$135,$A$106:$A$135,$A48,$B$106:$B$135,"&lt;="&amp;G$17,$C$106:$C$135,"&gt;="&amp;G$17,$S$106:$S$135,0)-SUMIFS($D$106:$D$135,$A$106:$A$135,"Everyone",$B$106:$B$135,"&lt;="&amp;G$17,$C$106:$C$135,"&gt;="&amp;G$17,$S$106:$S$135,0)))</f>
        <v/>
      </c>
      <c r="AD48" s="31">
        <f>IF(OR($A48="",$D$17=""),"",MAX(0,$C48-SUMIFS($D$106:$D$135,$A$106:$A$135,$A48,$B$106:$B$135,"&lt;="&amp;H$17,$C$106:$C$135,"&gt;="&amp;H$17,$S$106:$S$135,0)-SUMIFS($D$106:$D$135,$A$106:$A$135,"Everyone",$B$106:$B$135,"&lt;="&amp;H$17,$C$106:$C$135,"&gt;="&amp;H$17,$S$106:$S$135,0)))</f>
        <v/>
      </c>
      <c r="AE48" s="31">
        <f>IF(OR($A48="",$D$17=""),"",MAX(0,$C48-SUMIFS($D$106:$D$135,$A$106:$A$135,$A48,$B$106:$B$135,"&lt;="&amp;I$17,$C$106:$C$135,"&gt;="&amp;I$17,$S$106:$S$135,0)-SUMIFS($D$106:$D$135,$A$106:$A$135,"Everyone",$B$106:$B$135,"&lt;="&amp;I$17,$C$106:$C$135,"&gt;="&amp;I$17,$S$106:$S$135,0)))</f>
        <v/>
      </c>
      <c r="AF48" s="31">
        <f>IF(OR($A48="",$D$17=""),"",MAX(0,$C48-SUMIFS($D$106:$D$135,$A$106:$A$135,$A48,$B$106:$B$135,"&lt;="&amp;J$17,$C$106:$C$135,"&gt;="&amp;J$17,$S$106:$S$135,0)-SUMIFS($D$106:$D$135,$A$106:$A$135,"Everyone",$B$106:$B$135,"&lt;="&amp;J$17,$C$106:$C$135,"&gt;="&amp;J$17,$S$106:$S$135,0)))</f>
        <v/>
      </c>
      <c r="AG48" s="31">
        <f>IF(OR($A48="",$D$17=""),"",MAX(0,$C48-SUMIFS($D$106:$D$135,$A$106:$A$135,$A48,$B$106:$B$135,"&lt;="&amp;K$17,$C$106:$C$135,"&gt;="&amp;K$17,$S$106:$S$135,0)-SUMIFS($D$106:$D$135,$A$106:$A$135,"Everyone",$B$106:$B$135,"&lt;="&amp;K$17,$C$106:$C$135,"&gt;="&amp;K$17,$S$106:$S$135,0)))</f>
        <v/>
      </c>
      <c r="AH48" s="31">
        <f>IF(OR($A48="",$D$17=""),"",MAX(0,$C48-SUMIFS($D$106:$D$135,$A$106:$A$135,$A48,$B$106:$B$135,"&lt;="&amp;L$17,$C$106:$C$135,"&gt;="&amp;L$17,$S$106:$S$135,0)-SUMIFS($D$106:$D$135,$A$106:$A$135,"Everyone",$B$106:$B$135,"&lt;="&amp;L$17,$C$106:$C$135,"&gt;="&amp;L$17,$S$106:$S$135,0)))</f>
        <v/>
      </c>
      <c r="AI48" s="31">
        <f>IF(OR($A48="",$D$17=""),"",MAX(0,$C48-SUMIFS($D$106:$D$135,$A$106:$A$135,$A48,$B$106:$B$135,"&lt;="&amp;M$17,$C$106:$C$135,"&gt;="&amp;M$17,$S$106:$S$135,0)-SUMIFS($D$106:$D$135,$A$106:$A$135,"Everyone",$B$106:$B$135,"&lt;="&amp;M$17,$C$106:$C$135,"&gt;="&amp;M$17,$S$106:$S$135,0)))</f>
        <v/>
      </c>
      <c r="AJ48" s="31">
        <f>IF(OR($A48="",$D$17=""),"",MAX(0,$C48-SUMIFS($D$106:$D$135,$A$106:$A$135,$A48,$B$106:$B$135,"&lt;="&amp;N$17,$C$106:$C$135,"&gt;="&amp;N$17,$S$106:$S$135,0)-SUMIFS($D$106:$D$135,$A$106:$A$135,"Everyone",$B$106:$B$135,"&lt;="&amp;N$17,$C$106:$C$135,"&gt;="&amp;N$17,$S$106:$S$135,0)))</f>
        <v/>
      </c>
      <c r="AK48" s="31">
        <f>IF(OR($A48="",$D$17=""),"",MAX(0,$C48-SUMIFS($D$106:$D$135,$A$106:$A$135,$A48,$B$106:$B$135,"&lt;="&amp;O$17,$C$106:$C$135,"&gt;="&amp;O$17,$S$106:$S$135,0)-SUMIFS($D$106:$D$135,$A$106:$A$135,"Everyone",$B$106:$B$135,"&lt;="&amp;O$17,$C$106:$C$135,"&gt;="&amp;O$17,$S$106:$S$135,0)))</f>
        <v/>
      </c>
      <c r="AL48" s="31">
        <f>IF(OR($A48="",$D$17=""),"",MAX(0,$C48-SUMIFS($D$106:$D$135,$A$106:$A$135,$A48,$B$106:$B$135,"&lt;="&amp;P$17,$C$106:$C$135,"&gt;="&amp;P$17,$S$106:$S$135,0)-SUMIFS($D$106:$D$135,$A$106:$A$135,"Everyone",$B$106:$B$135,"&lt;="&amp;P$17,$C$106:$C$135,"&gt;="&amp;P$17,$S$106:$S$135,0)))</f>
        <v/>
      </c>
      <c r="AM48" s="31">
        <f>IF($A48="","",SUMIFS($E$139:$E$288,$B$139:$B$288,$A48,$U$139:$U$288,1,$Y$139:$Y$288,1,$C$139:$C$288,"&lt;="&amp;D$17,$D$139:$D$288,"&gt;="&amp;D$17))</f>
        <v/>
      </c>
      <c r="AN48" s="31">
        <f>IF($A48="","",SUMIFS($E$139:$E$288,$B$139:$B$288,$A48,$U$139:$U$288,1,$Y$139:$Y$288,1,$C$139:$C$288,"&lt;="&amp;E$17,$D$139:$D$288,"&gt;="&amp;E$17))</f>
        <v/>
      </c>
      <c r="AO48" s="31">
        <f>IF($A48="","",SUMIFS($E$139:$E$288,$B$139:$B$288,$A48,$U$139:$U$288,1,$Y$139:$Y$288,1,$C$139:$C$288,"&lt;="&amp;F$17,$D$139:$D$288,"&gt;="&amp;F$17))</f>
        <v/>
      </c>
      <c r="AP48" s="31">
        <f>IF($A48="","",SUMIFS($E$139:$E$288,$B$139:$B$288,$A48,$U$139:$U$288,1,$Y$139:$Y$288,1,$C$139:$C$288,"&lt;="&amp;G$17,$D$139:$D$288,"&gt;="&amp;G$17))</f>
        <v/>
      </c>
      <c r="AQ48" s="31">
        <f>IF($A48="","",SUMIFS($E$139:$E$288,$B$139:$B$288,$A48,$U$139:$U$288,1,$Y$139:$Y$288,1,$C$139:$C$288,"&lt;="&amp;H$17,$D$139:$D$288,"&gt;="&amp;H$17))</f>
        <v/>
      </c>
      <c r="AR48" s="31">
        <f>IF($A48="","",SUMIFS($E$139:$E$288,$B$139:$B$288,$A48,$U$139:$U$288,1,$Y$139:$Y$288,1,$C$139:$C$288,"&lt;="&amp;I$17,$D$139:$D$288,"&gt;="&amp;I$17))</f>
        <v/>
      </c>
      <c r="AS48" s="31">
        <f>IF($A48="","",SUMIFS($E$139:$E$288,$B$139:$B$288,$A48,$U$139:$U$288,1,$Y$139:$Y$288,1,$C$139:$C$288,"&lt;="&amp;J$17,$D$139:$D$288,"&gt;="&amp;J$17))</f>
        <v/>
      </c>
      <c r="AT48" s="31">
        <f>IF($A48="","",SUMIFS($E$139:$E$288,$B$139:$B$288,$A48,$U$139:$U$288,1,$Y$139:$Y$288,1,$C$139:$C$288,"&lt;="&amp;K$17,$D$139:$D$288,"&gt;="&amp;K$17))</f>
        <v/>
      </c>
      <c r="AU48" s="31">
        <f>IF($A48="","",SUMIFS($E$139:$E$288,$B$139:$B$288,$A48,$U$139:$U$288,1,$Y$139:$Y$288,1,$C$139:$C$288,"&lt;="&amp;L$17,$D$139:$D$288,"&gt;="&amp;L$17))</f>
        <v/>
      </c>
      <c r="AV48" s="31">
        <f>IF($A48="","",SUMIFS($E$139:$E$288,$B$139:$B$288,$A48,$U$139:$U$288,1,$Y$139:$Y$288,1,$C$139:$C$288,"&lt;="&amp;M$17,$D$139:$D$288,"&gt;="&amp;M$17))</f>
        <v/>
      </c>
      <c r="AW48" s="31">
        <f>IF($A48="","",SUMIFS($E$139:$E$288,$B$139:$B$288,$A48,$U$139:$U$288,1,$Y$139:$Y$288,1,$C$139:$C$288,"&lt;="&amp;N$17,$D$139:$D$288,"&gt;="&amp;N$17))</f>
        <v/>
      </c>
      <c r="AX48" s="31">
        <f>IF($A48="","",SUMIFS($E$139:$E$288,$B$139:$B$288,$A48,$U$139:$U$288,1,$Y$139:$Y$288,1,$C$139:$C$288,"&lt;="&amp;O$17,$D$139:$D$288,"&gt;="&amp;O$17))</f>
        <v/>
      </c>
      <c r="AY48" s="31">
        <f>IF($A48="","",SUMIFS($E$139:$E$288,$B$139:$B$288,$A48,$U$139:$U$288,1,$Y$139:$Y$288,1,$C$139:$C$288,"&lt;="&amp;P$17,$D$139:$D$288,"&gt;="&amp;P$17))</f>
        <v/>
      </c>
      <c r="AZ48" s="31">
        <f>IF($A48="","",SUMIFS($E$139:$E$288,$B$139:$B$288,$A48,$U$139:$U$288,2,$Y$139:$Y$288,1,$C$139:$C$288,"&lt;="&amp;D$17,$D$139:$D$288,"&gt;="&amp;D$17))</f>
        <v/>
      </c>
      <c r="BA48" s="31">
        <f>IF($A48="","",SUMIFS($E$139:$E$288,$B$139:$B$288,$A48,$U$139:$U$288,2,$Y$139:$Y$288,1,$C$139:$C$288,"&lt;="&amp;E$17,$D$139:$D$288,"&gt;="&amp;E$17))</f>
        <v/>
      </c>
      <c r="BB48" s="31">
        <f>IF($A48="","",SUMIFS($E$139:$E$288,$B$139:$B$288,$A48,$U$139:$U$288,2,$Y$139:$Y$288,1,$C$139:$C$288,"&lt;="&amp;F$17,$D$139:$D$288,"&gt;="&amp;F$17))</f>
        <v/>
      </c>
      <c r="BC48" s="31">
        <f>IF($A48="","",SUMIFS($E$139:$E$288,$B$139:$B$288,$A48,$U$139:$U$288,2,$Y$139:$Y$288,1,$C$139:$C$288,"&lt;="&amp;G$17,$D$139:$D$288,"&gt;="&amp;G$17))</f>
        <v/>
      </c>
      <c r="BD48" s="31">
        <f>IF($A48="","",SUMIFS($E$139:$E$288,$B$139:$B$288,$A48,$U$139:$U$288,2,$Y$139:$Y$288,1,$C$139:$C$288,"&lt;="&amp;H$17,$D$139:$D$288,"&gt;="&amp;H$17))</f>
        <v/>
      </c>
      <c r="BE48" s="31">
        <f>IF($A48="","",SUMIFS($E$139:$E$288,$B$139:$B$288,$A48,$U$139:$U$288,2,$Y$139:$Y$288,1,$C$139:$C$288,"&lt;="&amp;I$17,$D$139:$D$288,"&gt;="&amp;I$17))</f>
        <v/>
      </c>
      <c r="BF48" s="31">
        <f>IF($A48="","",SUMIFS($E$139:$E$288,$B$139:$B$288,$A48,$U$139:$U$288,2,$Y$139:$Y$288,1,$C$139:$C$288,"&lt;="&amp;J$17,$D$139:$D$288,"&gt;="&amp;J$17))</f>
        <v/>
      </c>
      <c r="BG48" s="31">
        <f>IF($A48="","",SUMIFS($E$139:$E$288,$B$139:$B$288,$A48,$U$139:$U$288,2,$Y$139:$Y$288,1,$C$139:$C$288,"&lt;="&amp;K$17,$D$139:$D$288,"&gt;="&amp;K$17))</f>
        <v/>
      </c>
      <c r="BH48" s="31">
        <f>IF($A48="","",SUMIFS($E$139:$E$288,$B$139:$B$288,$A48,$U$139:$U$288,2,$Y$139:$Y$288,1,$C$139:$C$288,"&lt;="&amp;L$17,$D$139:$D$288,"&gt;="&amp;L$17))</f>
        <v/>
      </c>
      <c r="BI48" s="31">
        <f>IF($A48="","",SUMIFS($E$139:$E$288,$B$139:$B$288,$A48,$U$139:$U$288,2,$Y$139:$Y$288,1,$C$139:$C$288,"&lt;="&amp;M$17,$D$139:$D$288,"&gt;="&amp;M$17))</f>
        <v/>
      </c>
      <c r="BJ48" s="31">
        <f>IF($A48="","",SUMIFS($E$139:$E$288,$B$139:$B$288,$A48,$U$139:$U$288,2,$Y$139:$Y$288,1,$C$139:$C$288,"&lt;="&amp;N$17,$D$139:$D$288,"&gt;="&amp;N$17))</f>
        <v/>
      </c>
      <c r="BK48" s="31">
        <f>IF($A48="","",SUMIFS($E$139:$E$288,$B$139:$B$288,$A48,$U$139:$U$288,2,$Y$139:$Y$288,1,$C$139:$C$288,"&lt;="&amp;O$17,$D$139:$D$288,"&gt;="&amp;O$17))</f>
        <v/>
      </c>
      <c r="BL48" s="31">
        <f>IF($A48="","",SUMIFS($E$139:$E$288,$B$139:$B$288,$A48,$U$139:$U$288,2,$Y$139:$Y$288,1,$C$139:$C$288,"&lt;="&amp;P$17,$D$139:$D$288,"&gt;="&amp;P$17))</f>
        <v/>
      </c>
      <c r="BM48" s="31">
        <f>IF(OR($A48="",$D$17=""),0,SUMPRODUCT(($D48:$P48&gt;=0)*(($D48:$P48-$AZ48:$BL48)&lt;0)))</f>
        <v/>
      </c>
      <c r="BN48" s="31">
        <f>IF(IFERROR(INDEX(Register!$A$6:$A$305,ROW()-5),"")="",0,SUMIF($A$139:$A$288,IFERROR(INDEX(Register!$A$6:$A$305,ROW()-5),""),$Z$139:$Z$288))</f>
        <v/>
      </c>
      <c r="BO48" s="31">
        <f>IF(OR(IFERROR(INDEX(Register!$A$6:$A$305,ROW()-5),"")="",SUM($Z$139:$Z$288)=0),0,IF(AND(IFERROR(INDEX(Register!$B$6:$B$305,ROW()-5),"")="Project",IFERROR(INDEX(Register!$D$6:$D$305,ROW()-5),"")="Active",IFERROR(INDEX(Register!$Z$6:$Z$305,ROW()-5),"")=1,$BN48=0),1,0))</f>
        <v/>
      </c>
      <c r="BP48" s="31">
        <f>IF(AND(IFERROR(INDEX(Register!$A$6:$A$305,ROW()-5),"")&lt;&gt;"",IFERROR(INDEX(Register!$D$6:$D$305,ROW()-5),"")="Proposed"),$BN48,0)</f>
        <v/>
      </c>
      <c r="BQ48" s="31">
        <f>IF(OR($A48="",$D$17=""),0,COUNTIF($D48:$P48,"&lt;0"))</f>
        <v/>
      </c>
    </row>
    <row r="49">
      <c r="A49" s="31">
        <f>IF(INDEX($A$63:$A$102,ROW()-17)="","",INDEX($A$63:$A$102,ROW()-17))</f>
        <v/>
      </c>
      <c r="B49" s="31">
        <f>IF(OR($A49="",$D$17=""),"",IF($BQ49=0,"○ Clear","△ "&amp;$BQ49&amp;IF($BQ49=1," week"," weeks")&amp;" over, from "&amp;TEXT(SUMPRODUCT(MIN($D$17:$P$17+($D49:$P49&gt;=0)*100000)),"d mmm")))</f>
        <v/>
      </c>
      <c r="C49" s="32">
        <f>IF($A49="","",IF(AND(ISNUMBER(INDEX($B$63:$B$102,ROW()-17)),INDEX($S$63:$S$102,ROW()-17)=0),INDEX($B$63:$B$102,ROW()-17),IF($C$7="",$B$7,5)))</f>
        <v/>
      </c>
      <c r="D49" s="51">
        <f>IF(OR($A49="",$D$17=""),"",ROUND(Z49-AM49,2))</f>
        <v/>
      </c>
      <c r="E49" s="51">
        <f>IF(OR($A49="",$D$17=""),"",ROUND(AA49-AN49,2))</f>
        <v/>
      </c>
      <c r="F49" s="51">
        <f>IF(OR($A49="",$D$17=""),"",ROUND(AB49-AO49,2))</f>
        <v/>
      </c>
      <c r="G49" s="51">
        <f>IF(OR($A49="",$D$17=""),"",ROUND(AC49-AP49,2))</f>
        <v/>
      </c>
      <c r="H49" s="51">
        <f>IF(OR($A49="",$D$17=""),"",ROUND(AD49-AQ49,2))</f>
        <v/>
      </c>
      <c r="I49" s="51">
        <f>IF(OR($A49="",$D$17=""),"",ROUND(AE49-AR49,2))</f>
        <v/>
      </c>
      <c r="J49" s="51">
        <f>IF(OR($A49="",$D$17=""),"",ROUND(AF49-AS49,2))</f>
        <v/>
      </c>
      <c r="K49" s="51">
        <f>IF(OR($A49="",$D$17=""),"",ROUND(AG49-AT49,2))</f>
        <v/>
      </c>
      <c r="L49" s="51">
        <f>IF(OR($A49="",$D$17=""),"",ROUND(AH49-AU49,2))</f>
        <v/>
      </c>
      <c r="M49" s="51">
        <f>IF(OR($A49="",$D$17=""),"",ROUND(AI49-AV49,2))</f>
        <v/>
      </c>
      <c r="N49" s="51">
        <f>IF(OR($A49="",$D$17=""),"",ROUND(AJ49-AW49,2))</f>
        <v/>
      </c>
      <c r="O49" s="51">
        <f>IF(OR($A49="",$D$17=""),"",ROUND(AK49-AX49,2))</f>
        <v/>
      </c>
      <c r="P49" s="51">
        <f>IF(OR($A49="",$D$17=""),"",ROUND(AL49-AY49,2))</f>
        <v/>
      </c>
      <c r="Q49" s="31">
        <f>IF(OR($A49="",$D$17=""),"",IF(SUM($AZ49:$BL49)=0,"",IF($BM49=0,"Fits","Over in "&amp;$BM49&amp;IF($BM49=1," week"," weeks")&amp;" if approved")))</f>
        <v/>
      </c>
      <c r="Z49" s="31">
        <f>IF(OR($A49="",$D$17=""),"",MAX(0,$C49-SUMIFS($D$106:$D$135,$A$106:$A$135,$A49,$B$106:$B$135,"&lt;="&amp;D$17,$C$106:$C$135,"&gt;="&amp;D$17,$S$106:$S$135,0)-SUMIFS($D$106:$D$135,$A$106:$A$135,"Everyone",$B$106:$B$135,"&lt;="&amp;D$17,$C$106:$C$135,"&gt;="&amp;D$17,$S$106:$S$135,0)))</f>
        <v/>
      </c>
      <c r="AA49" s="31">
        <f>IF(OR($A49="",$D$17=""),"",MAX(0,$C49-SUMIFS($D$106:$D$135,$A$106:$A$135,$A49,$B$106:$B$135,"&lt;="&amp;E$17,$C$106:$C$135,"&gt;="&amp;E$17,$S$106:$S$135,0)-SUMIFS($D$106:$D$135,$A$106:$A$135,"Everyone",$B$106:$B$135,"&lt;="&amp;E$17,$C$106:$C$135,"&gt;="&amp;E$17,$S$106:$S$135,0)))</f>
        <v/>
      </c>
      <c r="AB49" s="31">
        <f>IF(OR($A49="",$D$17=""),"",MAX(0,$C49-SUMIFS($D$106:$D$135,$A$106:$A$135,$A49,$B$106:$B$135,"&lt;="&amp;F$17,$C$106:$C$135,"&gt;="&amp;F$17,$S$106:$S$135,0)-SUMIFS($D$106:$D$135,$A$106:$A$135,"Everyone",$B$106:$B$135,"&lt;="&amp;F$17,$C$106:$C$135,"&gt;="&amp;F$17,$S$106:$S$135,0)))</f>
        <v/>
      </c>
      <c r="AC49" s="31">
        <f>IF(OR($A49="",$D$17=""),"",MAX(0,$C49-SUMIFS($D$106:$D$135,$A$106:$A$135,$A49,$B$106:$B$135,"&lt;="&amp;G$17,$C$106:$C$135,"&gt;="&amp;G$17,$S$106:$S$135,0)-SUMIFS($D$106:$D$135,$A$106:$A$135,"Everyone",$B$106:$B$135,"&lt;="&amp;G$17,$C$106:$C$135,"&gt;="&amp;G$17,$S$106:$S$135,0)))</f>
        <v/>
      </c>
      <c r="AD49" s="31">
        <f>IF(OR($A49="",$D$17=""),"",MAX(0,$C49-SUMIFS($D$106:$D$135,$A$106:$A$135,$A49,$B$106:$B$135,"&lt;="&amp;H$17,$C$106:$C$135,"&gt;="&amp;H$17,$S$106:$S$135,0)-SUMIFS($D$106:$D$135,$A$106:$A$135,"Everyone",$B$106:$B$135,"&lt;="&amp;H$17,$C$106:$C$135,"&gt;="&amp;H$17,$S$106:$S$135,0)))</f>
        <v/>
      </c>
      <c r="AE49" s="31">
        <f>IF(OR($A49="",$D$17=""),"",MAX(0,$C49-SUMIFS($D$106:$D$135,$A$106:$A$135,$A49,$B$106:$B$135,"&lt;="&amp;I$17,$C$106:$C$135,"&gt;="&amp;I$17,$S$106:$S$135,0)-SUMIFS($D$106:$D$135,$A$106:$A$135,"Everyone",$B$106:$B$135,"&lt;="&amp;I$17,$C$106:$C$135,"&gt;="&amp;I$17,$S$106:$S$135,0)))</f>
        <v/>
      </c>
      <c r="AF49" s="31">
        <f>IF(OR($A49="",$D$17=""),"",MAX(0,$C49-SUMIFS($D$106:$D$135,$A$106:$A$135,$A49,$B$106:$B$135,"&lt;="&amp;J$17,$C$106:$C$135,"&gt;="&amp;J$17,$S$106:$S$135,0)-SUMIFS($D$106:$D$135,$A$106:$A$135,"Everyone",$B$106:$B$135,"&lt;="&amp;J$17,$C$106:$C$135,"&gt;="&amp;J$17,$S$106:$S$135,0)))</f>
        <v/>
      </c>
      <c r="AG49" s="31">
        <f>IF(OR($A49="",$D$17=""),"",MAX(0,$C49-SUMIFS($D$106:$D$135,$A$106:$A$135,$A49,$B$106:$B$135,"&lt;="&amp;K$17,$C$106:$C$135,"&gt;="&amp;K$17,$S$106:$S$135,0)-SUMIFS($D$106:$D$135,$A$106:$A$135,"Everyone",$B$106:$B$135,"&lt;="&amp;K$17,$C$106:$C$135,"&gt;="&amp;K$17,$S$106:$S$135,0)))</f>
        <v/>
      </c>
      <c r="AH49" s="31">
        <f>IF(OR($A49="",$D$17=""),"",MAX(0,$C49-SUMIFS($D$106:$D$135,$A$106:$A$135,$A49,$B$106:$B$135,"&lt;="&amp;L$17,$C$106:$C$135,"&gt;="&amp;L$17,$S$106:$S$135,0)-SUMIFS($D$106:$D$135,$A$106:$A$135,"Everyone",$B$106:$B$135,"&lt;="&amp;L$17,$C$106:$C$135,"&gt;="&amp;L$17,$S$106:$S$135,0)))</f>
        <v/>
      </c>
      <c r="AI49" s="31">
        <f>IF(OR($A49="",$D$17=""),"",MAX(0,$C49-SUMIFS($D$106:$D$135,$A$106:$A$135,$A49,$B$106:$B$135,"&lt;="&amp;M$17,$C$106:$C$135,"&gt;="&amp;M$17,$S$106:$S$135,0)-SUMIFS($D$106:$D$135,$A$106:$A$135,"Everyone",$B$106:$B$135,"&lt;="&amp;M$17,$C$106:$C$135,"&gt;="&amp;M$17,$S$106:$S$135,0)))</f>
        <v/>
      </c>
      <c r="AJ49" s="31">
        <f>IF(OR($A49="",$D$17=""),"",MAX(0,$C49-SUMIFS($D$106:$D$135,$A$106:$A$135,$A49,$B$106:$B$135,"&lt;="&amp;N$17,$C$106:$C$135,"&gt;="&amp;N$17,$S$106:$S$135,0)-SUMIFS($D$106:$D$135,$A$106:$A$135,"Everyone",$B$106:$B$135,"&lt;="&amp;N$17,$C$106:$C$135,"&gt;="&amp;N$17,$S$106:$S$135,0)))</f>
        <v/>
      </c>
      <c r="AK49" s="31">
        <f>IF(OR($A49="",$D$17=""),"",MAX(0,$C49-SUMIFS($D$106:$D$135,$A$106:$A$135,$A49,$B$106:$B$135,"&lt;="&amp;O$17,$C$106:$C$135,"&gt;="&amp;O$17,$S$106:$S$135,0)-SUMIFS($D$106:$D$135,$A$106:$A$135,"Everyone",$B$106:$B$135,"&lt;="&amp;O$17,$C$106:$C$135,"&gt;="&amp;O$17,$S$106:$S$135,0)))</f>
        <v/>
      </c>
      <c r="AL49" s="31">
        <f>IF(OR($A49="",$D$17=""),"",MAX(0,$C49-SUMIFS($D$106:$D$135,$A$106:$A$135,$A49,$B$106:$B$135,"&lt;="&amp;P$17,$C$106:$C$135,"&gt;="&amp;P$17,$S$106:$S$135,0)-SUMIFS($D$106:$D$135,$A$106:$A$135,"Everyone",$B$106:$B$135,"&lt;="&amp;P$17,$C$106:$C$135,"&gt;="&amp;P$17,$S$106:$S$135,0)))</f>
        <v/>
      </c>
      <c r="AM49" s="31">
        <f>IF($A49="","",SUMIFS($E$139:$E$288,$B$139:$B$288,$A49,$U$139:$U$288,1,$Y$139:$Y$288,1,$C$139:$C$288,"&lt;="&amp;D$17,$D$139:$D$288,"&gt;="&amp;D$17))</f>
        <v/>
      </c>
      <c r="AN49" s="31">
        <f>IF($A49="","",SUMIFS($E$139:$E$288,$B$139:$B$288,$A49,$U$139:$U$288,1,$Y$139:$Y$288,1,$C$139:$C$288,"&lt;="&amp;E$17,$D$139:$D$288,"&gt;="&amp;E$17))</f>
        <v/>
      </c>
      <c r="AO49" s="31">
        <f>IF($A49="","",SUMIFS($E$139:$E$288,$B$139:$B$288,$A49,$U$139:$U$288,1,$Y$139:$Y$288,1,$C$139:$C$288,"&lt;="&amp;F$17,$D$139:$D$288,"&gt;="&amp;F$17))</f>
        <v/>
      </c>
      <c r="AP49" s="31">
        <f>IF($A49="","",SUMIFS($E$139:$E$288,$B$139:$B$288,$A49,$U$139:$U$288,1,$Y$139:$Y$288,1,$C$139:$C$288,"&lt;="&amp;G$17,$D$139:$D$288,"&gt;="&amp;G$17))</f>
        <v/>
      </c>
      <c r="AQ49" s="31">
        <f>IF($A49="","",SUMIFS($E$139:$E$288,$B$139:$B$288,$A49,$U$139:$U$288,1,$Y$139:$Y$288,1,$C$139:$C$288,"&lt;="&amp;H$17,$D$139:$D$288,"&gt;="&amp;H$17))</f>
        <v/>
      </c>
      <c r="AR49" s="31">
        <f>IF($A49="","",SUMIFS($E$139:$E$288,$B$139:$B$288,$A49,$U$139:$U$288,1,$Y$139:$Y$288,1,$C$139:$C$288,"&lt;="&amp;I$17,$D$139:$D$288,"&gt;="&amp;I$17))</f>
        <v/>
      </c>
      <c r="AS49" s="31">
        <f>IF($A49="","",SUMIFS($E$139:$E$288,$B$139:$B$288,$A49,$U$139:$U$288,1,$Y$139:$Y$288,1,$C$139:$C$288,"&lt;="&amp;J$17,$D$139:$D$288,"&gt;="&amp;J$17))</f>
        <v/>
      </c>
      <c r="AT49" s="31">
        <f>IF($A49="","",SUMIFS($E$139:$E$288,$B$139:$B$288,$A49,$U$139:$U$288,1,$Y$139:$Y$288,1,$C$139:$C$288,"&lt;="&amp;K$17,$D$139:$D$288,"&gt;="&amp;K$17))</f>
        <v/>
      </c>
      <c r="AU49" s="31">
        <f>IF($A49="","",SUMIFS($E$139:$E$288,$B$139:$B$288,$A49,$U$139:$U$288,1,$Y$139:$Y$288,1,$C$139:$C$288,"&lt;="&amp;L$17,$D$139:$D$288,"&gt;="&amp;L$17))</f>
        <v/>
      </c>
      <c r="AV49" s="31">
        <f>IF($A49="","",SUMIFS($E$139:$E$288,$B$139:$B$288,$A49,$U$139:$U$288,1,$Y$139:$Y$288,1,$C$139:$C$288,"&lt;="&amp;M$17,$D$139:$D$288,"&gt;="&amp;M$17))</f>
        <v/>
      </c>
      <c r="AW49" s="31">
        <f>IF($A49="","",SUMIFS($E$139:$E$288,$B$139:$B$288,$A49,$U$139:$U$288,1,$Y$139:$Y$288,1,$C$139:$C$288,"&lt;="&amp;N$17,$D$139:$D$288,"&gt;="&amp;N$17))</f>
        <v/>
      </c>
      <c r="AX49" s="31">
        <f>IF($A49="","",SUMIFS($E$139:$E$288,$B$139:$B$288,$A49,$U$139:$U$288,1,$Y$139:$Y$288,1,$C$139:$C$288,"&lt;="&amp;O$17,$D$139:$D$288,"&gt;="&amp;O$17))</f>
        <v/>
      </c>
      <c r="AY49" s="31">
        <f>IF($A49="","",SUMIFS($E$139:$E$288,$B$139:$B$288,$A49,$U$139:$U$288,1,$Y$139:$Y$288,1,$C$139:$C$288,"&lt;="&amp;P$17,$D$139:$D$288,"&gt;="&amp;P$17))</f>
        <v/>
      </c>
      <c r="AZ49" s="31">
        <f>IF($A49="","",SUMIFS($E$139:$E$288,$B$139:$B$288,$A49,$U$139:$U$288,2,$Y$139:$Y$288,1,$C$139:$C$288,"&lt;="&amp;D$17,$D$139:$D$288,"&gt;="&amp;D$17))</f>
        <v/>
      </c>
      <c r="BA49" s="31">
        <f>IF($A49="","",SUMIFS($E$139:$E$288,$B$139:$B$288,$A49,$U$139:$U$288,2,$Y$139:$Y$288,1,$C$139:$C$288,"&lt;="&amp;E$17,$D$139:$D$288,"&gt;="&amp;E$17))</f>
        <v/>
      </c>
      <c r="BB49" s="31">
        <f>IF($A49="","",SUMIFS($E$139:$E$288,$B$139:$B$288,$A49,$U$139:$U$288,2,$Y$139:$Y$288,1,$C$139:$C$288,"&lt;="&amp;F$17,$D$139:$D$288,"&gt;="&amp;F$17))</f>
        <v/>
      </c>
      <c r="BC49" s="31">
        <f>IF($A49="","",SUMIFS($E$139:$E$288,$B$139:$B$288,$A49,$U$139:$U$288,2,$Y$139:$Y$288,1,$C$139:$C$288,"&lt;="&amp;G$17,$D$139:$D$288,"&gt;="&amp;G$17))</f>
        <v/>
      </c>
      <c r="BD49" s="31">
        <f>IF($A49="","",SUMIFS($E$139:$E$288,$B$139:$B$288,$A49,$U$139:$U$288,2,$Y$139:$Y$288,1,$C$139:$C$288,"&lt;="&amp;H$17,$D$139:$D$288,"&gt;="&amp;H$17))</f>
        <v/>
      </c>
      <c r="BE49" s="31">
        <f>IF($A49="","",SUMIFS($E$139:$E$288,$B$139:$B$288,$A49,$U$139:$U$288,2,$Y$139:$Y$288,1,$C$139:$C$288,"&lt;="&amp;I$17,$D$139:$D$288,"&gt;="&amp;I$17))</f>
        <v/>
      </c>
      <c r="BF49" s="31">
        <f>IF($A49="","",SUMIFS($E$139:$E$288,$B$139:$B$288,$A49,$U$139:$U$288,2,$Y$139:$Y$288,1,$C$139:$C$288,"&lt;="&amp;J$17,$D$139:$D$288,"&gt;="&amp;J$17))</f>
        <v/>
      </c>
      <c r="BG49" s="31">
        <f>IF($A49="","",SUMIFS($E$139:$E$288,$B$139:$B$288,$A49,$U$139:$U$288,2,$Y$139:$Y$288,1,$C$139:$C$288,"&lt;="&amp;K$17,$D$139:$D$288,"&gt;="&amp;K$17))</f>
        <v/>
      </c>
      <c r="BH49" s="31">
        <f>IF($A49="","",SUMIFS($E$139:$E$288,$B$139:$B$288,$A49,$U$139:$U$288,2,$Y$139:$Y$288,1,$C$139:$C$288,"&lt;="&amp;L$17,$D$139:$D$288,"&gt;="&amp;L$17))</f>
        <v/>
      </c>
      <c r="BI49" s="31">
        <f>IF($A49="","",SUMIFS($E$139:$E$288,$B$139:$B$288,$A49,$U$139:$U$288,2,$Y$139:$Y$288,1,$C$139:$C$288,"&lt;="&amp;M$17,$D$139:$D$288,"&gt;="&amp;M$17))</f>
        <v/>
      </c>
      <c r="BJ49" s="31">
        <f>IF($A49="","",SUMIFS($E$139:$E$288,$B$139:$B$288,$A49,$U$139:$U$288,2,$Y$139:$Y$288,1,$C$139:$C$288,"&lt;="&amp;N$17,$D$139:$D$288,"&gt;="&amp;N$17))</f>
        <v/>
      </c>
      <c r="BK49" s="31">
        <f>IF($A49="","",SUMIFS($E$139:$E$288,$B$139:$B$288,$A49,$U$139:$U$288,2,$Y$139:$Y$288,1,$C$139:$C$288,"&lt;="&amp;O$17,$D$139:$D$288,"&gt;="&amp;O$17))</f>
        <v/>
      </c>
      <c r="BL49" s="31">
        <f>IF($A49="","",SUMIFS($E$139:$E$288,$B$139:$B$288,$A49,$U$139:$U$288,2,$Y$139:$Y$288,1,$C$139:$C$288,"&lt;="&amp;P$17,$D$139:$D$288,"&gt;="&amp;P$17))</f>
        <v/>
      </c>
      <c r="BM49" s="31">
        <f>IF(OR($A49="",$D$17=""),0,SUMPRODUCT(($D49:$P49&gt;=0)*(($D49:$P49-$AZ49:$BL49)&lt;0)))</f>
        <v/>
      </c>
      <c r="BN49" s="31">
        <f>IF(IFERROR(INDEX(Register!$A$6:$A$305,ROW()-5),"")="",0,SUMIF($A$139:$A$288,IFERROR(INDEX(Register!$A$6:$A$305,ROW()-5),""),$Z$139:$Z$288))</f>
        <v/>
      </c>
      <c r="BO49" s="31">
        <f>IF(OR(IFERROR(INDEX(Register!$A$6:$A$305,ROW()-5),"")="",SUM($Z$139:$Z$288)=0),0,IF(AND(IFERROR(INDEX(Register!$B$6:$B$305,ROW()-5),"")="Project",IFERROR(INDEX(Register!$D$6:$D$305,ROW()-5),"")="Active",IFERROR(INDEX(Register!$Z$6:$Z$305,ROW()-5),"")=1,$BN49=0),1,0))</f>
        <v/>
      </c>
      <c r="BP49" s="31">
        <f>IF(AND(IFERROR(INDEX(Register!$A$6:$A$305,ROW()-5),"")&lt;&gt;"",IFERROR(INDEX(Register!$D$6:$D$305,ROW()-5),"")="Proposed"),$BN49,0)</f>
        <v/>
      </c>
      <c r="BQ49" s="31">
        <f>IF(OR($A49="",$D$17=""),0,COUNTIF($D49:$P49,"&lt;0"))</f>
        <v/>
      </c>
    </row>
    <row r="50">
      <c r="A50" s="31">
        <f>IF(INDEX($A$63:$A$102,ROW()-17)="","",INDEX($A$63:$A$102,ROW()-17))</f>
        <v/>
      </c>
      <c r="B50" s="31">
        <f>IF(OR($A50="",$D$17=""),"",IF($BQ50=0,"○ Clear","△ "&amp;$BQ50&amp;IF($BQ50=1," week"," weeks")&amp;" over, from "&amp;TEXT(SUMPRODUCT(MIN($D$17:$P$17+($D50:$P50&gt;=0)*100000)),"d mmm")))</f>
        <v/>
      </c>
      <c r="C50" s="32">
        <f>IF($A50="","",IF(AND(ISNUMBER(INDEX($B$63:$B$102,ROW()-17)),INDEX($S$63:$S$102,ROW()-17)=0),INDEX($B$63:$B$102,ROW()-17),IF($C$7="",$B$7,5)))</f>
        <v/>
      </c>
      <c r="D50" s="51">
        <f>IF(OR($A50="",$D$17=""),"",ROUND(Z50-AM50,2))</f>
        <v/>
      </c>
      <c r="E50" s="51">
        <f>IF(OR($A50="",$D$17=""),"",ROUND(AA50-AN50,2))</f>
        <v/>
      </c>
      <c r="F50" s="51">
        <f>IF(OR($A50="",$D$17=""),"",ROUND(AB50-AO50,2))</f>
        <v/>
      </c>
      <c r="G50" s="51">
        <f>IF(OR($A50="",$D$17=""),"",ROUND(AC50-AP50,2))</f>
        <v/>
      </c>
      <c r="H50" s="51">
        <f>IF(OR($A50="",$D$17=""),"",ROUND(AD50-AQ50,2))</f>
        <v/>
      </c>
      <c r="I50" s="51">
        <f>IF(OR($A50="",$D$17=""),"",ROUND(AE50-AR50,2))</f>
        <v/>
      </c>
      <c r="J50" s="51">
        <f>IF(OR($A50="",$D$17=""),"",ROUND(AF50-AS50,2))</f>
        <v/>
      </c>
      <c r="K50" s="51">
        <f>IF(OR($A50="",$D$17=""),"",ROUND(AG50-AT50,2))</f>
        <v/>
      </c>
      <c r="L50" s="51">
        <f>IF(OR($A50="",$D$17=""),"",ROUND(AH50-AU50,2))</f>
        <v/>
      </c>
      <c r="M50" s="51">
        <f>IF(OR($A50="",$D$17=""),"",ROUND(AI50-AV50,2))</f>
        <v/>
      </c>
      <c r="N50" s="51">
        <f>IF(OR($A50="",$D$17=""),"",ROUND(AJ50-AW50,2))</f>
        <v/>
      </c>
      <c r="O50" s="51">
        <f>IF(OR($A50="",$D$17=""),"",ROUND(AK50-AX50,2))</f>
        <v/>
      </c>
      <c r="P50" s="51">
        <f>IF(OR($A50="",$D$17=""),"",ROUND(AL50-AY50,2))</f>
        <v/>
      </c>
      <c r="Q50" s="31">
        <f>IF(OR($A50="",$D$17=""),"",IF(SUM($AZ50:$BL50)=0,"",IF($BM50=0,"Fits","Over in "&amp;$BM50&amp;IF($BM50=1," week"," weeks")&amp;" if approved")))</f>
        <v/>
      </c>
      <c r="Z50" s="31">
        <f>IF(OR($A50="",$D$17=""),"",MAX(0,$C50-SUMIFS($D$106:$D$135,$A$106:$A$135,$A50,$B$106:$B$135,"&lt;="&amp;D$17,$C$106:$C$135,"&gt;="&amp;D$17,$S$106:$S$135,0)-SUMIFS($D$106:$D$135,$A$106:$A$135,"Everyone",$B$106:$B$135,"&lt;="&amp;D$17,$C$106:$C$135,"&gt;="&amp;D$17,$S$106:$S$135,0)))</f>
        <v/>
      </c>
      <c r="AA50" s="31">
        <f>IF(OR($A50="",$D$17=""),"",MAX(0,$C50-SUMIFS($D$106:$D$135,$A$106:$A$135,$A50,$B$106:$B$135,"&lt;="&amp;E$17,$C$106:$C$135,"&gt;="&amp;E$17,$S$106:$S$135,0)-SUMIFS($D$106:$D$135,$A$106:$A$135,"Everyone",$B$106:$B$135,"&lt;="&amp;E$17,$C$106:$C$135,"&gt;="&amp;E$17,$S$106:$S$135,0)))</f>
        <v/>
      </c>
      <c r="AB50" s="31">
        <f>IF(OR($A50="",$D$17=""),"",MAX(0,$C50-SUMIFS($D$106:$D$135,$A$106:$A$135,$A50,$B$106:$B$135,"&lt;="&amp;F$17,$C$106:$C$135,"&gt;="&amp;F$17,$S$106:$S$135,0)-SUMIFS($D$106:$D$135,$A$106:$A$135,"Everyone",$B$106:$B$135,"&lt;="&amp;F$17,$C$106:$C$135,"&gt;="&amp;F$17,$S$106:$S$135,0)))</f>
        <v/>
      </c>
      <c r="AC50" s="31">
        <f>IF(OR($A50="",$D$17=""),"",MAX(0,$C50-SUMIFS($D$106:$D$135,$A$106:$A$135,$A50,$B$106:$B$135,"&lt;="&amp;G$17,$C$106:$C$135,"&gt;="&amp;G$17,$S$106:$S$135,0)-SUMIFS($D$106:$D$135,$A$106:$A$135,"Everyone",$B$106:$B$135,"&lt;="&amp;G$17,$C$106:$C$135,"&gt;="&amp;G$17,$S$106:$S$135,0)))</f>
        <v/>
      </c>
      <c r="AD50" s="31">
        <f>IF(OR($A50="",$D$17=""),"",MAX(0,$C50-SUMIFS($D$106:$D$135,$A$106:$A$135,$A50,$B$106:$B$135,"&lt;="&amp;H$17,$C$106:$C$135,"&gt;="&amp;H$17,$S$106:$S$135,0)-SUMIFS($D$106:$D$135,$A$106:$A$135,"Everyone",$B$106:$B$135,"&lt;="&amp;H$17,$C$106:$C$135,"&gt;="&amp;H$17,$S$106:$S$135,0)))</f>
        <v/>
      </c>
      <c r="AE50" s="31">
        <f>IF(OR($A50="",$D$17=""),"",MAX(0,$C50-SUMIFS($D$106:$D$135,$A$106:$A$135,$A50,$B$106:$B$135,"&lt;="&amp;I$17,$C$106:$C$135,"&gt;="&amp;I$17,$S$106:$S$135,0)-SUMIFS($D$106:$D$135,$A$106:$A$135,"Everyone",$B$106:$B$135,"&lt;="&amp;I$17,$C$106:$C$135,"&gt;="&amp;I$17,$S$106:$S$135,0)))</f>
        <v/>
      </c>
      <c r="AF50" s="31">
        <f>IF(OR($A50="",$D$17=""),"",MAX(0,$C50-SUMIFS($D$106:$D$135,$A$106:$A$135,$A50,$B$106:$B$135,"&lt;="&amp;J$17,$C$106:$C$135,"&gt;="&amp;J$17,$S$106:$S$135,0)-SUMIFS($D$106:$D$135,$A$106:$A$135,"Everyone",$B$106:$B$135,"&lt;="&amp;J$17,$C$106:$C$135,"&gt;="&amp;J$17,$S$106:$S$135,0)))</f>
        <v/>
      </c>
      <c r="AG50" s="31">
        <f>IF(OR($A50="",$D$17=""),"",MAX(0,$C50-SUMIFS($D$106:$D$135,$A$106:$A$135,$A50,$B$106:$B$135,"&lt;="&amp;K$17,$C$106:$C$135,"&gt;="&amp;K$17,$S$106:$S$135,0)-SUMIFS($D$106:$D$135,$A$106:$A$135,"Everyone",$B$106:$B$135,"&lt;="&amp;K$17,$C$106:$C$135,"&gt;="&amp;K$17,$S$106:$S$135,0)))</f>
        <v/>
      </c>
      <c r="AH50" s="31">
        <f>IF(OR($A50="",$D$17=""),"",MAX(0,$C50-SUMIFS($D$106:$D$135,$A$106:$A$135,$A50,$B$106:$B$135,"&lt;="&amp;L$17,$C$106:$C$135,"&gt;="&amp;L$17,$S$106:$S$135,0)-SUMIFS($D$106:$D$135,$A$106:$A$135,"Everyone",$B$106:$B$135,"&lt;="&amp;L$17,$C$106:$C$135,"&gt;="&amp;L$17,$S$106:$S$135,0)))</f>
        <v/>
      </c>
      <c r="AI50" s="31">
        <f>IF(OR($A50="",$D$17=""),"",MAX(0,$C50-SUMIFS($D$106:$D$135,$A$106:$A$135,$A50,$B$106:$B$135,"&lt;="&amp;M$17,$C$106:$C$135,"&gt;="&amp;M$17,$S$106:$S$135,0)-SUMIFS($D$106:$D$135,$A$106:$A$135,"Everyone",$B$106:$B$135,"&lt;="&amp;M$17,$C$106:$C$135,"&gt;="&amp;M$17,$S$106:$S$135,0)))</f>
        <v/>
      </c>
      <c r="AJ50" s="31">
        <f>IF(OR($A50="",$D$17=""),"",MAX(0,$C50-SUMIFS($D$106:$D$135,$A$106:$A$135,$A50,$B$106:$B$135,"&lt;="&amp;N$17,$C$106:$C$135,"&gt;="&amp;N$17,$S$106:$S$135,0)-SUMIFS($D$106:$D$135,$A$106:$A$135,"Everyone",$B$106:$B$135,"&lt;="&amp;N$17,$C$106:$C$135,"&gt;="&amp;N$17,$S$106:$S$135,0)))</f>
        <v/>
      </c>
      <c r="AK50" s="31">
        <f>IF(OR($A50="",$D$17=""),"",MAX(0,$C50-SUMIFS($D$106:$D$135,$A$106:$A$135,$A50,$B$106:$B$135,"&lt;="&amp;O$17,$C$106:$C$135,"&gt;="&amp;O$17,$S$106:$S$135,0)-SUMIFS($D$106:$D$135,$A$106:$A$135,"Everyone",$B$106:$B$135,"&lt;="&amp;O$17,$C$106:$C$135,"&gt;="&amp;O$17,$S$106:$S$135,0)))</f>
        <v/>
      </c>
      <c r="AL50" s="31">
        <f>IF(OR($A50="",$D$17=""),"",MAX(0,$C50-SUMIFS($D$106:$D$135,$A$106:$A$135,$A50,$B$106:$B$135,"&lt;="&amp;P$17,$C$106:$C$135,"&gt;="&amp;P$17,$S$106:$S$135,0)-SUMIFS($D$106:$D$135,$A$106:$A$135,"Everyone",$B$106:$B$135,"&lt;="&amp;P$17,$C$106:$C$135,"&gt;="&amp;P$17,$S$106:$S$135,0)))</f>
        <v/>
      </c>
      <c r="AM50" s="31">
        <f>IF($A50="","",SUMIFS($E$139:$E$288,$B$139:$B$288,$A50,$U$139:$U$288,1,$Y$139:$Y$288,1,$C$139:$C$288,"&lt;="&amp;D$17,$D$139:$D$288,"&gt;="&amp;D$17))</f>
        <v/>
      </c>
      <c r="AN50" s="31">
        <f>IF($A50="","",SUMIFS($E$139:$E$288,$B$139:$B$288,$A50,$U$139:$U$288,1,$Y$139:$Y$288,1,$C$139:$C$288,"&lt;="&amp;E$17,$D$139:$D$288,"&gt;="&amp;E$17))</f>
        <v/>
      </c>
      <c r="AO50" s="31">
        <f>IF($A50="","",SUMIFS($E$139:$E$288,$B$139:$B$288,$A50,$U$139:$U$288,1,$Y$139:$Y$288,1,$C$139:$C$288,"&lt;="&amp;F$17,$D$139:$D$288,"&gt;="&amp;F$17))</f>
        <v/>
      </c>
      <c r="AP50" s="31">
        <f>IF($A50="","",SUMIFS($E$139:$E$288,$B$139:$B$288,$A50,$U$139:$U$288,1,$Y$139:$Y$288,1,$C$139:$C$288,"&lt;="&amp;G$17,$D$139:$D$288,"&gt;="&amp;G$17))</f>
        <v/>
      </c>
      <c r="AQ50" s="31">
        <f>IF($A50="","",SUMIFS($E$139:$E$288,$B$139:$B$288,$A50,$U$139:$U$288,1,$Y$139:$Y$288,1,$C$139:$C$288,"&lt;="&amp;H$17,$D$139:$D$288,"&gt;="&amp;H$17))</f>
        <v/>
      </c>
      <c r="AR50" s="31">
        <f>IF($A50="","",SUMIFS($E$139:$E$288,$B$139:$B$288,$A50,$U$139:$U$288,1,$Y$139:$Y$288,1,$C$139:$C$288,"&lt;="&amp;I$17,$D$139:$D$288,"&gt;="&amp;I$17))</f>
        <v/>
      </c>
      <c r="AS50" s="31">
        <f>IF($A50="","",SUMIFS($E$139:$E$288,$B$139:$B$288,$A50,$U$139:$U$288,1,$Y$139:$Y$288,1,$C$139:$C$288,"&lt;="&amp;J$17,$D$139:$D$288,"&gt;="&amp;J$17))</f>
        <v/>
      </c>
      <c r="AT50" s="31">
        <f>IF($A50="","",SUMIFS($E$139:$E$288,$B$139:$B$288,$A50,$U$139:$U$288,1,$Y$139:$Y$288,1,$C$139:$C$288,"&lt;="&amp;K$17,$D$139:$D$288,"&gt;="&amp;K$17))</f>
        <v/>
      </c>
      <c r="AU50" s="31">
        <f>IF($A50="","",SUMIFS($E$139:$E$288,$B$139:$B$288,$A50,$U$139:$U$288,1,$Y$139:$Y$288,1,$C$139:$C$288,"&lt;="&amp;L$17,$D$139:$D$288,"&gt;="&amp;L$17))</f>
        <v/>
      </c>
      <c r="AV50" s="31">
        <f>IF($A50="","",SUMIFS($E$139:$E$288,$B$139:$B$288,$A50,$U$139:$U$288,1,$Y$139:$Y$288,1,$C$139:$C$288,"&lt;="&amp;M$17,$D$139:$D$288,"&gt;="&amp;M$17))</f>
        <v/>
      </c>
      <c r="AW50" s="31">
        <f>IF($A50="","",SUMIFS($E$139:$E$288,$B$139:$B$288,$A50,$U$139:$U$288,1,$Y$139:$Y$288,1,$C$139:$C$288,"&lt;="&amp;N$17,$D$139:$D$288,"&gt;="&amp;N$17))</f>
        <v/>
      </c>
      <c r="AX50" s="31">
        <f>IF($A50="","",SUMIFS($E$139:$E$288,$B$139:$B$288,$A50,$U$139:$U$288,1,$Y$139:$Y$288,1,$C$139:$C$288,"&lt;="&amp;O$17,$D$139:$D$288,"&gt;="&amp;O$17))</f>
        <v/>
      </c>
      <c r="AY50" s="31">
        <f>IF($A50="","",SUMIFS($E$139:$E$288,$B$139:$B$288,$A50,$U$139:$U$288,1,$Y$139:$Y$288,1,$C$139:$C$288,"&lt;="&amp;P$17,$D$139:$D$288,"&gt;="&amp;P$17))</f>
        <v/>
      </c>
      <c r="AZ50" s="31">
        <f>IF($A50="","",SUMIFS($E$139:$E$288,$B$139:$B$288,$A50,$U$139:$U$288,2,$Y$139:$Y$288,1,$C$139:$C$288,"&lt;="&amp;D$17,$D$139:$D$288,"&gt;="&amp;D$17))</f>
        <v/>
      </c>
      <c r="BA50" s="31">
        <f>IF($A50="","",SUMIFS($E$139:$E$288,$B$139:$B$288,$A50,$U$139:$U$288,2,$Y$139:$Y$288,1,$C$139:$C$288,"&lt;="&amp;E$17,$D$139:$D$288,"&gt;="&amp;E$17))</f>
        <v/>
      </c>
      <c r="BB50" s="31">
        <f>IF($A50="","",SUMIFS($E$139:$E$288,$B$139:$B$288,$A50,$U$139:$U$288,2,$Y$139:$Y$288,1,$C$139:$C$288,"&lt;="&amp;F$17,$D$139:$D$288,"&gt;="&amp;F$17))</f>
        <v/>
      </c>
      <c r="BC50" s="31">
        <f>IF($A50="","",SUMIFS($E$139:$E$288,$B$139:$B$288,$A50,$U$139:$U$288,2,$Y$139:$Y$288,1,$C$139:$C$288,"&lt;="&amp;G$17,$D$139:$D$288,"&gt;="&amp;G$17))</f>
        <v/>
      </c>
      <c r="BD50" s="31">
        <f>IF($A50="","",SUMIFS($E$139:$E$288,$B$139:$B$288,$A50,$U$139:$U$288,2,$Y$139:$Y$288,1,$C$139:$C$288,"&lt;="&amp;H$17,$D$139:$D$288,"&gt;="&amp;H$17))</f>
        <v/>
      </c>
      <c r="BE50" s="31">
        <f>IF($A50="","",SUMIFS($E$139:$E$288,$B$139:$B$288,$A50,$U$139:$U$288,2,$Y$139:$Y$288,1,$C$139:$C$288,"&lt;="&amp;I$17,$D$139:$D$288,"&gt;="&amp;I$17))</f>
        <v/>
      </c>
      <c r="BF50" s="31">
        <f>IF($A50="","",SUMIFS($E$139:$E$288,$B$139:$B$288,$A50,$U$139:$U$288,2,$Y$139:$Y$288,1,$C$139:$C$288,"&lt;="&amp;J$17,$D$139:$D$288,"&gt;="&amp;J$17))</f>
        <v/>
      </c>
      <c r="BG50" s="31">
        <f>IF($A50="","",SUMIFS($E$139:$E$288,$B$139:$B$288,$A50,$U$139:$U$288,2,$Y$139:$Y$288,1,$C$139:$C$288,"&lt;="&amp;K$17,$D$139:$D$288,"&gt;="&amp;K$17))</f>
        <v/>
      </c>
      <c r="BH50" s="31">
        <f>IF($A50="","",SUMIFS($E$139:$E$288,$B$139:$B$288,$A50,$U$139:$U$288,2,$Y$139:$Y$288,1,$C$139:$C$288,"&lt;="&amp;L$17,$D$139:$D$288,"&gt;="&amp;L$17))</f>
        <v/>
      </c>
      <c r="BI50" s="31">
        <f>IF($A50="","",SUMIFS($E$139:$E$288,$B$139:$B$288,$A50,$U$139:$U$288,2,$Y$139:$Y$288,1,$C$139:$C$288,"&lt;="&amp;M$17,$D$139:$D$288,"&gt;="&amp;M$17))</f>
        <v/>
      </c>
      <c r="BJ50" s="31">
        <f>IF($A50="","",SUMIFS($E$139:$E$288,$B$139:$B$288,$A50,$U$139:$U$288,2,$Y$139:$Y$288,1,$C$139:$C$288,"&lt;="&amp;N$17,$D$139:$D$288,"&gt;="&amp;N$17))</f>
        <v/>
      </c>
      <c r="BK50" s="31">
        <f>IF($A50="","",SUMIFS($E$139:$E$288,$B$139:$B$288,$A50,$U$139:$U$288,2,$Y$139:$Y$288,1,$C$139:$C$288,"&lt;="&amp;O$17,$D$139:$D$288,"&gt;="&amp;O$17))</f>
        <v/>
      </c>
      <c r="BL50" s="31">
        <f>IF($A50="","",SUMIFS($E$139:$E$288,$B$139:$B$288,$A50,$U$139:$U$288,2,$Y$139:$Y$288,1,$C$139:$C$288,"&lt;="&amp;P$17,$D$139:$D$288,"&gt;="&amp;P$17))</f>
        <v/>
      </c>
      <c r="BM50" s="31">
        <f>IF(OR($A50="",$D$17=""),0,SUMPRODUCT(($D50:$P50&gt;=0)*(($D50:$P50-$AZ50:$BL50)&lt;0)))</f>
        <v/>
      </c>
      <c r="BN50" s="31">
        <f>IF(IFERROR(INDEX(Register!$A$6:$A$305,ROW()-5),"")="",0,SUMIF($A$139:$A$288,IFERROR(INDEX(Register!$A$6:$A$305,ROW()-5),""),$Z$139:$Z$288))</f>
        <v/>
      </c>
      <c r="BO50" s="31">
        <f>IF(OR(IFERROR(INDEX(Register!$A$6:$A$305,ROW()-5),"")="",SUM($Z$139:$Z$288)=0),0,IF(AND(IFERROR(INDEX(Register!$B$6:$B$305,ROW()-5),"")="Project",IFERROR(INDEX(Register!$D$6:$D$305,ROW()-5),"")="Active",IFERROR(INDEX(Register!$Z$6:$Z$305,ROW()-5),"")=1,$BN50=0),1,0))</f>
        <v/>
      </c>
      <c r="BP50" s="31">
        <f>IF(AND(IFERROR(INDEX(Register!$A$6:$A$305,ROW()-5),"")&lt;&gt;"",IFERROR(INDEX(Register!$D$6:$D$305,ROW()-5),"")="Proposed"),$BN50,0)</f>
        <v/>
      </c>
      <c r="BQ50" s="31">
        <f>IF(OR($A50="",$D$17=""),0,COUNTIF($D50:$P50,"&lt;0"))</f>
        <v/>
      </c>
    </row>
    <row r="51">
      <c r="A51" s="31">
        <f>IF(INDEX($A$63:$A$102,ROW()-17)="","",INDEX($A$63:$A$102,ROW()-17))</f>
        <v/>
      </c>
      <c r="B51" s="31">
        <f>IF(OR($A51="",$D$17=""),"",IF($BQ51=0,"○ Clear","△ "&amp;$BQ51&amp;IF($BQ51=1," week"," weeks")&amp;" over, from "&amp;TEXT(SUMPRODUCT(MIN($D$17:$P$17+($D51:$P51&gt;=0)*100000)),"d mmm")))</f>
        <v/>
      </c>
      <c r="C51" s="32">
        <f>IF($A51="","",IF(AND(ISNUMBER(INDEX($B$63:$B$102,ROW()-17)),INDEX($S$63:$S$102,ROW()-17)=0),INDEX($B$63:$B$102,ROW()-17),IF($C$7="",$B$7,5)))</f>
        <v/>
      </c>
      <c r="D51" s="51">
        <f>IF(OR($A51="",$D$17=""),"",ROUND(Z51-AM51,2))</f>
        <v/>
      </c>
      <c r="E51" s="51">
        <f>IF(OR($A51="",$D$17=""),"",ROUND(AA51-AN51,2))</f>
        <v/>
      </c>
      <c r="F51" s="51">
        <f>IF(OR($A51="",$D$17=""),"",ROUND(AB51-AO51,2))</f>
        <v/>
      </c>
      <c r="G51" s="51">
        <f>IF(OR($A51="",$D$17=""),"",ROUND(AC51-AP51,2))</f>
        <v/>
      </c>
      <c r="H51" s="51">
        <f>IF(OR($A51="",$D$17=""),"",ROUND(AD51-AQ51,2))</f>
        <v/>
      </c>
      <c r="I51" s="51">
        <f>IF(OR($A51="",$D$17=""),"",ROUND(AE51-AR51,2))</f>
        <v/>
      </c>
      <c r="J51" s="51">
        <f>IF(OR($A51="",$D$17=""),"",ROUND(AF51-AS51,2))</f>
        <v/>
      </c>
      <c r="K51" s="51">
        <f>IF(OR($A51="",$D$17=""),"",ROUND(AG51-AT51,2))</f>
        <v/>
      </c>
      <c r="L51" s="51">
        <f>IF(OR($A51="",$D$17=""),"",ROUND(AH51-AU51,2))</f>
        <v/>
      </c>
      <c r="M51" s="51">
        <f>IF(OR($A51="",$D$17=""),"",ROUND(AI51-AV51,2))</f>
        <v/>
      </c>
      <c r="N51" s="51">
        <f>IF(OR($A51="",$D$17=""),"",ROUND(AJ51-AW51,2))</f>
        <v/>
      </c>
      <c r="O51" s="51">
        <f>IF(OR($A51="",$D$17=""),"",ROUND(AK51-AX51,2))</f>
        <v/>
      </c>
      <c r="P51" s="51">
        <f>IF(OR($A51="",$D$17=""),"",ROUND(AL51-AY51,2))</f>
        <v/>
      </c>
      <c r="Q51" s="31">
        <f>IF(OR($A51="",$D$17=""),"",IF(SUM($AZ51:$BL51)=0,"",IF($BM51=0,"Fits","Over in "&amp;$BM51&amp;IF($BM51=1," week"," weeks")&amp;" if approved")))</f>
        <v/>
      </c>
      <c r="Z51" s="31">
        <f>IF(OR($A51="",$D$17=""),"",MAX(0,$C51-SUMIFS($D$106:$D$135,$A$106:$A$135,$A51,$B$106:$B$135,"&lt;="&amp;D$17,$C$106:$C$135,"&gt;="&amp;D$17,$S$106:$S$135,0)-SUMIFS($D$106:$D$135,$A$106:$A$135,"Everyone",$B$106:$B$135,"&lt;="&amp;D$17,$C$106:$C$135,"&gt;="&amp;D$17,$S$106:$S$135,0)))</f>
        <v/>
      </c>
      <c r="AA51" s="31">
        <f>IF(OR($A51="",$D$17=""),"",MAX(0,$C51-SUMIFS($D$106:$D$135,$A$106:$A$135,$A51,$B$106:$B$135,"&lt;="&amp;E$17,$C$106:$C$135,"&gt;="&amp;E$17,$S$106:$S$135,0)-SUMIFS($D$106:$D$135,$A$106:$A$135,"Everyone",$B$106:$B$135,"&lt;="&amp;E$17,$C$106:$C$135,"&gt;="&amp;E$17,$S$106:$S$135,0)))</f>
        <v/>
      </c>
      <c r="AB51" s="31">
        <f>IF(OR($A51="",$D$17=""),"",MAX(0,$C51-SUMIFS($D$106:$D$135,$A$106:$A$135,$A51,$B$106:$B$135,"&lt;="&amp;F$17,$C$106:$C$135,"&gt;="&amp;F$17,$S$106:$S$135,0)-SUMIFS($D$106:$D$135,$A$106:$A$135,"Everyone",$B$106:$B$135,"&lt;="&amp;F$17,$C$106:$C$135,"&gt;="&amp;F$17,$S$106:$S$135,0)))</f>
        <v/>
      </c>
      <c r="AC51" s="31">
        <f>IF(OR($A51="",$D$17=""),"",MAX(0,$C51-SUMIFS($D$106:$D$135,$A$106:$A$135,$A51,$B$106:$B$135,"&lt;="&amp;G$17,$C$106:$C$135,"&gt;="&amp;G$17,$S$106:$S$135,0)-SUMIFS($D$106:$D$135,$A$106:$A$135,"Everyone",$B$106:$B$135,"&lt;="&amp;G$17,$C$106:$C$135,"&gt;="&amp;G$17,$S$106:$S$135,0)))</f>
        <v/>
      </c>
      <c r="AD51" s="31">
        <f>IF(OR($A51="",$D$17=""),"",MAX(0,$C51-SUMIFS($D$106:$D$135,$A$106:$A$135,$A51,$B$106:$B$135,"&lt;="&amp;H$17,$C$106:$C$135,"&gt;="&amp;H$17,$S$106:$S$135,0)-SUMIFS($D$106:$D$135,$A$106:$A$135,"Everyone",$B$106:$B$135,"&lt;="&amp;H$17,$C$106:$C$135,"&gt;="&amp;H$17,$S$106:$S$135,0)))</f>
        <v/>
      </c>
      <c r="AE51" s="31">
        <f>IF(OR($A51="",$D$17=""),"",MAX(0,$C51-SUMIFS($D$106:$D$135,$A$106:$A$135,$A51,$B$106:$B$135,"&lt;="&amp;I$17,$C$106:$C$135,"&gt;="&amp;I$17,$S$106:$S$135,0)-SUMIFS($D$106:$D$135,$A$106:$A$135,"Everyone",$B$106:$B$135,"&lt;="&amp;I$17,$C$106:$C$135,"&gt;="&amp;I$17,$S$106:$S$135,0)))</f>
        <v/>
      </c>
      <c r="AF51" s="31">
        <f>IF(OR($A51="",$D$17=""),"",MAX(0,$C51-SUMIFS($D$106:$D$135,$A$106:$A$135,$A51,$B$106:$B$135,"&lt;="&amp;J$17,$C$106:$C$135,"&gt;="&amp;J$17,$S$106:$S$135,0)-SUMIFS($D$106:$D$135,$A$106:$A$135,"Everyone",$B$106:$B$135,"&lt;="&amp;J$17,$C$106:$C$135,"&gt;="&amp;J$17,$S$106:$S$135,0)))</f>
        <v/>
      </c>
      <c r="AG51" s="31">
        <f>IF(OR($A51="",$D$17=""),"",MAX(0,$C51-SUMIFS($D$106:$D$135,$A$106:$A$135,$A51,$B$106:$B$135,"&lt;="&amp;K$17,$C$106:$C$135,"&gt;="&amp;K$17,$S$106:$S$135,0)-SUMIFS($D$106:$D$135,$A$106:$A$135,"Everyone",$B$106:$B$135,"&lt;="&amp;K$17,$C$106:$C$135,"&gt;="&amp;K$17,$S$106:$S$135,0)))</f>
        <v/>
      </c>
      <c r="AH51" s="31">
        <f>IF(OR($A51="",$D$17=""),"",MAX(0,$C51-SUMIFS($D$106:$D$135,$A$106:$A$135,$A51,$B$106:$B$135,"&lt;="&amp;L$17,$C$106:$C$135,"&gt;="&amp;L$17,$S$106:$S$135,0)-SUMIFS($D$106:$D$135,$A$106:$A$135,"Everyone",$B$106:$B$135,"&lt;="&amp;L$17,$C$106:$C$135,"&gt;="&amp;L$17,$S$106:$S$135,0)))</f>
        <v/>
      </c>
      <c r="AI51" s="31">
        <f>IF(OR($A51="",$D$17=""),"",MAX(0,$C51-SUMIFS($D$106:$D$135,$A$106:$A$135,$A51,$B$106:$B$135,"&lt;="&amp;M$17,$C$106:$C$135,"&gt;="&amp;M$17,$S$106:$S$135,0)-SUMIFS($D$106:$D$135,$A$106:$A$135,"Everyone",$B$106:$B$135,"&lt;="&amp;M$17,$C$106:$C$135,"&gt;="&amp;M$17,$S$106:$S$135,0)))</f>
        <v/>
      </c>
      <c r="AJ51" s="31">
        <f>IF(OR($A51="",$D$17=""),"",MAX(0,$C51-SUMIFS($D$106:$D$135,$A$106:$A$135,$A51,$B$106:$B$135,"&lt;="&amp;N$17,$C$106:$C$135,"&gt;="&amp;N$17,$S$106:$S$135,0)-SUMIFS($D$106:$D$135,$A$106:$A$135,"Everyone",$B$106:$B$135,"&lt;="&amp;N$17,$C$106:$C$135,"&gt;="&amp;N$17,$S$106:$S$135,0)))</f>
        <v/>
      </c>
      <c r="AK51" s="31">
        <f>IF(OR($A51="",$D$17=""),"",MAX(0,$C51-SUMIFS($D$106:$D$135,$A$106:$A$135,$A51,$B$106:$B$135,"&lt;="&amp;O$17,$C$106:$C$135,"&gt;="&amp;O$17,$S$106:$S$135,0)-SUMIFS($D$106:$D$135,$A$106:$A$135,"Everyone",$B$106:$B$135,"&lt;="&amp;O$17,$C$106:$C$135,"&gt;="&amp;O$17,$S$106:$S$135,0)))</f>
        <v/>
      </c>
      <c r="AL51" s="31">
        <f>IF(OR($A51="",$D$17=""),"",MAX(0,$C51-SUMIFS($D$106:$D$135,$A$106:$A$135,$A51,$B$106:$B$135,"&lt;="&amp;P$17,$C$106:$C$135,"&gt;="&amp;P$17,$S$106:$S$135,0)-SUMIFS($D$106:$D$135,$A$106:$A$135,"Everyone",$B$106:$B$135,"&lt;="&amp;P$17,$C$106:$C$135,"&gt;="&amp;P$17,$S$106:$S$135,0)))</f>
        <v/>
      </c>
      <c r="AM51" s="31">
        <f>IF($A51="","",SUMIFS($E$139:$E$288,$B$139:$B$288,$A51,$U$139:$U$288,1,$Y$139:$Y$288,1,$C$139:$C$288,"&lt;="&amp;D$17,$D$139:$D$288,"&gt;="&amp;D$17))</f>
        <v/>
      </c>
      <c r="AN51" s="31">
        <f>IF($A51="","",SUMIFS($E$139:$E$288,$B$139:$B$288,$A51,$U$139:$U$288,1,$Y$139:$Y$288,1,$C$139:$C$288,"&lt;="&amp;E$17,$D$139:$D$288,"&gt;="&amp;E$17))</f>
        <v/>
      </c>
      <c r="AO51" s="31">
        <f>IF($A51="","",SUMIFS($E$139:$E$288,$B$139:$B$288,$A51,$U$139:$U$288,1,$Y$139:$Y$288,1,$C$139:$C$288,"&lt;="&amp;F$17,$D$139:$D$288,"&gt;="&amp;F$17))</f>
        <v/>
      </c>
      <c r="AP51" s="31">
        <f>IF($A51="","",SUMIFS($E$139:$E$288,$B$139:$B$288,$A51,$U$139:$U$288,1,$Y$139:$Y$288,1,$C$139:$C$288,"&lt;="&amp;G$17,$D$139:$D$288,"&gt;="&amp;G$17))</f>
        <v/>
      </c>
      <c r="AQ51" s="31">
        <f>IF($A51="","",SUMIFS($E$139:$E$288,$B$139:$B$288,$A51,$U$139:$U$288,1,$Y$139:$Y$288,1,$C$139:$C$288,"&lt;="&amp;H$17,$D$139:$D$288,"&gt;="&amp;H$17))</f>
        <v/>
      </c>
      <c r="AR51" s="31">
        <f>IF($A51="","",SUMIFS($E$139:$E$288,$B$139:$B$288,$A51,$U$139:$U$288,1,$Y$139:$Y$288,1,$C$139:$C$288,"&lt;="&amp;I$17,$D$139:$D$288,"&gt;="&amp;I$17))</f>
        <v/>
      </c>
      <c r="AS51" s="31">
        <f>IF($A51="","",SUMIFS($E$139:$E$288,$B$139:$B$288,$A51,$U$139:$U$288,1,$Y$139:$Y$288,1,$C$139:$C$288,"&lt;="&amp;J$17,$D$139:$D$288,"&gt;="&amp;J$17))</f>
        <v/>
      </c>
      <c r="AT51" s="31">
        <f>IF($A51="","",SUMIFS($E$139:$E$288,$B$139:$B$288,$A51,$U$139:$U$288,1,$Y$139:$Y$288,1,$C$139:$C$288,"&lt;="&amp;K$17,$D$139:$D$288,"&gt;="&amp;K$17))</f>
        <v/>
      </c>
      <c r="AU51" s="31">
        <f>IF($A51="","",SUMIFS($E$139:$E$288,$B$139:$B$288,$A51,$U$139:$U$288,1,$Y$139:$Y$288,1,$C$139:$C$288,"&lt;="&amp;L$17,$D$139:$D$288,"&gt;="&amp;L$17))</f>
        <v/>
      </c>
      <c r="AV51" s="31">
        <f>IF($A51="","",SUMIFS($E$139:$E$288,$B$139:$B$288,$A51,$U$139:$U$288,1,$Y$139:$Y$288,1,$C$139:$C$288,"&lt;="&amp;M$17,$D$139:$D$288,"&gt;="&amp;M$17))</f>
        <v/>
      </c>
      <c r="AW51" s="31">
        <f>IF($A51="","",SUMIFS($E$139:$E$288,$B$139:$B$288,$A51,$U$139:$U$288,1,$Y$139:$Y$288,1,$C$139:$C$288,"&lt;="&amp;N$17,$D$139:$D$288,"&gt;="&amp;N$17))</f>
        <v/>
      </c>
      <c r="AX51" s="31">
        <f>IF($A51="","",SUMIFS($E$139:$E$288,$B$139:$B$288,$A51,$U$139:$U$288,1,$Y$139:$Y$288,1,$C$139:$C$288,"&lt;="&amp;O$17,$D$139:$D$288,"&gt;="&amp;O$17))</f>
        <v/>
      </c>
      <c r="AY51" s="31">
        <f>IF($A51="","",SUMIFS($E$139:$E$288,$B$139:$B$288,$A51,$U$139:$U$288,1,$Y$139:$Y$288,1,$C$139:$C$288,"&lt;="&amp;P$17,$D$139:$D$288,"&gt;="&amp;P$17))</f>
        <v/>
      </c>
      <c r="AZ51" s="31">
        <f>IF($A51="","",SUMIFS($E$139:$E$288,$B$139:$B$288,$A51,$U$139:$U$288,2,$Y$139:$Y$288,1,$C$139:$C$288,"&lt;="&amp;D$17,$D$139:$D$288,"&gt;="&amp;D$17))</f>
        <v/>
      </c>
      <c r="BA51" s="31">
        <f>IF($A51="","",SUMIFS($E$139:$E$288,$B$139:$B$288,$A51,$U$139:$U$288,2,$Y$139:$Y$288,1,$C$139:$C$288,"&lt;="&amp;E$17,$D$139:$D$288,"&gt;="&amp;E$17))</f>
        <v/>
      </c>
      <c r="BB51" s="31">
        <f>IF($A51="","",SUMIFS($E$139:$E$288,$B$139:$B$288,$A51,$U$139:$U$288,2,$Y$139:$Y$288,1,$C$139:$C$288,"&lt;="&amp;F$17,$D$139:$D$288,"&gt;="&amp;F$17))</f>
        <v/>
      </c>
      <c r="BC51" s="31">
        <f>IF($A51="","",SUMIFS($E$139:$E$288,$B$139:$B$288,$A51,$U$139:$U$288,2,$Y$139:$Y$288,1,$C$139:$C$288,"&lt;="&amp;G$17,$D$139:$D$288,"&gt;="&amp;G$17))</f>
        <v/>
      </c>
      <c r="BD51" s="31">
        <f>IF($A51="","",SUMIFS($E$139:$E$288,$B$139:$B$288,$A51,$U$139:$U$288,2,$Y$139:$Y$288,1,$C$139:$C$288,"&lt;="&amp;H$17,$D$139:$D$288,"&gt;="&amp;H$17))</f>
        <v/>
      </c>
      <c r="BE51" s="31">
        <f>IF($A51="","",SUMIFS($E$139:$E$288,$B$139:$B$288,$A51,$U$139:$U$288,2,$Y$139:$Y$288,1,$C$139:$C$288,"&lt;="&amp;I$17,$D$139:$D$288,"&gt;="&amp;I$17))</f>
        <v/>
      </c>
      <c r="BF51" s="31">
        <f>IF($A51="","",SUMIFS($E$139:$E$288,$B$139:$B$288,$A51,$U$139:$U$288,2,$Y$139:$Y$288,1,$C$139:$C$288,"&lt;="&amp;J$17,$D$139:$D$288,"&gt;="&amp;J$17))</f>
        <v/>
      </c>
      <c r="BG51" s="31">
        <f>IF($A51="","",SUMIFS($E$139:$E$288,$B$139:$B$288,$A51,$U$139:$U$288,2,$Y$139:$Y$288,1,$C$139:$C$288,"&lt;="&amp;K$17,$D$139:$D$288,"&gt;="&amp;K$17))</f>
        <v/>
      </c>
      <c r="BH51" s="31">
        <f>IF($A51="","",SUMIFS($E$139:$E$288,$B$139:$B$288,$A51,$U$139:$U$288,2,$Y$139:$Y$288,1,$C$139:$C$288,"&lt;="&amp;L$17,$D$139:$D$288,"&gt;="&amp;L$17))</f>
        <v/>
      </c>
      <c r="BI51" s="31">
        <f>IF($A51="","",SUMIFS($E$139:$E$288,$B$139:$B$288,$A51,$U$139:$U$288,2,$Y$139:$Y$288,1,$C$139:$C$288,"&lt;="&amp;M$17,$D$139:$D$288,"&gt;="&amp;M$17))</f>
        <v/>
      </c>
      <c r="BJ51" s="31">
        <f>IF($A51="","",SUMIFS($E$139:$E$288,$B$139:$B$288,$A51,$U$139:$U$288,2,$Y$139:$Y$288,1,$C$139:$C$288,"&lt;="&amp;N$17,$D$139:$D$288,"&gt;="&amp;N$17))</f>
        <v/>
      </c>
      <c r="BK51" s="31">
        <f>IF($A51="","",SUMIFS($E$139:$E$288,$B$139:$B$288,$A51,$U$139:$U$288,2,$Y$139:$Y$288,1,$C$139:$C$288,"&lt;="&amp;O$17,$D$139:$D$288,"&gt;="&amp;O$17))</f>
        <v/>
      </c>
      <c r="BL51" s="31">
        <f>IF($A51="","",SUMIFS($E$139:$E$288,$B$139:$B$288,$A51,$U$139:$U$288,2,$Y$139:$Y$288,1,$C$139:$C$288,"&lt;="&amp;P$17,$D$139:$D$288,"&gt;="&amp;P$17))</f>
        <v/>
      </c>
      <c r="BM51" s="31">
        <f>IF(OR($A51="",$D$17=""),0,SUMPRODUCT(($D51:$P51&gt;=0)*(($D51:$P51-$AZ51:$BL51)&lt;0)))</f>
        <v/>
      </c>
      <c r="BN51" s="31">
        <f>IF(IFERROR(INDEX(Register!$A$6:$A$305,ROW()-5),"")="",0,SUMIF($A$139:$A$288,IFERROR(INDEX(Register!$A$6:$A$305,ROW()-5),""),$Z$139:$Z$288))</f>
        <v/>
      </c>
      <c r="BO51" s="31">
        <f>IF(OR(IFERROR(INDEX(Register!$A$6:$A$305,ROW()-5),"")="",SUM($Z$139:$Z$288)=0),0,IF(AND(IFERROR(INDEX(Register!$B$6:$B$305,ROW()-5),"")="Project",IFERROR(INDEX(Register!$D$6:$D$305,ROW()-5),"")="Active",IFERROR(INDEX(Register!$Z$6:$Z$305,ROW()-5),"")=1,$BN51=0),1,0))</f>
        <v/>
      </c>
      <c r="BP51" s="31">
        <f>IF(AND(IFERROR(INDEX(Register!$A$6:$A$305,ROW()-5),"")&lt;&gt;"",IFERROR(INDEX(Register!$D$6:$D$305,ROW()-5),"")="Proposed"),$BN51,0)</f>
        <v/>
      </c>
      <c r="BQ51" s="31">
        <f>IF(OR($A51="",$D$17=""),0,COUNTIF($D51:$P51,"&lt;0"))</f>
        <v/>
      </c>
    </row>
    <row r="52">
      <c r="A52" s="31">
        <f>IF(INDEX($A$63:$A$102,ROW()-17)="","",INDEX($A$63:$A$102,ROW()-17))</f>
        <v/>
      </c>
      <c r="B52" s="31">
        <f>IF(OR($A52="",$D$17=""),"",IF($BQ52=0,"○ Clear","△ "&amp;$BQ52&amp;IF($BQ52=1," week"," weeks")&amp;" over, from "&amp;TEXT(SUMPRODUCT(MIN($D$17:$P$17+($D52:$P52&gt;=0)*100000)),"d mmm")))</f>
        <v/>
      </c>
      <c r="C52" s="32">
        <f>IF($A52="","",IF(AND(ISNUMBER(INDEX($B$63:$B$102,ROW()-17)),INDEX($S$63:$S$102,ROW()-17)=0),INDEX($B$63:$B$102,ROW()-17),IF($C$7="",$B$7,5)))</f>
        <v/>
      </c>
      <c r="D52" s="51">
        <f>IF(OR($A52="",$D$17=""),"",ROUND(Z52-AM52,2))</f>
        <v/>
      </c>
      <c r="E52" s="51">
        <f>IF(OR($A52="",$D$17=""),"",ROUND(AA52-AN52,2))</f>
        <v/>
      </c>
      <c r="F52" s="51">
        <f>IF(OR($A52="",$D$17=""),"",ROUND(AB52-AO52,2))</f>
        <v/>
      </c>
      <c r="G52" s="51">
        <f>IF(OR($A52="",$D$17=""),"",ROUND(AC52-AP52,2))</f>
        <v/>
      </c>
      <c r="H52" s="51">
        <f>IF(OR($A52="",$D$17=""),"",ROUND(AD52-AQ52,2))</f>
        <v/>
      </c>
      <c r="I52" s="51">
        <f>IF(OR($A52="",$D$17=""),"",ROUND(AE52-AR52,2))</f>
        <v/>
      </c>
      <c r="J52" s="51">
        <f>IF(OR($A52="",$D$17=""),"",ROUND(AF52-AS52,2))</f>
        <v/>
      </c>
      <c r="K52" s="51">
        <f>IF(OR($A52="",$D$17=""),"",ROUND(AG52-AT52,2))</f>
        <v/>
      </c>
      <c r="L52" s="51">
        <f>IF(OR($A52="",$D$17=""),"",ROUND(AH52-AU52,2))</f>
        <v/>
      </c>
      <c r="M52" s="51">
        <f>IF(OR($A52="",$D$17=""),"",ROUND(AI52-AV52,2))</f>
        <v/>
      </c>
      <c r="N52" s="51">
        <f>IF(OR($A52="",$D$17=""),"",ROUND(AJ52-AW52,2))</f>
        <v/>
      </c>
      <c r="O52" s="51">
        <f>IF(OR($A52="",$D$17=""),"",ROUND(AK52-AX52,2))</f>
        <v/>
      </c>
      <c r="P52" s="51">
        <f>IF(OR($A52="",$D$17=""),"",ROUND(AL52-AY52,2))</f>
        <v/>
      </c>
      <c r="Q52" s="31">
        <f>IF(OR($A52="",$D$17=""),"",IF(SUM($AZ52:$BL52)=0,"",IF($BM52=0,"Fits","Over in "&amp;$BM52&amp;IF($BM52=1," week"," weeks")&amp;" if approved")))</f>
        <v/>
      </c>
      <c r="Z52" s="31">
        <f>IF(OR($A52="",$D$17=""),"",MAX(0,$C52-SUMIFS($D$106:$D$135,$A$106:$A$135,$A52,$B$106:$B$135,"&lt;="&amp;D$17,$C$106:$C$135,"&gt;="&amp;D$17,$S$106:$S$135,0)-SUMIFS($D$106:$D$135,$A$106:$A$135,"Everyone",$B$106:$B$135,"&lt;="&amp;D$17,$C$106:$C$135,"&gt;="&amp;D$17,$S$106:$S$135,0)))</f>
        <v/>
      </c>
      <c r="AA52" s="31">
        <f>IF(OR($A52="",$D$17=""),"",MAX(0,$C52-SUMIFS($D$106:$D$135,$A$106:$A$135,$A52,$B$106:$B$135,"&lt;="&amp;E$17,$C$106:$C$135,"&gt;="&amp;E$17,$S$106:$S$135,0)-SUMIFS($D$106:$D$135,$A$106:$A$135,"Everyone",$B$106:$B$135,"&lt;="&amp;E$17,$C$106:$C$135,"&gt;="&amp;E$17,$S$106:$S$135,0)))</f>
        <v/>
      </c>
      <c r="AB52" s="31">
        <f>IF(OR($A52="",$D$17=""),"",MAX(0,$C52-SUMIFS($D$106:$D$135,$A$106:$A$135,$A52,$B$106:$B$135,"&lt;="&amp;F$17,$C$106:$C$135,"&gt;="&amp;F$17,$S$106:$S$135,0)-SUMIFS($D$106:$D$135,$A$106:$A$135,"Everyone",$B$106:$B$135,"&lt;="&amp;F$17,$C$106:$C$135,"&gt;="&amp;F$17,$S$106:$S$135,0)))</f>
        <v/>
      </c>
      <c r="AC52" s="31">
        <f>IF(OR($A52="",$D$17=""),"",MAX(0,$C52-SUMIFS($D$106:$D$135,$A$106:$A$135,$A52,$B$106:$B$135,"&lt;="&amp;G$17,$C$106:$C$135,"&gt;="&amp;G$17,$S$106:$S$135,0)-SUMIFS($D$106:$D$135,$A$106:$A$135,"Everyone",$B$106:$B$135,"&lt;="&amp;G$17,$C$106:$C$135,"&gt;="&amp;G$17,$S$106:$S$135,0)))</f>
        <v/>
      </c>
      <c r="AD52" s="31">
        <f>IF(OR($A52="",$D$17=""),"",MAX(0,$C52-SUMIFS($D$106:$D$135,$A$106:$A$135,$A52,$B$106:$B$135,"&lt;="&amp;H$17,$C$106:$C$135,"&gt;="&amp;H$17,$S$106:$S$135,0)-SUMIFS($D$106:$D$135,$A$106:$A$135,"Everyone",$B$106:$B$135,"&lt;="&amp;H$17,$C$106:$C$135,"&gt;="&amp;H$17,$S$106:$S$135,0)))</f>
        <v/>
      </c>
      <c r="AE52" s="31">
        <f>IF(OR($A52="",$D$17=""),"",MAX(0,$C52-SUMIFS($D$106:$D$135,$A$106:$A$135,$A52,$B$106:$B$135,"&lt;="&amp;I$17,$C$106:$C$135,"&gt;="&amp;I$17,$S$106:$S$135,0)-SUMIFS($D$106:$D$135,$A$106:$A$135,"Everyone",$B$106:$B$135,"&lt;="&amp;I$17,$C$106:$C$135,"&gt;="&amp;I$17,$S$106:$S$135,0)))</f>
        <v/>
      </c>
      <c r="AF52" s="31">
        <f>IF(OR($A52="",$D$17=""),"",MAX(0,$C52-SUMIFS($D$106:$D$135,$A$106:$A$135,$A52,$B$106:$B$135,"&lt;="&amp;J$17,$C$106:$C$135,"&gt;="&amp;J$17,$S$106:$S$135,0)-SUMIFS($D$106:$D$135,$A$106:$A$135,"Everyone",$B$106:$B$135,"&lt;="&amp;J$17,$C$106:$C$135,"&gt;="&amp;J$17,$S$106:$S$135,0)))</f>
        <v/>
      </c>
      <c r="AG52" s="31">
        <f>IF(OR($A52="",$D$17=""),"",MAX(0,$C52-SUMIFS($D$106:$D$135,$A$106:$A$135,$A52,$B$106:$B$135,"&lt;="&amp;K$17,$C$106:$C$135,"&gt;="&amp;K$17,$S$106:$S$135,0)-SUMIFS($D$106:$D$135,$A$106:$A$135,"Everyone",$B$106:$B$135,"&lt;="&amp;K$17,$C$106:$C$135,"&gt;="&amp;K$17,$S$106:$S$135,0)))</f>
        <v/>
      </c>
      <c r="AH52" s="31">
        <f>IF(OR($A52="",$D$17=""),"",MAX(0,$C52-SUMIFS($D$106:$D$135,$A$106:$A$135,$A52,$B$106:$B$135,"&lt;="&amp;L$17,$C$106:$C$135,"&gt;="&amp;L$17,$S$106:$S$135,0)-SUMIFS($D$106:$D$135,$A$106:$A$135,"Everyone",$B$106:$B$135,"&lt;="&amp;L$17,$C$106:$C$135,"&gt;="&amp;L$17,$S$106:$S$135,0)))</f>
        <v/>
      </c>
      <c r="AI52" s="31">
        <f>IF(OR($A52="",$D$17=""),"",MAX(0,$C52-SUMIFS($D$106:$D$135,$A$106:$A$135,$A52,$B$106:$B$135,"&lt;="&amp;M$17,$C$106:$C$135,"&gt;="&amp;M$17,$S$106:$S$135,0)-SUMIFS($D$106:$D$135,$A$106:$A$135,"Everyone",$B$106:$B$135,"&lt;="&amp;M$17,$C$106:$C$135,"&gt;="&amp;M$17,$S$106:$S$135,0)))</f>
        <v/>
      </c>
      <c r="AJ52" s="31">
        <f>IF(OR($A52="",$D$17=""),"",MAX(0,$C52-SUMIFS($D$106:$D$135,$A$106:$A$135,$A52,$B$106:$B$135,"&lt;="&amp;N$17,$C$106:$C$135,"&gt;="&amp;N$17,$S$106:$S$135,0)-SUMIFS($D$106:$D$135,$A$106:$A$135,"Everyone",$B$106:$B$135,"&lt;="&amp;N$17,$C$106:$C$135,"&gt;="&amp;N$17,$S$106:$S$135,0)))</f>
        <v/>
      </c>
      <c r="AK52" s="31">
        <f>IF(OR($A52="",$D$17=""),"",MAX(0,$C52-SUMIFS($D$106:$D$135,$A$106:$A$135,$A52,$B$106:$B$135,"&lt;="&amp;O$17,$C$106:$C$135,"&gt;="&amp;O$17,$S$106:$S$135,0)-SUMIFS($D$106:$D$135,$A$106:$A$135,"Everyone",$B$106:$B$135,"&lt;="&amp;O$17,$C$106:$C$135,"&gt;="&amp;O$17,$S$106:$S$135,0)))</f>
        <v/>
      </c>
      <c r="AL52" s="31">
        <f>IF(OR($A52="",$D$17=""),"",MAX(0,$C52-SUMIFS($D$106:$D$135,$A$106:$A$135,$A52,$B$106:$B$135,"&lt;="&amp;P$17,$C$106:$C$135,"&gt;="&amp;P$17,$S$106:$S$135,0)-SUMIFS($D$106:$D$135,$A$106:$A$135,"Everyone",$B$106:$B$135,"&lt;="&amp;P$17,$C$106:$C$135,"&gt;="&amp;P$17,$S$106:$S$135,0)))</f>
        <v/>
      </c>
      <c r="AM52" s="31">
        <f>IF($A52="","",SUMIFS($E$139:$E$288,$B$139:$B$288,$A52,$U$139:$U$288,1,$Y$139:$Y$288,1,$C$139:$C$288,"&lt;="&amp;D$17,$D$139:$D$288,"&gt;="&amp;D$17))</f>
        <v/>
      </c>
      <c r="AN52" s="31">
        <f>IF($A52="","",SUMIFS($E$139:$E$288,$B$139:$B$288,$A52,$U$139:$U$288,1,$Y$139:$Y$288,1,$C$139:$C$288,"&lt;="&amp;E$17,$D$139:$D$288,"&gt;="&amp;E$17))</f>
        <v/>
      </c>
      <c r="AO52" s="31">
        <f>IF($A52="","",SUMIFS($E$139:$E$288,$B$139:$B$288,$A52,$U$139:$U$288,1,$Y$139:$Y$288,1,$C$139:$C$288,"&lt;="&amp;F$17,$D$139:$D$288,"&gt;="&amp;F$17))</f>
        <v/>
      </c>
      <c r="AP52" s="31">
        <f>IF($A52="","",SUMIFS($E$139:$E$288,$B$139:$B$288,$A52,$U$139:$U$288,1,$Y$139:$Y$288,1,$C$139:$C$288,"&lt;="&amp;G$17,$D$139:$D$288,"&gt;="&amp;G$17))</f>
        <v/>
      </c>
      <c r="AQ52" s="31">
        <f>IF($A52="","",SUMIFS($E$139:$E$288,$B$139:$B$288,$A52,$U$139:$U$288,1,$Y$139:$Y$288,1,$C$139:$C$288,"&lt;="&amp;H$17,$D$139:$D$288,"&gt;="&amp;H$17))</f>
        <v/>
      </c>
      <c r="AR52" s="31">
        <f>IF($A52="","",SUMIFS($E$139:$E$288,$B$139:$B$288,$A52,$U$139:$U$288,1,$Y$139:$Y$288,1,$C$139:$C$288,"&lt;="&amp;I$17,$D$139:$D$288,"&gt;="&amp;I$17))</f>
        <v/>
      </c>
      <c r="AS52" s="31">
        <f>IF($A52="","",SUMIFS($E$139:$E$288,$B$139:$B$288,$A52,$U$139:$U$288,1,$Y$139:$Y$288,1,$C$139:$C$288,"&lt;="&amp;J$17,$D$139:$D$288,"&gt;="&amp;J$17))</f>
        <v/>
      </c>
      <c r="AT52" s="31">
        <f>IF($A52="","",SUMIFS($E$139:$E$288,$B$139:$B$288,$A52,$U$139:$U$288,1,$Y$139:$Y$288,1,$C$139:$C$288,"&lt;="&amp;K$17,$D$139:$D$288,"&gt;="&amp;K$17))</f>
        <v/>
      </c>
      <c r="AU52" s="31">
        <f>IF($A52="","",SUMIFS($E$139:$E$288,$B$139:$B$288,$A52,$U$139:$U$288,1,$Y$139:$Y$288,1,$C$139:$C$288,"&lt;="&amp;L$17,$D$139:$D$288,"&gt;="&amp;L$17))</f>
        <v/>
      </c>
      <c r="AV52" s="31">
        <f>IF($A52="","",SUMIFS($E$139:$E$288,$B$139:$B$288,$A52,$U$139:$U$288,1,$Y$139:$Y$288,1,$C$139:$C$288,"&lt;="&amp;M$17,$D$139:$D$288,"&gt;="&amp;M$17))</f>
        <v/>
      </c>
      <c r="AW52" s="31">
        <f>IF($A52="","",SUMIFS($E$139:$E$288,$B$139:$B$288,$A52,$U$139:$U$288,1,$Y$139:$Y$288,1,$C$139:$C$288,"&lt;="&amp;N$17,$D$139:$D$288,"&gt;="&amp;N$17))</f>
        <v/>
      </c>
      <c r="AX52" s="31">
        <f>IF($A52="","",SUMIFS($E$139:$E$288,$B$139:$B$288,$A52,$U$139:$U$288,1,$Y$139:$Y$288,1,$C$139:$C$288,"&lt;="&amp;O$17,$D$139:$D$288,"&gt;="&amp;O$17))</f>
        <v/>
      </c>
      <c r="AY52" s="31">
        <f>IF($A52="","",SUMIFS($E$139:$E$288,$B$139:$B$288,$A52,$U$139:$U$288,1,$Y$139:$Y$288,1,$C$139:$C$288,"&lt;="&amp;P$17,$D$139:$D$288,"&gt;="&amp;P$17))</f>
        <v/>
      </c>
      <c r="AZ52" s="31">
        <f>IF($A52="","",SUMIFS($E$139:$E$288,$B$139:$B$288,$A52,$U$139:$U$288,2,$Y$139:$Y$288,1,$C$139:$C$288,"&lt;="&amp;D$17,$D$139:$D$288,"&gt;="&amp;D$17))</f>
        <v/>
      </c>
      <c r="BA52" s="31">
        <f>IF($A52="","",SUMIFS($E$139:$E$288,$B$139:$B$288,$A52,$U$139:$U$288,2,$Y$139:$Y$288,1,$C$139:$C$288,"&lt;="&amp;E$17,$D$139:$D$288,"&gt;="&amp;E$17))</f>
        <v/>
      </c>
      <c r="BB52" s="31">
        <f>IF($A52="","",SUMIFS($E$139:$E$288,$B$139:$B$288,$A52,$U$139:$U$288,2,$Y$139:$Y$288,1,$C$139:$C$288,"&lt;="&amp;F$17,$D$139:$D$288,"&gt;="&amp;F$17))</f>
        <v/>
      </c>
      <c r="BC52" s="31">
        <f>IF($A52="","",SUMIFS($E$139:$E$288,$B$139:$B$288,$A52,$U$139:$U$288,2,$Y$139:$Y$288,1,$C$139:$C$288,"&lt;="&amp;G$17,$D$139:$D$288,"&gt;="&amp;G$17))</f>
        <v/>
      </c>
      <c r="BD52" s="31">
        <f>IF($A52="","",SUMIFS($E$139:$E$288,$B$139:$B$288,$A52,$U$139:$U$288,2,$Y$139:$Y$288,1,$C$139:$C$288,"&lt;="&amp;H$17,$D$139:$D$288,"&gt;="&amp;H$17))</f>
        <v/>
      </c>
      <c r="BE52" s="31">
        <f>IF($A52="","",SUMIFS($E$139:$E$288,$B$139:$B$288,$A52,$U$139:$U$288,2,$Y$139:$Y$288,1,$C$139:$C$288,"&lt;="&amp;I$17,$D$139:$D$288,"&gt;="&amp;I$17))</f>
        <v/>
      </c>
      <c r="BF52" s="31">
        <f>IF($A52="","",SUMIFS($E$139:$E$288,$B$139:$B$288,$A52,$U$139:$U$288,2,$Y$139:$Y$288,1,$C$139:$C$288,"&lt;="&amp;J$17,$D$139:$D$288,"&gt;="&amp;J$17))</f>
        <v/>
      </c>
      <c r="BG52" s="31">
        <f>IF($A52="","",SUMIFS($E$139:$E$288,$B$139:$B$288,$A52,$U$139:$U$288,2,$Y$139:$Y$288,1,$C$139:$C$288,"&lt;="&amp;K$17,$D$139:$D$288,"&gt;="&amp;K$17))</f>
        <v/>
      </c>
      <c r="BH52" s="31">
        <f>IF($A52="","",SUMIFS($E$139:$E$288,$B$139:$B$288,$A52,$U$139:$U$288,2,$Y$139:$Y$288,1,$C$139:$C$288,"&lt;="&amp;L$17,$D$139:$D$288,"&gt;="&amp;L$17))</f>
        <v/>
      </c>
      <c r="BI52" s="31">
        <f>IF($A52="","",SUMIFS($E$139:$E$288,$B$139:$B$288,$A52,$U$139:$U$288,2,$Y$139:$Y$288,1,$C$139:$C$288,"&lt;="&amp;M$17,$D$139:$D$288,"&gt;="&amp;M$17))</f>
        <v/>
      </c>
      <c r="BJ52" s="31">
        <f>IF($A52="","",SUMIFS($E$139:$E$288,$B$139:$B$288,$A52,$U$139:$U$288,2,$Y$139:$Y$288,1,$C$139:$C$288,"&lt;="&amp;N$17,$D$139:$D$288,"&gt;="&amp;N$17))</f>
        <v/>
      </c>
      <c r="BK52" s="31">
        <f>IF($A52="","",SUMIFS($E$139:$E$288,$B$139:$B$288,$A52,$U$139:$U$288,2,$Y$139:$Y$288,1,$C$139:$C$288,"&lt;="&amp;O$17,$D$139:$D$288,"&gt;="&amp;O$17))</f>
        <v/>
      </c>
      <c r="BL52" s="31">
        <f>IF($A52="","",SUMIFS($E$139:$E$288,$B$139:$B$288,$A52,$U$139:$U$288,2,$Y$139:$Y$288,1,$C$139:$C$288,"&lt;="&amp;P$17,$D$139:$D$288,"&gt;="&amp;P$17))</f>
        <v/>
      </c>
      <c r="BM52" s="31">
        <f>IF(OR($A52="",$D$17=""),0,SUMPRODUCT(($D52:$P52&gt;=0)*(($D52:$P52-$AZ52:$BL52)&lt;0)))</f>
        <v/>
      </c>
      <c r="BN52" s="31">
        <f>IF(IFERROR(INDEX(Register!$A$6:$A$305,ROW()-5),"")="",0,SUMIF($A$139:$A$288,IFERROR(INDEX(Register!$A$6:$A$305,ROW()-5),""),$Z$139:$Z$288))</f>
        <v/>
      </c>
      <c r="BO52" s="31">
        <f>IF(OR(IFERROR(INDEX(Register!$A$6:$A$305,ROW()-5),"")="",SUM($Z$139:$Z$288)=0),0,IF(AND(IFERROR(INDEX(Register!$B$6:$B$305,ROW()-5),"")="Project",IFERROR(INDEX(Register!$D$6:$D$305,ROW()-5),"")="Active",IFERROR(INDEX(Register!$Z$6:$Z$305,ROW()-5),"")=1,$BN52=0),1,0))</f>
        <v/>
      </c>
      <c r="BP52" s="31">
        <f>IF(AND(IFERROR(INDEX(Register!$A$6:$A$305,ROW()-5),"")&lt;&gt;"",IFERROR(INDEX(Register!$D$6:$D$305,ROW()-5),"")="Proposed"),$BN52,0)</f>
        <v/>
      </c>
      <c r="BQ52" s="31">
        <f>IF(OR($A52="",$D$17=""),0,COUNTIF($D52:$P52,"&lt;0"))</f>
        <v/>
      </c>
    </row>
    <row r="53">
      <c r="A53" s="31">
        <f>IF(INDEX($A$63:$A$102,ROW()-17)="","",INDEX($A$63:$A$102,ROW()-17))</f>
        <v/>
      </c>
      <c r="B53" s="31">
        <f>IF(OR($A53="",$D$17=""),"",IF($BQ53=0,"○ Clear","△ "&amp;$BQ53&amp;IF($BQ53=1," week"," weeks")&amp;" over, from "&amp;TEXT(SUMPRODUCT(MIN($D$17:$P$17+($D53:$P53&gt;=0)*100000)),"d mmm")))</f>
        <v/>
      </c>
      <c r="C53" s="32">
        <f>IF($A53="","",IF(AND(ISNUMBER(INDEX($B$63:$B$102,ROW()-17)),INDEX($S$63:$S$102,ROW()-17)=0),INDEX($B$63:$B$102,ROW()-17),IF($C$7="",$B$7,5)))</f>
        <v/>
      </c>
      <c r="D53" s="51">
        <f>IF(OR($A53="",$D$17=""),"",ROUND(Z53-AM53,2))</f>
        <v/>
      </c>
      <c r="E53" s="51">
        <f>IF(OR($A53="",$D$17=""),"",ROUND(AA53-AN53,2))</f>
        <v/>
      </c>
      <c r="F53" s="51">
        <f>IF(OR($A53="",$D$17=""),"",ROUND(AB53-AO53,2))</f>
        <v/>
      </c>
      <c r="G53" s="51">
        <f>IF(OR($A53="",$D$17=""),"",ROUND(AC53-AP53,2))</f>
        <v/>
      </c>
      <c r="H53" s="51">
        <f>IF(OR($A53="",$D$17=""),"",ROUND(AD53-AQ53,2))</f>
        <v/>
      </c>
      <c r="I53" s="51">
        <f>IF(OR($A53="",$D$17=""),"",ROUND(AE53-AR53,2))</f>
        <v/>
      </c>
      <c r="J53" s="51">
        <f>IF(OR($A53="",$D$17=""),"",ROUND(AF53-AS53,2))</f>
        <v/>
      </c>
      <c r="K53" s="51">
        <f>IF(OR($A53="",$D$17=""),"",ROUND(AG53-AT53,2))</f>
        <v/>
      </c>
      <c r="L53" s="51">
        <f>IF(OR($A53="",$D$17=""),"",ROUND(AH53-AU53,2))</f>
        <v/>
      </c>
      <c r="M53" s="51">
        <f>IF(OR($A53="",$D$17=""),"",ROUND(AI53-AV53,2))</f>
        <v/>
      </c>
      <c r="N53" s="51">
        <f>IF(OR($A53="",$D$17=""),"",ROUND(AJ53-AW53,2))</f>
        <v/>
      </c>
      <c r="O53" s="51">
        <f>IF(OR($A53="",$D$17=""),"",ROUND(AK53-AX53,2))</f>
        <v/>
      </c>
      <c r="P53" s="51">
        <f>IF(OR($A53="",$D$17=""),"",ROUND(AL53-AY53,2))</f>
        <v/>
      </c>
      <c r="Q53" s="31">
        <f>IF(OR($A53="",$D$17=""),"",IF(SUM($AZ53:$BL53)=0,"",IF($BM53=0,"Fits","Over in "&amp;$BM53&amp;IF($BM53=1," week"," weeks")&amp;" if approved")))</f>
        <v/>
      </c>
      <c r="Z53" s="31">
        <f>IF(OR($A53="",$D$17=""),"",MAX(0,$C53-SUMIFS($D$106:$D$135,$A$106:$A$135,$A53,$B$106:$B$135,"&lt;="&amp;D$17,$C$106:$C$135,"&gt;="&amp;D$17,$S$106:$S$135,0)-SUMIFS($D$106:$D$135,$A$106:$A$135,"Everyone",$B$106:$B$135,"&lt;="&amp;D$17,$C$106:$C$135,"&gt;="&amp;D$17,$S$106:$S$135,0)))</f>
        <v/>
      </c>
      <c r="AA53" s="31">
        <f>IF(OR($A53="",$D$17=""),"",MAX(0,$C53-SUMIFS($D$106:$D$135,$A$106:$A$135,$A53,$B$106:$B$135,"&lt;="&amp;E$17,$C$106:$C$135,"&gt;="&amp;E$17,$S$106:$S$135,0)-SUMIFS($D$106:$D$135,$A$106:$A$135,"Everyone",$B$106:$B$135,"&lt;="&amp;E$17,$C$106:$C$135,"&gt;="&amp;E$17,$S$106:$S$135,0)))</f>
        <v/>
      </c>
      <c r="AB53" s="31">
        <f>IF(OR($A53="",$D$17=""),"",MAX(0,$C53-SUMIFS($D$106:$D$135,$A$106:$A$135,$A53,$B$106:$B$135,"&lt;="&amp;F$17,$C$106:$C$135,"&gt;="&amp;F$17,$S$106:$S$135,0)-SUMIFS($D$106:$D$135,$A$106:$A$135,"Everyone",$B$106:$B$135,"&lt;="&amp;F$17,$C$106:$C$135,"&gt;="&amp;F$17,$S$106:$S$135,0)))</f>
        <v/>
      </c>
      <c r="AC53" s="31">
        <f>IF(OR($A53="",$D$17=""),"",MAX(0,$C53-SUMIFS($D$106:$D$135,$A$106:$A$135,$A53,$B$106:$B$135,"&lt;="&amp;G$17,$C$106:$C$135,"&gt;="&amp;G$17,$S$106:$S$135,0)-SUMIFS($D$106:$D$135,$A$106:$A$135,"Everyone",$B$106:$B$135,"&lt;="&amp;G$17,$C$106:$C$135,"&gt;="&amp;G$17,$S$106:$S$135,0)))</f>
        <v/>
      </c>
      <c r="AD53" s="31">
        <f>IF(OR($A53="",$D$17=""),"",MAX(0,$C53-SUMIFS($D$106:$D$135,$A$106:$A$135,$A53,$B$106:$B$135,"&lt;="&amp;H$17,$C$106:$C$135,"&gt;="&amp;H$17,$S$106:$S$135,0)-SUMIFS($D$106:$D$135,$A$106:$A$135,"Everyone",$B$106:$B$135,"&lt;="&amp;H$17,$C$106:$C$135,"&gt;="&amp;H$17,$S$106:$S$135,0)))</f>
        <v/>
      </c>
      <c r="AE53" s="31">
        <f>IF(OR($A53="",$D$17=""),"",MAX(0,$C53-SUMIFS($D$106:$D$135,$A$106:$A$135,$A53,$B$106:$B$135,"&lt;="&amp;I$17,$C$106:$C$135,"&gt;="&amp;I$17,$S$106:$S$135,0)-SUMIFS($D$106:$D$135,$A$106:$A$135,"Everyone",$B$106:$B$135,"&lt;="&amp;I$17,$C$106:$C$135,"&gt;="&amp;I$17,$S$106:$S$135,0)))</f>
        <v/>
      </c>
      <c r="AF53" s="31">
        <f>IF(OR($A53="",$D$17=""),"",MAX(0,$C53-SUMIFS($D$106:$D$135,$A$106:$A$135,$A53,$B$106:$B$135,"&lt;="&amp;J$17,$C$106:$C$135,"&gt;="&amp;J$17,$S$106:$S$135,0)-SUMIFS($D$106:$D$135,$A$106:$A$135,"Everyone",$B$106:$B$135,"&lt;="&amp;J$17,$C$106:$C$135,"&gt;="&amp;J$17,$S$106:$S$135,0)))</f>
        <v/>
      </c>
      <c r="AG53" s="31">
        <f>IF(OR($A53="",$D$17=""),"",MAX(0,$C53-SUMIFS($D$106:$D$135,$A$106:$A$135,$A53,$B$106:$B$135,"&lt;="&amp;K$17,$C$106:$C$135,"&gt;="&amp;K$17,$S$106:$S$135,0)-SUMIFS($D$106:$D$135,$A$106:$A$135,"Everyone",$B$106:$B$135,"&lt;="&amp;K$17,$C$106:$C$135,"&gt;="&amp;K$17,$S$106:$S$135,0)))</f>
        <v/>
      </c>
      <c r="AH53" s="31">
        <f>IF(OR($A53="",$D$17=""),"",MAX(0,$C53-SUMIFS($D$106:$D$135,$A$106:$A$135,$A53,$B$106:$B$135,"&lt;="&amp;L$17,$C$106:$C$135,"&gt;="&amp;L$17,$S$106:$S$135,0)-SUMIFS($D$106:$D$135,$A$106:$A$135,"Everyone",$B$106:$B$135,"&lt;="&amp;L$17,$C$106:$C$135,"&gt;="&amp;L$17,$S$106:$S$135,0)))</f>
        <v/>
      </c>
      <c r="AI53" s="31">
        <f>IF(OR($A53="",$D$17=""),"",MAX(0,$C53-SUMIFS($D$106:$D$135,$A$106:$A$135,$A53,$B$106:$B$135,"&lt;="&amp;M$17,$C$106:$C$135,"&gt;="&amp;M$17,$S$106:$S$135,0)-SUMIFS($D$106:$D$135,$A$106:$A$135,"Everyone",$B$106:$B$135,"&lt;="&amp;M$17,$C$106:$C$135,"&gt;="&amp;M$17,$S$106:$S$135,0)))</f>
        <v/>
      </c>
      <c r="AJ53" s="31">
        <f>IF(OR($A53="",$D$17=""),"",MAX(0,$C53-SUMIFS($D$106:$D$135,$A$106:$A$135,$A53,$B$106:$B$135,"&lt;="&amp;N$17,$C$106:$C$135,"&gt;="&amp;N$17,$S$106:$S$135,0)-SUMIFS($D$106:$D$135,$A$106:$A$135,"Everyone",$B$106:$B$135,"&lt;="&amp;N$17,$C$106:$C$135,"&gt;="&amp;N$17,$S$106:$S$135,0)))</f>
        <v/>
      </c>
      <c r="AK53" s="31">
        <f>IF(OR($A53="",$D$17=""),"",MAX(0,$C53-SUMIFS($D$106:$D$135,$A$106:$A$135,$A53,$B$106:$B$135,"&lt;="&amp;O$17,$C$106:$C$135,"&gt;="&amp;O$17,$S$106:$S$135,0)-SUMIFS($D$106:$D$135,$A$106:$A$135,"Everyone",$B$106:$B$135,"&lt;="&amp;O$17,$C$106:$C$135,"&gt;="&amp;O$17,$S$106:$S$135,0)))</f>
        <v/>
      </c>
      <c r="AL53" s="31">
        <f>IF(OR($A53="",$D$17=""),"",MAX(0,$C53-SUMIFS($D$106:$D$135,$A$106:$A$135,$A53,$B$106:$B$135,"&lt;="&amp;P$17,$C$106:$C$135,"&gt;="&amp;P$17,$S$106:$S$135,0)-SUMIFS($D$106:$D$135,$A$106:$A$135,"Everyone",$B$106:$B$135,"&lt;="&amp;P$17,$C$106:$C$135,"&gt;="&amp;P$17,$S$106:$S$135,0)))</f>
        <v/>
      </c>
      <c r="AM53" s="31">
        <f>IF($A53="","",SUMIFS($E$139:$E$288,$B$139:$B$288,$A53,$U$139:$U$288,1,$Y$139:$Y$288,1,$C$139:$C$288,"&lt;="&amp;D$17,$D$139:$D$288,"&gt;="&amp;D$17))</f>
        <v/>
      </c>
      <c r="AN53" s="31">
        <f>IF($A53="","",SUMIFS($E$139:$E$288,$B$139:$B$288,$A53,$U$139:$U$288,1,$Y$139:$Y$288,1,$C$139:$C$288,"&lt;="&amp;E$17,$D$139:$D$288,"&gt;="&amp;E$17))</f>
        <v/>
      </c>
      <c r="AO53" s="31">
        <f>IF($A53="","",SUMIFS($E$139:$E$288,$B$139:$B$288,$A53,$U$139:$U$288,1,$Y$139:$Y$288,1,$C$139:$C$288,"&lt;="&amp;F$17,$D$139:$D$288,"&gt;="&amp;F$17))</f>
        <v/>
      </c>
      <c r="AP53" s="31">
        <f>IF($A53="","",SUMIFS($E$139:$E$288,$B$139:$B$288,$A53,$U$139:$U$288,1,$Y$139:$Y$288,1,$C$139:$C$288,"&lt;="&amp;G$17,$D$139:$D$288,"&gt;="&amp;G$17))</f>
        <v/>
      </c>
      <c r="AQ53" s="31">
        <f>IF($A53="","",SUMIFS($E$139:$E$288,$B$139:$B$288,$A53,$U$139:$U$288,1,$Y$139:$Y$288,1,$C$139:$C$288,"&lt;="&amp;H$17,$D$139:$D$288,"&gt;="&amp;H$17))</f>
        <v/>
      </c>
      <c r="AR53" s="31">
        <f>IF($A53="","",SUMIFS($E$139:$E$288,$B$139:$B$288,$A53,$U$139:$U$288,1,$Y$139:$Y$288,1,$C$139:$C$288,"&lt;="&amp;I$17,$D$139:$D$288,"&gt;="&amp;I$17))</f>
        <v/>
      </c>
      <c r="AS53" s="31">
        <f>IF($A53="","",SUMIFS($E$139:$E$288,$B$139:$B$288,$A53,$U$139:$U$288,1,$Y$139:$Y$288,1,$C$139:$C$288,"&lt;="&amp;J$17,$D$139:$D$288,"&gt;="&amp;J$17))</f>
        <v/>
      </c>
      <c r="AT53" s="31">
        <f>IF($A53="","",SUMIFS($E$139:$E$288,$B$139:$B$288,$A53,$U$139:$U$288,1,$Y$139:$Y$288,1,$C$139:$C$288,"&lt;="&amp;K$17,$D$139:$D$288,"&gt;="&amp;K$17))</f>
        <v/>
      </c>
      <c r="AU53" s="31">
        <f>IF($A53="","",SUMIFS($E$139:$E$288,$B$139:$B$288,$A53,$U$139:$U$288,1,$Y$139:$Y$288,1,$C$139:$C$288,"&lt;="&amp;L$17,$D$139:$D$288,"&gt;="&amp;L$17))</f>
        <v/>
      </c>
      <c r="AV53" s="31">
        <f>IF($A53="","",SUMIFS($E$139:$E$288,$B$139:$B$288,$A53,$U$139:$U$288,1,$Y$139:$Y$288,1,$C$139:$C$288,"&lt;="&amp;M$17,$D$139:$D$288,"&gt;="&amp;M$17))</f>
        <v/>
      </c>
      <c r="AW53" s="31">
        <f>IF($A53="","",SUMIFS($E$139:$E$288,$B$139:$B$288,$A53,$U$139:$U$288,1,$Y$139:$Y$288,1,$C$139:$C$288,"&lt;="&amp;N$17,$D$139:$D$288,"&gt;="&amp;N$17))</f>
        <v/>
      </c>
      <c r="AX53" s="31">
        <f>IF($A53="","",SUMIFS($E$139:$E$288,$B$139:$B$288,$A53,$U$139:$U$288,1,$Y$139:$Y$288,1,$C$139:$C$288,"&lt;="&amp;O$17,$D$139:$D$288,"&gt;="&amp;O$17))</f>
        <v/>
      </c>
      <c r="AY53" s="31">
        <f>IF($A53="","",SUMIFS($E$139:$E$288,$B$139:$B$288,$A53,$U$139:$U$288,1,$Y$139:$Y$288,1,$C$139:$C$288,"&lt;="&amp;P$17,$D$139:$D$288,"&gt;="&amp;P$17))</f>
        <v/>
      </c>
      <c r="AZ53" s="31">
        <f>IF($A53="","",SUMIFS($E$139:$E$288,$B$139:$B$288,$A53,$U$139:$U$288,2,$Y$139:$Y$288,1,$C$139:$C$288,"&lt;="&amp;D$17,$D$139:$D$288,"&gt;="&amp;D$17))</f>
        <v/>
      </c>
      <c r="BA53" s="31">
        <f>IF($A53="","",SUMIFS($E$139:$E$288,$B$139:$B$288,$A53,$U$139:$U$288,2,$Y$139:$Y$288,1,$C$139:$C$288,"&lt;="&amp;E$17,$D$139:$D$288,"&gt;="&amp;E$17))</f>
        <v/>
      </c>
      <c r="BB53" s="31">
        <f>IF($A53="","",SUMIFS($E$139:$E$288,$B$139:$B$288,$A53,$U$139:$U$288,2,$Y$139:$Y$288,1,$C$139:$C$288,"&lt;="&amp;F$17,$D$139:$D$288,"&gt;="&amp;F$17))</f>
        <v/>
      </c>
      <c r="BC53" s="31">
        <f>IF($A53="","",SUMIFS($E$139:$E$288,$B$139:$B$288,$A53,$U$139:$U$288,2,$Y$139:$Y$288,1,$C$139:$C$288,"&lt;="&amp;G$17,$D$139:$D$288,"&gt;="&amp;G$17))</f>
        <v/>
      </c>
      <c r="BD53" s="31">
        <f>IF($A53="","",SUMIFS($E$139:$E$288,$B$139:$B$288,$A53,$U$139:$U$288,2,$Y$139:$Y$288,1,$C$139:$C$288,"&lt;="&amp;H$17,$D$139:$D$288,"&gt;="&amp;H$17))</f>
        <v/>
      </c>
      <c r="BE53" s="31">
        <f>IF($A53="","",SUMIFS($E$139:$E$288,$B$139:$B$288,$A53,$U$139:$U$288,2,$Y$139:$Y$288,1,$C$139:$C$288,"&lt;="&amp;I$17,$D$139:$D$288,"&gt;="&amp;I$17))</f>
        <v/>
      </c>
      <c r="BF53" s="31">
        <f>IF($A53="","",SUMIFS($E$139:$E$288,$B$139:$B$288,$A53,$U$139:$U$288,2,$Y$139:$Y$288,1,$C$139:$C$288,"&lt;="&amp;J$17,$D$139:$D$288,"&gt;="&amp;J$17))</f>
        <v/>
      </c>
      <c r="BG53" s="31">
        <f>IF($A53="","",SUMIFS($E$139:$E$288,$B$139:$B$288,$A53,$U$139:$U$288,2,$Y$139:$Y$288,1,$C$139:$C$288,"&lt;="&amp;K$17,$D$139:$D$288,"&gt;="&amp;K$17))</f>
        <v/>
      </c>
      <c r="BH53" s="31">
        <f>IF($A53="","",SUMIFS($E$139:$E$288,$B$139:$B$288,$A53,$U$139:$U$288,2,$Y$139:$Y$288,1,$C$139:$C$288,"&lt;="&amp;L$17,$D$139:$D$288,"&gt;="&amp;L$17))</f>
        <v/>
      </c>
      <c r="BI53" s="31">
        <f>IF($A53="","",SUMIFS($E$139:$E$288,$B$139:$B$288,$A53,$U$139:$U$288,2,$Y$139:$Y$288,1,$C$139:$C$288,"&lt;="&amp;M$17,$D$139:$D$288,"&gt;="&amp;M$17))</f>
        <v/>
      </c>
      <c r="BJ53" s="31">
        <f>IF($A53="","",SUMIFS($E$139:$E$288,$B$139:$B$288,$A53,$U$139:$U$288,2,$Y$139:$Y$288,1,$C$139:$C$288,"&lt;="&amp;N$17,$D$139:$D$288,"&gt;="&amp;N$17))</f>
        <v/>
      </c>
      <c r="BK53" s="31">
        <f>IF($A53="","",SUMIFS($E$139:$E$288,$B$139:$B$288,$A53,$U$139:$U$288,2,$Y$139:$Y$288,1,$C$139:$C$288,"&lt;="&amp;O$17,$D$139:$D$288,"&gt;="&amp;O$17))</f>
        <v/>
      </c>
      <c r="BL53" s="31">
        <f>IF($A53="","",SUMIFS($E$139:$E$288,$B$139:$B$288,$A53,$U$139:$U$288,2,$Y$139:$Y$288,1,$C$139:$C$288,"&lt;="&amp;P$17,$D$139:$D$288,"&gt;="&amp;P$17))</f>
        <v/>
      </c>
      <c r="BM53" s="31">
        <f>IF(OR($A53="",$D$17=""),0,SUMPRODUCT(($D53:$P53&gt;=0)*(($D53:$P53-$AZ53:$BL53)&lt;0)))</f>
        <v/>
      </c>
      <c r="BN53" s="31">
        <f>IF(IFERROR(INDEX(Register!$A$6:$A$305,ROW()-5),"")="",0,SUMIF($A$139:$A$288,IFERROR(INDEX(Register!$A$6:$A$305,ROW()-5),""),$Z$139:$Z$288))</f>
        <v/>
      </c>
      <c r="BO53" s="31">
        <f>IF(OR(IFERROR(INDEX(Register!$A$6:$A$305,ROW()-5),"")="",SUM($Z$139:$Z$288)=0),0,IF(AND(IFERROR(INDEX(Register!$B$6:$B$305,ROW()-5),"")="Project",IFERROR(INDEX(Register!$D$6:$D$305,ROW()-5),"")="Active",IFERROR(INDEX(Register!$Z$6:$Z$305,ROW()-5),"")=1,$BN53=0),1,0))</f>
        <v/>
      </c>
      <c r="BP53" s="31">
        <f>IF(AND(IFERROR(INDEX(Register!$A$6:$A$305,ROW()-5),"")&lt;&gt;"",IFERROR(INDEX(Register!$D$6:$D$305,ROW()-5),"")="Proposed"),$BN53,0)</f>
        <v/>
      </c>
      <c r="BQ53" s="31">
        <f>IF(OR($A53="",$D$17=""),0,COUNTIF($D53:$P53,"&lt;0"))</f>
        <v/>
      </c>
    </row>
    <row r="54">
      <c r="A54" s="31">
        <f>IF(INDEX($A$63:$A$102,ROW()-17)="","",INDEX($A$63:$A$102,ROW()-17))</f>
        <v/>
      </c>
      <c r="B54" s="31">
        <f>IF(OR($A54="",$D$17=""),"",IF($BQ54=0,"○ Clear","△ "&amp;$BQ54&amp;IF($BQ54=1," week"," weeks")&amp;" over, from "&amp;TEXT(SUMPRODUCT(MIN($D$17:$P$17+($D54:$P54&gt;=0)*100000)),"d mmm")))</f>
        <v/>
      </c>
      <c r="C54" s="32">
        <f>IF($A54="","",IF(AND(ISNUMBER(INDEX($B$63:$B$102,ROW()-17)),INDEX($S$63:$S$102,ROW()-17)=0),INDEX($B$63:$B$102,ROW()-17),IF($C$7="",$B$7,5)))</f>
        <v/>
      </c>
      <c r="D54" s="51">
        <f>IF(OR($A54="",$D$17=""),"",ROUND(Z54-AM54,2))</f>
        <v/>
      </c>
      <c r="E54" s="51">
        <f>IF(OR($A54="",$D$17=""),"",ROUND(AA54-AN54,2))</f>
        <v/>
      </c>
      <c r="F54" s="51">
        <f>IF(OR($A54="",$D$17=""),"",ROUND(AB54-AO54,2))</f>
        <v/>
      </c>
      <c r="G54" s="51">
        <f>IF(OR($A54="",$D$17=""),"",ROUND(AC54-AP54,2))</f>
        <v/>
      </c>
      <c r="H54" s="51">
        <f>IF(OR($A54="",$D$17=""),"",ROUND(AD54-AQ54,2))</f>
        <v/>
      </c>
      <c r="I54" s="51">
        <f>IF(OR($A54="",$D$17=""),"",ROUND(AE54-AR54,2))</f>
        <v/>
      </c>
      <c r="J54" s="51">
        <f>IF(OR($A54="",$D$17=""),"",ROUND(AF54-AS54,2))</f>
        <v/>
      </c>
      <c r="K54" s="51">
        <f>IF(OR($A54="",$D$17=""),"",ROUND(AG54-AT54,2))</f>
        <v/>
      </c>
      <c r="L54" s="51">
        <f>IF(OR($A54="",$D$17=""),"",ROUND(AH54-AU54,2))</f>
        <v/>
      </c>
      <c r="M54" s="51">
        <f>IF(OR($A54="",$D$17=""),"",ROUND(AI54-AV54,2))</f>
        <v/>
      </c>
      <c r="N54" s="51">
        <f>IF(OR($A54="",$D$17=""),"",ROUND(AJ54-AW54,2))</f>
        <v/>
      </c>
      <c r="O54" s="51">
        <f>IF(OR($A54="",$D$17=""),"",ROUND(AK54-AX54,2))</f>
        <v/>
      </c>
      <c r="P54" s="51">
        <f>IF(OR($A54="",$D$17=""),"",ROUND(AL54-AY54,2))</f>
        <v/>
      </c>
      <c r="Q54" s="31">
        <f>IF(OR($A54="",$D$17=""),"",IF(SUM($AZ54:$BL54)=0,"",IF($BM54=0,"Fits","Over in "&amp;$BM54&amp;IF($BM54=1," week"," weeks")&amp;" if approved")))</f>
        <v/>
      </c>
      <c r="Z54" s="31">
        <f>IF(OR($A54="",$D$17=""),"",MAX(0,$C54-SUMIFS($D$106:$D$135,$A$106:$A$135,$A54,$B$106:$B$135,"&lt;="&amp;D$17,$C$106:$C$135,"&gt;="&amp;D$17,$S$106:$S$135,0)-SUMIFS($D$106:$D$135,$A$106:$A$135,"Everyone",$B$106:$B$135,"&lt;="&amp;D$17,$C$106:$C$135,"&gt;="&amp;D$17,$S$106:$S$135,0)))</f>
        <v/>
      </c>
      <c r="AA54" s="31">
        <f>IF(OR($A54="",$D$17=""),"",MAX(0,$C54-SUMIFS($D$106:$D$135,$A$106:$A$135,$A54,$B$106:$B$135,"&lt;="&amp;E$17,$C$106:$C$135,"&gt;="&amp;E$17,$S$106:$S$135,0)-SUMIFS($D$106:$D$135,$A$106:$A$135,"Everyone",$B$106:$B$135,"&lt;="&amp;E$17,$C$106:$C$135,"&gt;="&amp;E$17,$S$106:$S$135,0)))</f>
        <v/>
      </c>
      <c r="AB54" s="31">
        <f>IF(OR($A54="",$D$17=""),"",MAX(0,$C54-SUMIFS($D$106:$D$135,$A$106:$A$135,$A54,$B$106:$B$135,"&lt;="&amp;F$17,$C$106:$C$135,"&gt;="&amp;F$17,$S$106:$S$135,0)-SUMIFS($D$106:$D$135,$A$106:$A$135,"Everyone",$B$106:$B$135,"&lt;="&amp;F$17,$C$106:$C$135,"&gt;="&amp;F$17,$S$106:$S$135,0)))</f>
        <v/>
      </c>
      <c r="AC54" s="31">
        <f>IF(OR($A54="",$D$17=""),"",MAX(0,$C54-SUMIFS($D$106:$D$135,$A$106:$A$135,$A54,$B$106:$B$135,"&lt;="&amp;G$17,$C$106:$C$135,"&gt;="&amp;G$17,$S$106:$S$135,0)-SUMIFS($D$106:$D$135,$A$106:$A$135,"Everyone",$B$106:$B$135,"&lt;="&amp;G$17,$C$106:$C$135,"&gt;="&amp;G$17,$S$106:$S$135,0)))</f>
        <v/>
      </c>
      <c r="AD54" s="31">
        <f>IF(OR($A54="",$D$17=""),"",MAX(0,$C54-SUMIFS($D$106:$D$135,$A$106:$A$135,$A54,$B$106:$B$135,"&lt;="&amp;H$17,$C$106:$C$135,"&gt;="&amp;H$17,$S$106:$S$135,0)-SUMIFS($D$106:$D$135,$A$106:$A$135,"Everyone",$B$106:$B$135,"&lt;="&amp;H$17,$C$106:$C$135,"&gt;="&amp;H$17,$S$106:$S$135,0)))</f>
        <v/>
      </c>
      <c r="AE54" s="31">
        <f>IF(OR($A54="",$D$17=""),"",MAX(0,$C54-SUMIFS($D$106:$D$135,$A$106:$A$135,$A54,$B$106:$B$135,"&lt;="&amp;I$17,$C$106:$C$135,"&gt;="&amp;I$17,$S$106:$S$135,0)-SUMIFS($D$106:$D$135,$A$106:$A$135,"Everyone",$B$106:$B$135,"&lt;="&amp;I$17,$C$106:$C$135,"&gt;="&amp;I$17,$S$106:$S$135,0)))</f>
        <v/>
      </c>
      <c r="AF54" s="31">
        <f>IF(OR($A54="",$D$17=""),"",MAX(0,$C54-SUMIFS($D$106:$D$135,$A$106:$A$135,$A54,$B$106:$B$135,"&lt;="&amp;J$17,$C$106:$C$135,"&gt;="&amp;J$17,$S$106:$S$135,0)-SUMIFS($D$106:$D$135,$A$106:$A$135,"Everyone",$B$106:$B$135,"&lt;="&amp;J$17,$C$106:$C$135,"&gt;="&amp;J$17,$S$106:$S$135,0)))</f>
        <v/>
      </c>
      <c r="AG54" s="31">
        <f>IF(OR($A54="",$D$17=""),"",MAX(0,$C54-SUMIFS($D$106:$D$135,$A$106:$A$135,$A54,$B$106:$B$135,"&lt;="&amp;K$17,$C$106:$C$135,"&gt;="&amp;K$17,$S$106:$S$135,0)-SUMIFS($D$106:$D$135,$A$106:$A$135,"Everyone",$B$106:$B$135,"&lt;="&amp;K$17,$C$106:$C$135,"&gt;="&amp;K$17,$S$106:$S$135,0)))</f>
        <v/>
      </c>
      <c r="AH54" s="31">
        <f>IF(OR($A54="",$D$17=""),"",MAX(0,$C54-SUMIFS($D$106:$D$135,$A$106:$A$135,$A54,$B$106:$B$135,"&lt;="&amp;L$17,$C$106:$C$135,"&gt;="&amp;L$17,$S$106:$S$135,0)-SUMIFS($D$106:$D$135,$A$106:$A$135,"Everyone",$B$106:$B$135,"&lt;="&amp;L$17,$C$106:$C$135,"&gt;="&amp;L$17,$S$106:$S$135,0)))</f>
        <v/>
      </c>
      <c r="AI54" s="31">
        <f>IF(OR($A54="",$D$17=""),"",MAX(0,$C54-SUMIFS($D$106:$D$135,$A$106:$A$135,$A54,$B$106:$B$135,"&lt;="&amp;M$17,$C$106:$C$135,"&gt;="&amp;M$17,$S$106:$S$135,0)-SUMIFS($D$106:$D$135,$A$106:$A$135,"Everyone",$B$106:$B$135,"&lt;="&amp;M$17,$C$106:$C$135,"&gt;="&amp;M$17,$S$106:$S$135,0)))</f>
        <v/>
      </c>
      <c r="AJ54" s="31">
        <f>IF(OR($A54="",$D$17=""),"",MAX(0,$C54-SUMIFS($D$106:$D$135,$A$106:$A$135,$A54,$B$106:$B$135,"&lt;="&amp;N$17,$C$106:$C$135,"&gt;="&amp;N$17,$S$106:$S$135,0)-SUMIFS($D$106:$D$135,$A$106:$A$135,"Everyone",$B$106:$B$135,"&lt;="&amp;N$17,$C$106:$C$135,"&gt;="&amp;N$17,$S$106:$S$135,0)))</f>
        <v/>
      </c>
      <c r="AK54" s="31">
        <f>IF(OR($A54="",$D$17=""),"",MAX(0,$C54-SUMIFS($D$106:$D$135,$A$106:$A$135,$A54,$B$106:$B$135,"&lt;="&amp;O$17,$C$106:$C$135,"&gt;="&amp;O$17,$S$106:$S$135,0)-SUMIFS($D$106:$D$135,$A$106:$A$135,"Everyone",$B$106:$B$135,"&lt;="&amp;O$17,$C$106:$C$135,"&gt;="&amp;O$17,$S$106:$S$135,0)))</f>
        <v/>
      </c>
      <c r="AL54" s="31">
        <f>IF(OR($A54="",$D$17=""),"",MAX(0,$C54-SUMIFS($D$106:$D$135,$A$106:$A$135,$A54,$B$106:$B$135,"&lt;="&amp;P$17,$C$106:$C$135,"&gt;="&amp;P$17,$S$106:$S$135,0)-SUMIFS($D$106:$D$135,$A$106:$A$135,"Everyone",$B$106:$B$135,"&lt;="&amp;P$17,$C$106:$C$135,"&gt;="&amp;P$17,$S$106:$S$135,0)))</f>
        <v/>
      </c>
      <c r="AM54" s="31">
        <f>IF($A54="","",SUMIFS($E$139:$E$288,$B$139:$B$288,$A54,$U$139:$U$288,1,$Y$139:$Y$288,1,$C$139:$C$288,"&lt;="&amp;D$17,$D$139:$D$288,"&gt;="&amp;D$17))</f>
        <v/>
      </c>
      <c r="AN54" s="31">
        <f>IF($A54="","",SUMIFS($E$139:$E$288,$B$139:$B$288,$A54,$U$139:$U$288,1,$Y$139:$Y$288,1,$C$139:$C$288,"&lt;="&amp;E$17,$D$139:$D$288,"&gt;="&amp;E$17))</f>
        <v/>
      </c>
      <c r="AO54" s="31">
        <f>IF($A54="","",SUMIFS($E$139:$E$288,$B$139:$B$288,$A54,$U$139:$U$288,1,$Y$139:$Y$288,1,$C$139:$C$288,"&lt;="&amp;F$17,$D$139:$D$288,"&gt;="&amp;F$17))</f>
        <v/>
      </c>
      <c r="AP54" s="31">
        <f>IF($A54="","",SUMIFS($E$139:$E$288,$B$139:$B$288,$A54,$U$139:$U$288,1,$Y$139:$Y$288,1,$C$139:$C$288,"&lt;="&amp;G$17,$D$139:$D$288,"&gt;="&amp;G$17))</f>
        <v/>
      </c>
      <c r="AQ54" s="31">
        <f>IF($A54="","",SUMIFS($E$139:$E$288,$B$139:$B$288,$A54,$U$139:$U$288,1,$Y$139:$Y$288,1,$C$139:$C$288,"&lt;="&amp;H$17,$D$139:$D$288,"&gt;="&amp;H$17))</f>
        <v/>
      </c>
      <c r="AR54" s="31">
        <f>IF($A54="","",SUMIFS($E$139:$E$288,$B$139:$B$288,$A54,$U$139:$U$288,1,$Y$139:$Y$288,1,$C$139:$C$288,"&lt;="&amp;I$17,$D$139:$D$288,"&gt;="&amp;I$17))</f>
        <v/>
      </c>
      <c r="AS54" s="31">
        <f>IF($A54="","",SUMIFS($E$139:$E$288,$B$139:$B$288,$A54,$U$139:$U$288,1,$Y$139:$Y$288,1,$C$139:$C$288,"&lt;="&amp;J$17,$D$139:$D$288,"&gt;="&amp;J$17))</f>
        <v/>
      </c>
      <c r="AT54" s="31">
        <f>IF($A54="","",SUMIFS($E$139:$E$288,$B$139:$B$288,$A54,$U$139:$U$288,1,$Y$139:$Y$288,1,$C$139:$C$288,"&lt;="&amp;K$17,$D$139:$D$288,"&gt;="&amp;K$17))</f>
        <v/>
      </c>
      <c r="AU54" s="31">
        <f>IF($A54="","",SUMIFS($E$139:$E$288,$B$139:$B$288,$A54,$U$139:$U$288,1,$Y$139:$Y$288,1,$C$139:$C$288,"&lt;="&amp;L$17,$D$139:$D$288,"&gt;="&amp;L$17))</f>
        <v/>
      </c>
      <c r="AV54" s="31">
        <f>IF($A54="","",SUMIFS($E$139:$E$288,$B$139:$B$288,$A54,$U$139:$U$288,1,$Y$139:$Y$288,1,$C$139:$C$288,"&lt;="&amp;M$17,$D$139:$D$288,"&gt;="&amp;M$17))</f>
        <v/>
      </c>
      <c r="AW54" s="31">
        <f>IF($A54="","",SUMIFS($E$139:$E$288,$B$139:$B$288,$A54,$U$139:$U$288,1,$Y$139:$Y$288,1,$C$139:$C$288,"&lt;="&amp;N$17,$D$139:$D$288,"&gt;="&amp;N$17))</f>
        <v/>
      </c>
      <c r="AX54" s="31">
        <f>IF($A54="","",SUMIFS($E$139:$E$288,$B$139:$B$288,$A54,$U$139:$U$288,1,$Y$139:$Y$288,1,$C$139:$C$288,"&lt;="&amp;O$17,$D$139:$D$288,"&gt;="&amp;O$17))</f>
        <v/>
      </c>
      <c r="AY54" s="31">
        <f>IF($A54="","",SUMIFS($E$139:$E$288,$B$139:$B$288,$A54,$U$139:$U$288,1,$Y$139:$Y$288,1,$C$139:$C$288,"&lt;="&amp;P$17,$D$139:$D$288,"&gt;="&amp;P$17))</f>
        <v/>
      </c>
      <c r="AZ54" s="31">
        <f>IF($A54="","",SUMIFS($E$139:$E$288,$B$139:$B$288,$A54,$U$139:$U$288,2,$Y$139:$Y$288,1,$C$139:$C$288,"&lt;="&amp;D$17,$D$139:$D$288,"&gt;="&amp;D$17))</f>
        <v/>
      </c>
      <c r="BA54" s="31">
        <f>IF($A54="","",SUMIFS($E$139:$E$288,$B$139:$B$288,$A54,$U$139:$U$288,2,$Y$139:$Y$288,1,$C$139:$C$288,"&lt;="&amp;E$17,$D$139:$D$288,"&gt;="&amp;E$17))</f>
        <v/>
      </c>
      <c r="BB54" s="31">
        <f>IF($A54="","",SUMIFS($E$139:$E$288,$B$139:$B$288,$A54,$U$139:$U$288,2,$Y$139:$Y$288,1,$C$139:$C$288,"&lt;="&amp;F$17,$D$139:$D$288,"&gt;="&amp;F$17))</f>
        <v/>
      </c>
      <c r="BC54" s="31">
        <f>IF($A54="","",SUMIFS($E$139:$E$288,$B$139:$B$288,$A54,$U$139:$U$288,2,$Y$139:$Y$288,1,$C$139:$C$288,"&lt;="&amp;G$17,$D$139:$D$288,"&gt;="&amp;G$17))</f>
        <v/>
      </c>
      <c r="BD54" s="31">
        <f>IF($A54="","",SUMIFS($E$139:$E$288,$B$139:$B$288,$A54,$U$139:$U$288,2,$Y$139:$Y$288,1,$C$139:$C$288,"&lt;="&amp;H$17,$D$139:$D$288,"&gt;="&amp;H$17))</f>
        <v/>
      </c>
      <c r="BE54" s="31">
        <f>IF($A54="","",SUMIFS($E$139:$E$288,$B$139:$B$288,$A54,$U$139:$U$288,2,$Y$139:$Y$288,1,$C$139:$C$288,"&lt;="&amp;I$17,$D$139:$D$288,"&gt;="&amp;I$17))</f>
        <v/>
      </c>
      <c r="BF54" s="31">
        <f>IF($A54="","",SUMIFS($E$139:$E$288,$B$139:$B$288,$A54,$U$139:$U$288,2,$Y$139:$Y$288,1,$C$139:$C$288,"&lt;="&amp;J$17,$D$139:$D$288,"&gt;="&amp;J$17))</f>
        <v/>
      </c>
      <c r="BG54" s="31">
        <f>IF($A54="","",SUMIFS($E$139:$E$288,$B$139:$B$288,$A54,$U$139:$U$288,2,$Y$139:$Y$288,1,$C$139:$C$288,"&lt;="&amp;K$17,$D$139:$D$288,"&gt;="&amp;K$17))</f>
        <v/>
      </c>
      <c r="BH54" s="31">
        <f>IF($A54="","",SUMIFS($E$139:$E$288,$B$139:$B$288,$A54,$U$139:$U$288,2,$Y$139:$Y$288,1,$C$139:$C$288,"&lt;="&amp;L$17,$D$139:$D$288,"&gt;="&amp;L$17))</f>
        <v/>
      </c>
      <c r="BI54" s="31">
        <f>IF($A54="","",SUMIFS($E$139:$E$288,$B$139:$B$288,$A54,$U$139:$U$288,2,$Y$139:$Y$288,1,$C$139:$C$288,"&lt;="&amp;M$17,$D$139:$D$288,"&gt;="&amp;M$17))</f>
        <v/>
      </c>
      <c r="BJ54" s="31">
        <f>IF($A54="","",SUMIFS($E$139:$E$288,$B$139:$B$288,$A54,$U$139:$U$288,2,$Y$139:$Y$288,1,$C$139:$C$288,"&lt;="&amp;N$17,$D$139:$D$288,"&gt;="&amp;N$17))</f>
        <v/>
      </c>
      <c r="BK54" s="31">
        <f>IF($A54="","",SUMIFS($E$139:$E$288,$B$139:$B$288,$A54,$U$139:$U$288,2,$Y$139:$Y$288,1,$C$139:$C$288,"&lt;="&amp;O$17,$D$139:$D$288,"&gt;="&amp;O$17))</f>
        <v/>
      </c>
      <c r="BL54" s="31">
        <f>IF($A54="","",SUMIFS($E$139:$E$288,$B$139:$B$288,$A54,$U$139:$U$288,2,$Y$139:$Y$288,1,$C$139:$C$288,"&lt;="&amp;P$17,$D$139:$D$288,"&gt;="&amp;P$17))</f>
        <v/>
      </c>
      <c r="BM54" s="31">
        <f>IF(OR($A54="",$D$17=""),0,SUMPRODUCT(($D54:$P54&gt;=0)*(($D54:$P54-$AZ54:$BL54)&lt;0)))</f>
        <v/>
      </c>
      <c r="BN54" s="31">
        <f>IF(IFERROR(INDEX(Register!$A$6:$A$305,ROW()-5),"")="",0,SUMIF($A$139:$A$288,IFERROR(INDEX(Register!$A$6:$A$305,ROW()-5),""),$Z$139:$Z$288))</f>
        <v/>
      </c>
      <c r="BO54" s="31">
        <f>IF(OR(IFERROR(INDEX(Register!$A$6:$A$305,ROW()-5),"")="",SUM($Z$139:$Z$288)=0),0,IF(AND(IFERROR(INDEX(Register!$B$6:$B$305,ROW()-5),"")="Project",IFERROR(INDEX(Register!$D$6:$D$305,ROW()-5),"")="Active",IFERROR(INDEX(Register!$Z$6:$Z$305,ROW()-5),"")=1,$BN54=0),1,0))</f>
        <v/>
      </c>
      <c r="BP54" s="31">
        <f>IF(AND(IFERROR(INDEX(Register!$A$6:$A$305,ROW()-5),"")&lt;&gt;"",IFERROR(INDEX(Register!$D$6:$D$305,ROW()-5),"")="Proposed"),$BN54,0)</f>
        <v/>
      </c>
      <c r="BQ54" s="31">
        <f>IF(OR($A54="",$D$17=""),0,COUNTIF($D54:$P54,"&lt;0"))</f>
        <v/>
      </c>
    </row>
    <row r="55">
      <c r="A55" s="31">
        <f>IF(INDEX($A$63:$A$102,ROW()-17)="","",INDEX($A$63:$A$102,ROW()-17))</f>
        <v/>
      </c>
      <c r="B55" s="31">
        <f>IF(OR($A55="",$D$17=""),"",IF($BQ55=0,"○ Clear","△ "&amp;$BQ55&amp;IF($BQ55=1," week"," weeks")&amp;" over, from "&amp;TEXT(SUMPRODUCT(MIN($D$17:$P$17+($D55:$P55&gt;=0)*100000)),"d mmm")))</f>
        <v/>
      </c>
      <c r="C55" s="32">
        <f>IF($A55="","",IF(AND(ISNUMBER(INDEX($B$63:$B$102,ROW()-17)),INDEX($S$63:$S$102,ROW()-17)=0),INDEX($B$63:$B$102,ROW()-17),IF($C$7="",$B$7,5)))</f>
        <v/>
      </c>
      <c r="D55" s="51">
        <f>IF(OR($A55="",$D$17=""),"",ROUND(Z55-AM55,2))</f>
        <v/>
      </c>
      <c r="E55" s="51">
        <f>IF(OR($A55="",$D$17=""),"",ROUND(AA55-AN55,2))</f>
        <v/>
      </c>
      <c r="F55" s="51">
        <f>IF(OR($A55="",$D$17=""),"",ROUND(AB55-AO55,2))</f>
        <v/>
      </c>
      <c r="G55" s="51">
        <f>IF(OR($A55="",$D$17=""),"",ROUND(AC55-AP55,2))</f>
        <v/>
      </c>
      <c r="H55" s="51">
        <f>IF(OR($A55="",$D$17=""),"",ROUND(AD55-AQ55,2))</f>
        <v/>
      </c>
      <c r="I55" s="51">
        <f>IF(OR($A55="",$D$17=""),"",ROUND(AE55-AR55,2))</f>
        <v/>
      </c>
      <c r="J55" s="51">
        <f>IF(OR($A55="",$D$17=""),"",ROUND(AF55-AS55,2))</f>
        <v/>
      </c>
      <c r="K55" s="51">
        <f>IF(OR($A55="",$D$17=""),"",ROUND(AG55-AT55,2))</f>
        <v/>
      </c>
      <c r="L55" s="51">
        <f>IF(OR($A55="",$D$17=""),"",ROUND(AH55-AU55,2))</f>
        <v/>
      </c>
      <c r="M55" s="51">
        <f>IF(OR($A55="",$D$17=""),"",ROUND(AI55-AV55,2))</f>
        <v/>
      </c>
      <c r="N55" s="51">
        <f>IF(OR($A55="",$D$17=""),"",ROUND(AJ55-AW55,2))</f>
        <v/>
      </c>
      <c r="O55" s="51">
        <f>IF(OR($A55="",$D$17=""),"",ROUND(AK55-AX55,2))</f>
        <v/>
      </c>
      <c r="P55" s="51">
        <f>IF(OR($A55="",$D$17=""),"",ROUND(AL55-AY55,2))</f>
        <v/>
      </c>
      <c r="Q55" s="31">
        <f>IF(OR($A55="",$D$17=""),"",IF(SUM($AZ55:$BL55)=0,"",IF($BM55=0,"Fits","Over in "&amp;$BM55&amp;IF($BM55=1," week"," weeks")&amp;" if approved")))</f>
        <v/>
      </c>
      <c r="Z55" s="31">
        <f>IF(OR($A55="",$D$17=""),"",MAX(0,$C55-SUMIFS($D$106:$D$135,$A$106:$A$135,$A55,$B$106:$B$135,"&lt;="&amp;D$17,$C$106:$C$135,"&gt;="&amp;D$17,$S$106:$S$135,0)-SUMIFS($D$106:$D$135,$A$106:$A$135,"Everyone",$B$106:$B$135,"&lt;="&amp;D$17,$C$106:$C$135,"&gt;="&amp;D$17,$S$106:$S$135,0)))</f>
        <v/>
      </c>
      <c r="AA55" s="31">
        <f>IF(OR($A55="",$D$17=""),"",MAX(0,$C55-SUMIFS($D$106:$D$135,$A$106:$A$135,$A55,$B$106:$B$135,"&lt;="&amp;E$17,$C$106:$C$135,"&gt;="&amp;E$17,$S$106:$S$135,0)-SUMIFS($D$106:$D$135,$A$106:$A$135,"Everyone",$B$106:$B$135,"&lt;="&amp;E$17,$C$106:$C$135,"&gt;="&amp;E$17,$S$106:$S$135,0)))</f>
        <v/>
      </c>
      <c r="AB55" s="31">
        <f>IF(OR($A55="",$D$17=""),"",MAX(0,$C55-SUMIFS($D$106:$D$135,$A$106:$A$135,$A55,$B$106:$B$135,"&lt;="&amp;F$17,$C$106:$C$135,"&gt;="&amp;F$17,$S$106:$S$135,0)-SUMIFS($D$106:$D$135,$A$106:$A$135,"Everyone",$B$106:$B$135,"&lt;="&amp;F$17,$C$106:$C$135,"&gt;="&amp;F$17,$S$106:$S$135,0)))</f>
        <v/>
      </c>
      <c r="AC55" s="31">
        <f>IF(OR($A55="",$D$17=""),"",MAX(0,$C55-SUMIFS($D$106:$D$135,$A$106:$A$135,$A55,$B$106:$B$135,"&lt;="&amp;G$17,$C$106:$C$135,"&gt;="&amp;G$17,$S$106:$S$135,0)-SUMIFS($D$106:$D$135,$A$106:$A$135,"Everyone",$B$106:$B$135,"&lt;="&amp;G$17,$C$106:$C$135,"&gt;="&amp;G$17,$S$106:$S$135,0)))</f>
        <v/>
      </c>
      <c r="AD55" s="31">
        <f>IF(OR($A55="",$D$17=""),"",MAX(0,$C55-SUMIFS($D$106:$D$135,$A$106:$A$135,$A55,$B$106:$B$135,"&lt;="&amp;H$17,$C$106:$C$135,"&gt;="&amp;H$17,$S$106:$S$135,0)-SUMIFS($D$106:$D$135,$A$106:$A$135,"Everyone",$B$106:$B$135,"&lt;="&amp;H$17,$C$106:$C$135,"&gt;="&amp;H$17,$S$106:$S$135,0)))</f>
        <v/>
      </c>
      <c r="AE55" s="31">
        <f>IF(OR($A55="",$D$17=""),"",MAX(0,$C55-SUMIFS($D$106:$D$135,$A$106:$A$135,$A55,$B$106:$B$135,"&lt;="&amp;I$17,$C$106:$C$135,"&gt;="&amp;I$17,$S$106:$S$135,0)-SUMIFS($D$106:$D$135,$A$106:$A$135,"Everyone",$B$106:$B$135,"&lt;="&amp;I$17,$C$106:$C$135,"&gt;="&amp;I$17,$S$106:$S$135,0)))</f>
        <v/>
      </c>
      <c r="AF55" s="31">
        <f>IF(OR($A55="",$D$17=""),"",MAX(0,$C55-SUMIFS($D$106:$D$135,$A$106:$A$135,$A55,$B$106:$B$135,"&lt;="&amp;J$17,$C$106:$C$135,"&gt;="&amp;J$17,$S$106:$S$135,0)-SUMIFS($D$106:$D$135,$A$106:$A$135,"Everyone",$B$106:$B$135,"&lt;="&amp;J$17,$C$106:$C$135,"&gt;="&amp;J$17,$S$106:$S$135,0)))</f>
        <v/>
      </c>
      <c r="AG55" s="31">
        <f>IF(OR($A55="",$D$17=""),"",MAX(0,$C55-SUMIFS($D$106:$D$135,$A$106:$A$135,$A55,$B$106:$B$135,"&lt;="&amp;K$17,$C$106:$C$135,"&gt;="&amp;K$17,$S$106:$S$135,0)-SUMIFS($D$106:$D$135,$A$106:$A$135,"Everyone",$B$106:$B$135,"&lt;="&amp;K$17,$C$106:$C$135,"&gt;="&amp;K$17,$S$106:$S$135,0)))</f>
        <v/>
      </c>
      <c r="AH55" s="31">
        <f>IF(OR($A55="",$D$17=""),"",MAX(0,$C55-SUMIFS($D$106:$D$135,$A$106:$A$135,$A55,$B$106:$B$135,"&lt;="&amp;L$17,$C$106:$C$135,"&gt;="&amp;L$17,$S$106:$S$135,0)-SUMIFS($D$106:$D$135,$A$106:$A$135,"Everyone",$B$106:$B$135,"&lt;="&amp;L$17,$C$106:$C$135,"&gt;="&amp;L$17,$S$106:$S$135,0)))</f>
        <v/>
      </c>
      <c r="AI55" s="31">
        <f>IF(OR($A55="",$D$17=""),"",MAX(0,$C55-SUMIFS($D$106:$D$135,$A$106:$A$135,$A55,$B$106:$B$135,"&lt;="&amp;M$17,$C$106:$C$135,"&gt;="&amp;M$17,$S$106:$S$135,0)-SUMIFS($D$106:$D$135,$A$106:$A$135,"Everyone",$B$106:$B$135,"&lt;="&amp;M$17,$C$106:$C$135,"&gt;="&amp;M$17,$S$106:$S$135,0)))</f>
        <v/>
      </c>
      <c r="AJ55" s="31">
        <f>IF(OR($A55="",$D$17=""),"",MAX(0,$C55-SUMIFS($D$106:$D$135,$A$106:$A$135,$A55,$B$106:$B$135,"&lt;="&amp;N$17,$C$106:$C$135,"&gt;="&amp;N$17,$S$106:$S$135,0)-SUMIFS($D$106:$D$135,$A$106:$A$135,"Everyone",$B$106:$B$135,"&lt;="&amp;N$17,$C$106:$C$135,"&gt;="&amp;N$17,$S$106:$S$135,0)))</f>
        <v/>
      </c>
      <c r="AK55" s="31">
        <f>IF(OR($A55="",$D$17=""),"",MAX(0,$C55-SUMIFS($D$106:$D$135,$A$106:$A$135,$A55,$B$106:$B$135,"&lt;="&amp;O$17,$C$106:$C$135,"&gt;="&amp;O$17,$S$106:$S$135,0)-SUMIFS($D$106:$D$135,$A$106:$A$135,"Everyone",$B$106:$B$135,"&lt;="&amp;O$17,$C$106:$C$135,"&gt;="&amp;O$17,$S$106:$S$135,0)))</f>
        <v/>
      </c>
      <c r="AL55" s="31">
        <f>IF(OR($A55="",$D$17=""),"",MAX(0,$C55-SUMIFS($D$106:$D$135,$A$106:$A$135,$A55,$B$106:$B$135,"&lt;="&amp;P$17,$C$106:$C$135,"&gt;="&amp;P$17,$S$106:$S$135,0)-SUMIFS($D$106:$D$135,$A$106:$A$135,"Everyone",$B$106:$B$135,"&lt;="&amp;P$17,$C$106:$C$135,"&gt;="&amp;P$17,$S$106:$S$135,0)))</f>
        <v/>
      </c>
      <c r="AM55" s="31">
        <f>IF($A55="","",SUMIFS($E$139:$E$288,$B$139:$B$288,$A55,$U$139:$U$288,1,$Y$139:$Y$288,1,$C$139:$C$288,"&lt;="&amp;D$17,$D$139:$D$288,"&gt;="&amp;D$17))</f>
        <v/>
      </c>
      <c r="AN55" s="31">
        <f>IF($A55="","",SUMIFS($E$139:$E$288,$B$139:$B$288,$A55,$U$139:$U$288,1,$Y$139:$Y$288,1,$C$139:$C$288,"&lt;="&amp;E$17,$D$139:$D$288,"&gt;="&amp;E$17))</f>
        <v/>
      </c>
      <c r="AO55" s="31">
        <f>IF($A55="","",SUMIFS($E$139:$E$288,$B$139:$B$288,$A55,$U$139:$U$288,1,$Y$139:$Y$288,1,$C$139:$C$288,"&lt;="&amp;F$17,$D$139:$D$288,"&gt;="&amp;F$17))</f>
        <v/>
      </c>
      <c r="AP55" s="31">
        <f>IF($A55="","",SUMIFS($E$139:$E$288,$B$139:$B$288,$A55,$U$139:$U$288,1,$Y$139:$Y$288,1,$C$139:$C$288,"&lt;="&amp;G$17,$D$139:$D$288,"&gt;="&amp;G$17))</f>
        <v/>
      </c>
      <c r="AQ55" s="31">
        <f>IF($A55="","",SUMIFS($E$139:$E$288,$B$139:$B$288,$A55,$U$139:$U$288,1,$Y$139:$Y$288,1,$C$139:$C$288,"&lt;="&amp;H$17,$D$139:$D$288,"&gt;="&amp;H$17))</f>
        <v/>
      </c>
      <c r="AR55" s="31">
        <f>IF($A55="","",SUMIFS($E$139:$E$288,$B$139:$B$288,$A55,$U$139:$U$288,1,$Y$139:$Y$288,1,$C$139:$C$288,"&lt;="&amp;I$17,$D$139:$D$288,"&gt;="&amp;I$17))</f>
        <v/>
      </c>
      <c r="AS55" s="31">
        <f>IF($A55="","",SUMIFS($E$139:$E$288,$B$139:$B$288,$A55,$U$139:$U$288,1,$Y$139:$Y$288,1,$C$139:$C$288,"&lt;="&amp;J$17,$D$139:$D$288,"&gt;="&amp;J$17))</f>
        <v/>
      </c>
      <c r="AT55" s="31">
        <f>IF($A55="","",SUMIFS($E$139:$E$288,$B$139:$B$288,$A55,$U$139:$U$288,1,$Y$139:$Y$288,1,$C$139:$C$288,"&lt;="&amp;K$17,$D$139:$D$288,"&gt;="&amp;K$17))</f>
        <v/>
      </c>
      <c r="AU55" s="31">
        <f>IF($A55="","",SUMIFS($E$139:$E$288,$B$139:$B$288,$A55,$U$139:$U$288,1,$Y$139:$Y$288,1,$C$139:$C$288,"&lt;="&amp;L$17,$D$139:$D$288,"&gt;="&amp;L$17))</f>
        <v/>
      </c>
      <c r="AV55" s="31">
        <f>IF($A55="","",SUMIFS($E$139:$E$288,$B$139:$B$288,$A55,$U$139:$U$288,1,$Y$139:$Y$288,1,$C$139:$C$288,"&lt;="&amp;M$17,$D$139:$D$288,"&gt;="&amp;M$17))</f>
        <v/>
      </c>
      <c r="AW55" s="31">
        <f>IF($A55="","",SUMIFS($E$139:$E$288,$B$139:$B$288,$A55,$U$139:$U$288,1,$Y$139:$Y$288,1,$C$139:$C$288,"&lt;="&amp;N$17,$D$139:$D$288,"&gt;="&amp;N$17))</f>
        <v/>
      </c>
      <c r="AX55" s="31">
        <f>IF($A55="","",SUMIFS($E$139:$E$288,$B$139:$B$288,$A55,$U$139:$U$288,1,$Y$139:$Y$288,1,$C$139:$C$288,"&lt;="&amp;O$17,$D$139:$D$288,"&gt;="&amp;O$17))</f>
        <v/>
      </c>
      <c r="AY55" s="31">
        <f>IF($A55="","",SUMIFS($E$139:$E$288,$B$139:$B$288,$A55,$U$139:$U$288,1,$Y$139:$Y$288,1,$C$139:$C$288,"&lt;="&amp;P$17,$D$139:$D$288,"&gt;="&amp;P$17))</f>
        <v/>
      </c>
      <c r="AZ55" s="31">
        <f>IF($A55="","",SUMIFS($E$139:$E$288,$B$139:$B$288,$A55,$U$139:$U$288,2,$Y$139:$Y$288,1,$C$139:$C$288,"&lt;="&amp;D$17,$D$139:$D$288,"&gt;="&amp;D$17))</f>
        <v/>
      </c>
      <c r="BA55" s="31">
        <f>IF($A55="","",SUMIFS($E$139:$E$288,$B$139:$B$288,$A55,$U$139:$U$288,2,$Y$139:$Y$288,1,$C$139:$C$288,"&lt;="&amp;E$17,$D$139:$D$288,"&gt;="&amp;E$17))</f>
        <v/>
      </c>
      <c r="BB55" s="31">
        <f>IF($A55="","",SUMIFS($E$139:$E$288,$B$139:$B$288,$A55,$U$139:$U$288,2,$Y$139:$Y$288,1,$C$139:$C$288,"&lt;="&amp;F$17,$D$139:$D$288,"&gt;="&amp;F$17))</f>
        <v/>
      </c>
      <c r="BC55" s="31">
        <f>IF($A55="","",SUMIFS($E$139:$E$288,$B$139:$B$288,$A55,$U$139:$U$288,2,$Y$139:$Y$288,1,$C$139:$C$288,"&lt;="&amp;G$17,$D$139:$D$288,"&gt;="&amp;G$17))</f>
        <v/>
      </c>
      <c r="BD55" s="31">
        <f>IF($A55="","",SUMIFS($E$139:$E$288,$B$139:$B$288,$A55,$U$139:$U$288,2,$Y$139:$Y$288,1,$C$139:$C$288,"&lt;="&amp;H$17,$D$139:$D$288,"&gt;="&amp;H$17))</f>
        <v/>
      </c>
      <c r="BE55" s="31">
        <f>IF($A55="","",SUMIFS($E$139:$E$288,$B$139:$B$288,$A55,$U$139:$U$288,2,$Y$139:$Y$288,1,$C$139:$C$288,"&lt;="&amp;I$17,$D$139:$D$288,"&gt;="&amp;I$17))</f>
        <v/>
      </c>
      <c r="BF55" s="31">
        <f>IF($A55="","",SUMIFS($E$139:$E$288,$B$139:$B$288,$A55,$U$139:$U$288,2,$Y$139:$Y$288,1,$C$139:$C$288,"&lt;="&amp;J$17,$D$139:$D$288,"&gt;="&amp;J$17))</f>
        <v/>
      </c>
      <c r="BG55" s="31">
        <f>IF($A55="","",SUMIFS($E$139:$E$288,$B$139:$B$288,$A55,$U$139:$U$288,2,$Y$139:$Y$288,1,$C$139:$C$288,"&lt;="&amp;K$17,$D$139:$D$288,"&gt;="&amp;K$17))</f>
        <v/>
      </c>
      <c r="BH55" s="31">
        <f>IF($A55="","",SUMIFS($E$139:$E$288,$B$139:$B$288,$A55,$U$139:$U$288,2,$Y$139:$Y$288,1,$C$139:$C$288,"&lt;="&amp;L$17,$D$139:$D$288,"&gt;="&amp;L$17))</f>
        <v/>
      </c>
      <c r="BI55" s="31">
        <f>IF($A55="","",SUMIFS($E$139:$E$288,$B$139:$B$288,$A55,$U$139:$U$288,2,$Y$139:$Y$288,1,$C$139:$C$288,"&lt;="&amp;M$17,$D$139:$D$288,"&gt;="&amp;M$17))</f>
        <v/>
      </c>
      <c r="BJ55" s="31">
        <f>IF($A55="","",SUMIFS($E$139:$E$288,$B$139:$B$288,$A55,$U$139:$U$288,2,$Y$139:$Y$288,1,$C$139:$C$288,"&lt;="&amp;N$17,$D$139:$D$288,"&gt;="&amp;N$17))</f>
        <v/>
      </c>
      <c r="BK55" s="31">
        <f>IF($A55="","",SUMIFS($E$139:$E$288,$B$139:$B$288,$A55,$U$139:$U$288,2,$Y$139:$Y$288,1,$C$139:$C$288,"&lt;="&amp;O$17,$D$139:$D$288,"&gt;="&amp;O$17))</f>
        <v/>
      </c>
      <c r="BL55" s="31">
        <f>IF($A55="","",SUMIFS($E$139:$E$288,$B$139:$B$288,$A55,$U$139:$U$288,2,$Y$139:$Y$288,1,$C$139:$C$288,"&lt;="&amp;P$17,$D$139:$D$288,"&gt;="&amp;P$17))</f>
        <v/>
      </c>
      <c r="BM55" s="31">
        <f>IF(OR($A55="",$D$17=""),0,SUMPRODUCT(($D55:$P55&gt;=0)*(($D55:$P55-$AZ55:$BL55)&lt;0)))</f>
        <v/>
      </c>
      <c r="BN55" s="31">
        <f>IF(IFERROR(INDEX(Register!$A$6:$A$305,ROW()-5),"")="",0,SUMIF($A$139:$A$288,IFERROR(INDEX(Register!$A$6:$A$305,ROW()-5),""),$Z$139:$Z$288))</f>
        <v/>
      </c>
      <c r="BO55" s="31">
        <f>IF(OR(IFERROR(INDEX(Register!$A$6:$A$305,ROW()-5),"")="",SUM($Z$139:$Z$288)=0),0,IF(AND(IFERROR(INDEX(Register!$B$6:$B$305,ROW()-5),"")="Project",IFERROR(INDEX(Register!$D$6:$D$305,ROW()-5),"")="Active",IFERROR(INDEX(Register!$Z$6:$Z$305,ROW()-5),"")=1,$BN55=0),1,0))</f>
        <v/>
      </c>
      <c r="BP55" s="31">
        <f>IF(AND(IFERROR(INDEX(Register!$A$6:$A$305,ROW()-5),"")&lt;&gt;"",IFERROR(INDEX(Register!$D$6:$D$305,ROW()-5),"")="Proposed"),$BN55,0)</f>
        <v/>
      </c>
      <c r="BQ55" s="31">
        <f>IF(OR($A55="",$D$17=""),0,COUNTIF($D55:$P55,"&lt;0"))</f>
        <v/>
      </c>
    </row>
    <row r="56">
      <c r="A56" s="31">
        <f>IF(INDEX($A$63:$A$102,ROW()-17)="","",INDEX($A$63:$A$102,ROW()-17))</f>
        <v/>
      </c>
      <c r="B56" s="31">
        <f>IF(OR($A56="",$D$17=""),"",IF($BQ56=0,"○ Clear","△ "&amp;$BQ56&amp;IF($BQ56=1," week"," weeks")&amp;" over, from "&amp;TEXT(SUMPRODUCT(MIN($D$17:$P$17+($D56:$P56&gt;=0)*100000)),"d mmm")))</f>
        <v/>
      </c>
      <c r="C56" s="32">
        <f>IF($A56="","",IF(AND(ISNUMBER(INDEX($B$63:$B$102,ROW()-17)),INDEX($S$63:$S$102,ROW()-17)=0),INDEX($B$63:$B$102,ROW()-17),IF($C$7="",$B$7,5)))</f>
        <v/>
      </c>
      <c r="D56" s="51">
        <f>IF(OR($A56="",$D$17=""),"",ROUND(Z56-AM56,2))</f>
        <v/>
      </c>
      <c r="E56" s="51">
        <f>IF(OR($A56="",$D$17=""),"",ROUND(AA56-AN56,2))</f>
        <v/>
      </c>
      <c r="F56" s="51">
        <f>IF(OR($A56="",$D$17=""),"",ROUND(AB56-AO56,2))</f>
        <v/>
      </c>
      <c r="G56" s="51">
        <f>IF(OR($A56="",$D$17=""),"",ROUND(AC56-AP56,2))</f>
        <v/>
      </c>
      <c r="H56" s="51">
        <f>IF(OR($A56="",$D$17=""),"",ROUND(AD56-AQ56,2))</f>
        <v/>
      </c>
      <c r="I56" s="51">
        <f>IF(OR($A56="",$D$17=""),"",ROUND(AE56-AR56,2))</f>
        <v/>
      </c>
      <c r="J56" s="51">
        <f>IF(OR($A56="",$D$17=""),"",ROUND(AF56-AS56,2))</f>
        <v/>
      </c>
      <c r="K56" s="51">
        <f>IF(OR($A56="",$D$17=""),"",ROUND(AG56-AT56,2))</f>
        <v/>
      </c>
      <c r="L56" s="51">
        <f>IF(OR($A56="",$D$17=""),"",ROUND(AH56-AU56,2))</f>
        <v/>
      </c>
      <c r="M56" s="51">
        <f>IF(OR($A56="",$D$17=""),"",ROUND(AI56-AV56,2))</f>
        <v/>
      </c>
      <c r="N56" s="51">
        <f>IF(OR($A56="",$D$17=""),"",ROUND(AJ56-AW56,2))</f>
        <v/>
      </c>
      <c r="O56" s="51">
        <f>IF(OR($A56="",$D$17=""),"",ROUND(AK56-AX56,2))</f>
        <v/>
      </c>
      <c r="P56" s="51">
        <f>IF(OR($A56="",$D$17=""),"",ROUND(AL56-AY56,2))</f>
        <v/>
      </c>
      <c r="Q56" s="31">
        <f>IF(OR($A56="",$D$17=""),"",IF(SUM($AZ56:$BL56)=0,"",IF($BM56=0,"Fits","Over in "&amp;$BM56&amp;IF($BM56=1," week"," weeks")&amp;" if approved")))</f>
        <v/>
      </c>
      <c r="Z56" s="31">
        <f>IF(OR($A56="",$D$17=""),"",MAX(0,$C56-SUMIFS($D$106:$D$135,$A$106:$A$135,$A56,$B$106:$B$135,"&lt;="&amp;D$17,$C$106:$C$135,"&gt;="&amp;D$17,$S$106:$S$135,0)-SUMIFS($D$106:$D$135,$A$106:$A$135,"Everyone",$B$106:$B$135,"&lt;="&amp;D$17,$C$106:$C$135,"&gt;="&amp;D$17,$S$106:$S$135,0)))</f>
        <v/>
      </c>
      <c r="AA56" s="31">
        <f>IF(OR($A56="",$D$17=""),"",MAX(0,$C56-SUMIFS($D$106:$D$135,$A$106:$A$135,$A56,$B$106:$B$135,"&lt;="&amp;E$17,$C$106:$C$135,"&gt;="&amp;E$17,$S$106:$S$135,0)-SUMIFS($D$106:$D$135,$A$106:$A$135,"Everyone",$B$106:$B$135,"&lt;="&amp;E$17,$C$106:$C$135,"&gt;="&amp;E$17,$S$106:$S$135,0)))</f>
        <v/>
      </c>
      <c r="AB56" s="31">
        <f>IF(OR($A56="",$D$17=""),"",MAX(0,$C56-SUMIFS($D$106:$D$135,$A$106:$A$135,$A56,$B$106:$B$135,"&lt;="&amp;F$17,$C$106:$C$135,"&gt;="&amp;F$17,$S$106:$S$135,0)-SUMIFS($D$106:$D$135,$A$106:$A$135,"Everyone",$B$106:$B$135,"&lt;="&amp;F$17,$C$106:$C$135,"&gt;="&amp;F$17,$S$106:$S$135,0)))</f>
        <v/>
      </c>
      <c r="AC56" s="31">
        <f>IF(OR($A56="",$D$17=""),"",MAX(0,$C56-SUMIFS($D$106:$D$135,$A$106:$A$135,$A56,$B$106:$B$135,"&lt;="&amp;G$17,$C$106:$C$135,"&gt;="&amp;G$17,$S$106:$S$135,0)-SUMIFS($D$106:$D$135,$A$106:$A$135,"Everyone",$B$106:$B$135,"&lt;="&amp;G$17,$C$106:$C$135,"&gt;="&amp;G$17,$S$106:$S$135,0)))</f>
        <v/>
      </c>
      <c r="AD56" s="31">
        <f>IF(OR($A56="",$D$17=""),"",MAX(0,$C56-SUMIFS($D$106:$D$135,$A$106:$A$135,$A56,$B$106:$B$135,"&lt;="&amp;H$17,$C$106:$C$135,"&gt;="&amp;H$17,$S$106:$S$135,0)-SUMIFS($D$106:$D$135,$A$106:$A$135,"Everyone",$B$106:$B$135,"&lt;="&amp;H$17,$C$106:$C$135,"&gt;="&amp;H$17,$S$106:$S$135,0)))</f>
        <v/>
      </c>
      <c r="AE56" s="31">
        <f>IF(OR($A56="",$D$17=""),"",MAX(0,$C56-SUMIFS($D$106:$D$135,$A$106:$A$135,$A56,$B$106:$B$135,"&lt;="&amp;I$17,$C$106:$C$135,"&gt;="&amp;I$17,$S$106:$S$135,0)-SUMIFS($D$106:$D$135,$A$106:$A$135,"Everyone",$B$106:$B$135,"&lt;="&amp;I$17,$C$106:$C$135,"&gt;="&amp;I$17,$S$106:$S$135,0)))</f>
        <v/>
      </c>
      <c r="AF56" s="31">
        <f>IF(OR($A56="",$D$17=""),"",MAX(0,$C56-SUMIFS($D$106:$D$135,$A$106:$A$135,$A56,$B$106:$B$135,"&lt;="&amp;J$17,$C$106:$C$135,"&gt;="&amp;J$17,$S$106:$S$135,0)-SUMIFS($D$106:$D$135,$A$106:$A$135,"Everyone",$B$106:$B$135,"&lt;="&amp;J$17,$C$106:$C$135,"&gt;="&amp;J$17,$S$106:$S$135,0)))</f>
        <v/>
      </c>
      <c r="AG56" s="31">
        <f>IF(OR($A56="",$D$17=""),"",MAX(0,$C56-SUMIFS($D$106:$D$135,$A$106:$A$135,$A56,$B$106:$B$135,"&lt;="&amp;K$17,$C$106:$C$135,"&gt;="&amp;K$17,$S$106:$S$135,0)-SUMIFS($D$106:$D$135,$A$106:$A$135,"Everyone",$B$106:$B$135,"&lt;="&amp;K$17,$C$106:$C$135,"&gt;="&amp;K$17,$S$106:$S$135,0)))</f>
        <v/>
      </c>
      <c r="AH56" s="31">
        <f>IF(OR($A56="",$D$17=""),"",MAX(0,$C56-SUMIFS($D$106:$D$135,$A$106:$A$135,$A56,$B$106:$B$135,"&lt;="&amp;L$17,$C$106:$C$135,"&gt;="&amp;L$17,$S$106:$S$135,0)-SUMIFS($D$106:$D$135,$A$106:$A$135,"Everyone",$B$106:$B$135,"&lt;="&amp;L$17,$C$106:$C$135,"&gt;="&amp;L$17,$S$106:$S$135,0)))</f>
        <v/>
      </c>
      <c r="AI56" s="31">
        <f>IF(OR($A56="",$D$17=""),"",MAX(0,$C56-SUMIFS($D$106:$D$135,$A$106:$A$135,$A56,$B$106:$B$135,"&lt;="&amp;M$17,$C$106:$C$135,"&gt;="&amp;M$17,$S$106:$S$135,0)-SUMIFS($D$106:$D$135,$A$106:$A$135,"Everyone",$B$106:$B$135,"&lt;="&amp;M$17,$C$106:$C$135,"&gt;="&amp;M$17,$S$106:$S$135,0)))</f>
        <v/>
      </c>
      <c r="AJ56" s="31">
        <f>IF(OR($A56="",$D$17=""),"",MAX(0,$C56-SUMIFS($D$106:$D$135,$A$106:$A$135,$A56,$B$106:$B$135,"&lt;="&amp;N$17,$C$106:$C$135,"&gt;="&amp;N$17,$S$106:$S$135,0)-SUMIFS($D$106:$D$135,$A$106:$A$135,"Everyone",$B$106:$B$135,"&lt;="&amp;N$17,$C$106:$C$135,"&gt;="&amp;N$17,$S$106:$S$135,0)))</f>
        <v/>
      </c>
      <c r="AK56" s="31">
        <f>IF(OR($A56="",$D$17=""),"",MAX(0,$C56-SUMIFS($D$106:$D$135,$A$106:$A$135,$A56,$B$106:$B$135,"&lt;="&amp;O$17,$C$106:$C$135,"&gt;="&amp;O$17,$S$106:$S$135,0)-SUMIFS($D$106:$D$135,$A$106:$A$135,"Everyone",$B$106:$B$135,"&lt;="&amp;O$17,$C$106:$C$135,"&gt;="&amp;O$17,$S$106:$S$135,0)))</f>
        <v/>
      </c>
      <c r="AL56" s="31">
        <f>IF(OR($A56="",$D$17=""),"",MAX(0,$C56-SUMIFS($D$106:$D$135,$A$106:$A$135,$A56,$B$106:$B$135,"&lt;="&amp;P$17,$C$106:$C$135,"&gt;="&amp;P$17,$S$106:$S$135,0)-SUMIFS($D$106:$D$135,$A$106:$A$135,"Everyone",$B$106:$B$135,"&lt;="&amp;P$17,$C$106:$C$135,"&gt;="&amp;P$17,$S$106:$S$135,0)))</f>
        <v/>
      </c>
      <c r="AM56" s="31">
        <f>IF($A56="","",SUMIFS($E$139:$E$288,$B$139:$B$288,$A56,$U$139:$U$288,1,$Y$139:$Y$288,1,$C$139:$C$288,"&lt;="&amp;D$17,$D$139:$D$288,"&gt;="&amp;D$17))</f>
        <v/>
      </c>
      <c r="AN56" s="31">
        <f>IF($A56="","",SUMIFS($E$139:$E$288,$B$139:$B$288,$A56,$U$139:$U$288,1,$Y$139:$Y$288,1,$C$139:$C$288,"&lt;="&amp;E$17,$D$139:$D$288,"&gt;="&amp;E$17))</f>
        <v/>
      </c>
      <c r="AO56" s="31">
        <f>IF($A56="","",SUMIFS($E$139:$E$288,$B$139:$B$288,$A56,$U$139:$U$288,1,$Y$139:$Y$288,1,$C$139:$C$288,"&lt;="&amp;F$17,$D$139:$D$288,"&gt;="&amp;F$17))</f>
        <v/>
      </c>
      <c r="AP56" s="31">
        <f>IF($A56="","",SUMIFS($E$139:$E$288,$B$139:$B$288,$A56,$U$139:$U$288,1,$Y$139:$Y$288,1,$C$139:$C$288,"&lt;="&amp;G$17,$D$139:$D$288,"&gt;="&amp;G$17))</f>
        <v/>
      </c>
      <c r="AQ56" s="31">
        <f>IF($A56="","",SUMIFS($E$139:$E$288,$B$139:$B$288,$A56,$U$139:$U$288,1,$Y$139:$Y$288,1,$C$139:$C$288,"&lt;="&amp;H$17,$D$139:$D$288,"&gt;="&amp;H$17))</f>
        <v/>
      </c>
      <c r="AR56" s="31">
        <f>IF($A56="","",SUMIFS($E$139:$E$288,$B$139:$B$288,$A56,$U$139:$U$288,1,$Y$139:$Y$288,1,$C$139:$C$288,"&lt;="&amp;I$17,$D$139:$D$288,"&gt;="&amp;I$17))</f>
        <v/>
      </c>
      <c r="AS56" s="31">
        <f>IF($A56="","",SUMIFS($E$139:$E$288,$B$139:$B$288,$A56,$U$139:$U$288,1,$Y$139:$Y$288,1,$C$139:$C$288,"&lt;="&amp;J$17,$D$139:$D$288,"&gt;="&amp;J$17))</f>
        <v/>
      </c>
      <c r="AT56" s="31">
        <f>IF($A56="","",SUMIFS($E$139:$E$288,$B$139:$B$288,$A56,$U$139:$U$288,1,$Y$139:$Y$288,1,$C$139:$C$288,"&lt;="&amp;K$17,$D$139:$D$288,"&gt;="&amp;K$17))</f>
        <v/>
      </c>
      <c r="AU56" s="31">
        <f>IF($A56="","",SUMIFS($E$139:$E$288,$B$139:$B$288,$A56,$U$139:$U$288,1,$Y$139:$Y$288,1,$C$139:$C$288,"&lt;="&amp;L$17,$D$139:$D$288,"&gt;="&amp;L$17))</f>
        <v/>
      </c>
      <c r="AV56" s="31">
        <f>IF($A56="","",SUMIFS($E$139:$E$288,$B$139:$B$288,$A56,$U$139:$U$288,1,$Y$139:$Y$288,1,$C$139:$C$288,"&lt;="&amp;M$17,$D$139:$D$288,"&gt;="&amp;M$17))</f>
        <v/>
      </c>
      <c r="AW56" s="31">
        <f>IF($A56="","",SUMIFS($E$139:$E$288,$B$139:$B$288,$A56,$U$139:$U$288,1,$Y$139:$Y$288,1,$C$139:$C$288,"&lt;="&amp;N$17,$D$139:$D$288,"&gt;="&amp;N$17))</f>
        <v/>
      </c>
      <c r="AX56" s="31">
        <f>IF($A56="","",SUMIFS($E$139:$E$288,$B$139:$B$288,$A56,$U$139:$U$288,1,$Y$139:$Y$288,1,$C$139:$C$288,"&lt;="&amp;O$17,$D$139:$D$288,"&gt;="&amp;O$17))</f>
        <v/>
      </c>
      <c r="AY56" s="31">
        <f>IF($A56="","",SUMIFS($E$139:$E$288,$B$139:$B$288,$A56,$U$139:$U$288,1,$Y$139:$Y$288,1,$C$139:$C$288,"&lt;="&amp;P$17,$D$139:$D$288,"&gt;="&amp;P$17))</f>
        <v/>
      </c>
      <c r="AZ56" s="31">
        <f>IF($A56="","",SUMIFS($E$139:$E$288,$B$139:$B$288,$A56,$U$139:$U$288,2,$Y$139:$Y$288,1,$C$139:$C$288,"&lt;="&amp;D$17,$D$139:$D$288,"&gt;="&amp;D$17))</f>
        <v/>
      </c>
      <c r="BA56" s="31">
        <f>IF($A56="","",SUMIFS($E$139:$E$288,$B$139:$B$288,$A56,$U$139:$U$288,2,$Y$139:$Y$288,1,$C$139:$C$288,"&lt;="&amp;E$17,$D$139:$D$288,"&gt;="&amp;E$17))</f>
        <v/>
      </c>
      <c r="BB56" s="31">
        <f>IF($A56="","",SUMIFS($E$139:$E$288,$B$139:$B$288,$A56,$U$139:$U$288,2,$Y$139:$Y$288,1,$C$139:$C$288,"&lt;="&amp;F$17,$D$139:$D$288,"&gt;="&amp;F$17))</f>
        <v/>
      </c>
      <c r="BC56" s="31">
        <f>IF($A56="","",SUMIFS($E$139:$E$288,$B$139:$B$288,$A56,$U$139:$U$288,2,$Y$139:$Y$288,1,$C$139:$C$288,"&lt;="&amp;G$17,$D$139:$D$288,"&gt;="&amp;G$17))</f>
        <v/>
      </c>
      <c r="BD56" s="31">
        <f>IF($A56="","",SUMIFS($E$139:$E$288,$B$139:$B$288,$A56,$U$139:$U$288,2,$Y$139:$Y$288,1,$C$139:$C$288,"&lt;="&amp;H$17,$D$139:$D$288,"&gt;="&amp;H$17))</f>
        <v/>
      </c>
      <c r="BE56" s="31">
        <f>IF($A56="","",SUMIFS($E$139:$E$288,$B$139:$B$288,$A56,$U$139:$U$288,2,$Y$139:$Y$288,1,$C$139:$C$288,"&lt;="&amp;I$17,$D$139:$D$288,"&gt;="&amp;I$17))</f>
        <v/>
      </c>
      <c r="BF56" s="31">
        <f>IF($A56="","",SUMIFS($E$139:$E$288,$B$139:$B$288,$A56,$U$139:$U$288,2,$Y$139:$Y$288,1,$C$139:$C$288,"&lt;="&amp;J$17,$D$139:$D$288,"&gt;="&amp;J$17))</f>
        <v/>
      </c>
      <c r="BG56" s="31">
        <f>IF($A56="","",SUMIFS($E$139:$E$288,$B$139:$B$288,$A56,$U$139:$U$288,2,$Y$139:$Y$288,1,$C$139:$C$288,"&lt;="&amp;K$17,$D$139:$D$288,"&gt;="&amp;K$17))</f>
        <v/>
      </c>
      <c r="BH56" s="31">
        <f>IF($A56="","",SUMIFS($E$139:$E$288,$B$139:$B$288,$A56,$U$139:$U$288,2,$Y$139:$Y$288,1,$C$139:$C$288,"&lt;="&amp;L$17,$D$139:$D$288,"&gt;="&amp;L$17))</f>
        <v/>
      </c>
      <c r="BI56" s="31">
        <f>IF($A56="","",SUMIFS($E$139:$E$288,$B$139:$B$288,$A56,$U$139:$U$288,2,$Y$139:$Y$288,1,$C$139:$C$288,"&lt;="&amp;M$17,$D$139:$D$288,"&gt;="&amp;M$17))</f>
        <v/>
      </c>
      <c r="BJ56" s="31">
        <f>IF($A56="","",SUMIFS($E$139:$E$288,$B$139:$B$288,$A56,$U$139:$U$288,2,$Y$139:$Y$288,1,$C$139:$C$288,"&lt;="&amp;N$17,$D$139:$D$288,"&gt;="&amp;N$17))</f>
        <v/>
      </c>
      <c r="BK56" s="31">
        <f>IF($A56="","",SUMIFS($E$139:$E$288,$B$139:$B$288,$A56,$U$139:$U$288,2,$Y$139:$Y$288,1,$C$139:$C$288,"&lt;="&amp;O$17,$D$139:$D$288,"&gt;="&amp;O$17))</f>
        <v/>
      </c>
      <c r="BL56" s="31">
        <f>IF($A56="","",SUMIFS($E$139:$E$288,$B$139:$B$288,$A56,$U$139:$U$288,2,$Y$139:$Y$288,1,$C$139:$C$288,"&lt;="&amp;P$17,$D$139:$D$288,"&gt;="&amp;P$17))</f>
        <v/>
      </c>
      <c r="BM56" s="31">
        <f>IF(OR($A56="",$D$17=""),0,SUMPRODUCT(($D56:$P56&gt;=0)*(($D56:$P56-$AZ56:$BL56)&lt;0)))</f>
        <v/>
      </c>
      <c r="BN56" s="31">
        <f>IF(IFERROR(INDEX(Register!$A$6:$A$305,ROW()-5),"")="",0,SUMIF($A$139:$A$288,IFERROR(INDEX(Register!$A$6:$A$305,ROW()-5),""),$Z$139:$Z$288))</f>
        <v/>
      </c>
      <c r="BO56" s="31">
        <f>IF(OR(IFERROR(INDEX(Register!$A$6:$A$305,ROW()-5),"")="",SUM($Z$139:$Z$288)=0),0,IF(AND(IFERROR(INDEX(Register!$B$6:$B$305,ROW()-5),"")="Project",IFERROR(INDEX(Register!$D$6:$D$305,ROW()-5),"")="Active",IFERROR(INDEX(Register!$Z$6:$Z$305,ROW()-5),"")=1,$BN56=0),1,0))</f>
        <v/>
      </c>
      <c r="BP56" s="31">
        <f>IF(AND(IFERROR(INDEX(Register!$A$6:$A$305,ROW()-5),"")&lt;&gt;"",IFERROR(INDEX(Register!$D$6:$D$305,ROW()-5),"")="Proposed"),$BN56,0)</f>
        <v/>
      </c>
      <c r="BQ56" s="31">
        <f>IF(OR($A56="",$D$17=""),0,COUNTIF($D56:$P56,"&lt;0"))</f>
        <v/>
      </c>
    </row>
    <row r="57">
      <c r="A57" s="31">
        <f>IF(INDEX($A$63:$A$102,ROW()-17)="","",INDEX($A$63:$A$102,ROW()-17))</f>
        <v/>
      </c>
      <c r="B57" s="31">
        <f>IF(OR($A57="",$D$17=""),"",IF($BQ57=0,"○ Clear","△ "&amp;$BQ57&amp;IF($BQ57=1," week"," weeks")&amp;" over, from "&amp;TEXT(SUMPRODUCT(MIN($D$17:$P$17+($D57:$P57&gt;=0)*100000)),"d mmm")))</f>
        <v/>
      </c>
      <c r="C57" s="32">
        <f>IF($A57="","",IF(AND(ISNUMBER(INDEX($B$63:$B$102,ROW()-17)),INDEX($S$63:$S$102,ROW()-17)=0),INDEX($B$63:$B$102,ROW()-17),IF($C$7="",$B$7,5)))</f>
        <v/>
      </c>
      <c r="D57" s="51">
        <f>IF(OR($A57="",$D$17=""),"",ROUND(Z57-AM57,2))</f>
        <v/>
      </c>
      <c r="E57" s="51">
        <f>IF(OR($A57="",$D$17=""),"",ROUND(AA57-AN57,2))</f>
        <v/>
      </c>
      <c r="F57" s="51">
        <f>IF(OR($A57="",$D$17=""),"",ROUND(AB57-AO57,2))</f>
        <v/>
      </c>
      <c r="G57" s="51">
        <f>IF(OR($A57="",$D$17=""),"",ROUND(AC57-AP57,2))</f>
        <v/>
      </c>
      <c r="H57" s="51">
        <f>IF(OR($A57="",$D$17=""),"",ROUND(AD57-AQ57,2))</f>
        <v/>
      </c>
      <c r="I57" s="51">
        <f>IF(OR($A57="",$D$17=""),"",ROUND(AE57-AR57,2))</f>
        <v/>
      </c>
      <c r="J57" s="51">
        <f>IF(OR($A57="",$D$17=""),"",ROUND(AF57-AS57,2))</f>
        <v/>
      </c>
      <c r="K57" s="51">
        <f>IF(OR($A57="",$D$17=""),"",ROUND(AG57-AT57,2))</f>
        <v/>
      </c>
      <c r="L57" s="51">
        <f>IF(OR($A57="",$D$17=""),"",ROUND(AH57-AU57,2))</f>
        <v/>
      </c>
      <c r="M57" s="51">
        <f>IF(OR($A57="",$D$17=""),"",ROUND(AI57-AV57,2))</f>
        <v/>
      </c>
      <c r="N57" s="51">
        <f>IF(OR($A57="",$D$17=""),"",ROUND(AJ57-AW57,2))</f>
        <v/>
      </c>
      <c r="O57" s="51">
        <f>IF(OR($A57="",$D$17=""),"",ROUND(AK57-AX57,2))</f>
        <v/>
      </c>
      <c r="P57" s="51">
        <f>IF(OR($A57="",$D$17=""),"",ROUND(AL57-AY57,2))</f>
        <v/>
      </c>
      <c r="Q57" s="31">
        <f>IF(OR($A57="",$D$17=""),"",IF(SUM($AZ57:$BL57)=0,"",IF($BM57=0,"Fits","Over in "&amp;$BM57&amp;IF($BM57=1," week"," weeks")&amp;" if approved")))</f>
        <v/>
      </c>
      <c r="Z57" s="31">
        <f>IF(OR($A57="",$D$17=""),"",MAX(0,$C57-SUMIFS($D$106:$D$135,$A$106:$A$135,$A57,$B$106:$B$135,"&lt;="&amp;D$17,$C$106:$C$135,"&gt;="&amp;D$17,$S$106:$S$135,0)-SUMIFS($D$106:$D$135,$A$106:$A$135,"Everyone",$B$106:$B$135,"&lt;="&amp;D$17,$C$106:$C$135,"&gt;="&amp;D$17,$S$106:$S$135,0)))</f>
        <v/>
      </c>
      <c r="AA57" s="31">
        <f>IF(OR($A57="",$D$17=""),"",MAX(0,$C57-SUMIFS($D$106:$D$135,$A$106:$A$135,$A57,$B$106:$B$135,"&lt;="&amp;E$17,$C$106:$C$135,"&gt;="&amp;E$17,$S$106:$S$135,0)-SUMIFS($D$106:$D$135,$A$106:$A$135,"Everyone",$B$106:$B$135,"&lt;="&amp;E$17,$C$106:$C$135,"&gt;="&amp;E$17,$S$106:$S$135,0)))</f>
        <v/>
      </c>
      <c r="AB57" s="31">
        <f>IF(OR($A57="",$D$17=""),"",MAX(0,$C57-SUMIFS($D$106:$D$135,$A$106:$A$135,$A57,$B$106:$B$135,"&lt;="&amp;F$17,$C$106:$C$135,"&gt;="&amp;F$17,$S$106:$S$135,0)-SUMIFS($D$106:$D$135,$A$106:$A$135,"Everyone",$B$106:$B$135,"&lt;="&amp;F$17,$C$106:$C$135,"&gt;="&amp;F$17,$S$106:$S$135,0)))</f>
        <v/>
      </c>
      <c r="AC57" s="31">
        <f>IF(OR($A57="",$D$17=""),"",MAX(0,$C57-SUMIFS($D$106:$D$135,$A$106:$A$135,$A57,$B$106:$B$135,"&lt;="&amp;G$17,$C$106:$C$135,"&gt;="&amp;G$17,$S$106:$S$135,0)-SUMIFS($D$106:$D$135,$A$106:$A$135,"Everyone",$B$106:$B$135,"&lt;="&amp;G$17,$C$106:$C$135,"&gt;="&amp;G$17,$S$106:$S$135,0)))</f>
        <v/>
      </c>
      <c r="AD57" s="31">
        <f>IF(OR($A57="",$D$17=""),"",MAX(0,$C57-SUMIFS($D$106:$D$135,$A$106:$A$135,$A57,$B$106:$B$135,"&lt;="&amp;H$17,$C$106:$C$135,"&gt;="&amp;H$17,$S$106:$S$135,0)-SUMIFS($D$106:$D$135,$A$106:$A$135,"Everyone",$B$106:$B$135,"&lt;="&amp;H$17,$C$106:$C$135,"&gt;="&amp;H$17,$S$106:$S$135,0)))</f>
        <v/>
      </c>
      <c r="AE57" s="31">
        <f>IF(OR($A57="",$D$17=""),"",MAX(0,$C57-SUMIFS($D$106:$D$135,$A$106:$A$135,$A57,$B$106:$B$135,"&lt;="&amp;I$17,$C$106:$C$135,"&gt;="&amp;I$17,$S$106:$S$135,0)-SUMIFS($D$106:$D$135,$A$106:$A$135,"Everyone",$B$106:$B$135,"&lt;="&amp;I$17,$C$106:$C$135,"&gt;="&amp;I$17,$S$106:$S$135,0)))</f>
        <v/>
      </c>
      <c r="AF57" s="31">
        <f>IF(OR($A57="",$D$17=""),"",MAX(0,$C57-SUMIFS($D$106:$D$135,$A$106:$A$135,$A57,$B$106:$B$135,"&lt;="&amp;J$17,$C$106:$C$135,"&gt;="&amp;J$17,$S$106:$S$135,0)-SUMIFS($D$106:$D$135,$A$106:$A$135,"Everyone",$B$106:$B$135,"&lt;="&amp;J$17,$C$106:$C$135,"&gt;="&amp;J$17,$S$106:$S$135,0)))</f>
        <v/>
      </c>
      <c r="AG57" s="31">
        <f>IF(OR($A57="",$D$17=""),"",MAX(0,$C57-SUMIFS($D$106:$D$135,$A$106:$A$135,$A57,$B$106:$B$135,"&lt;="&amp;K$17,$C$106:$C$135,"&gt;="&amp;K$17,$S$106:$S$135,0)-SUMIFS($D$106:$D$135,$A$106:$A$135,"Everyone",$B$106:$B$135,"&lt;="&amp;K$17,$C$106:$C$135,"&gt;="&amp;K$17,$S$106:$S$135,0)))</f>
        <v/>
      </c>
      <c r="AH57" s="31">
        <f>IF(OR($A57="",$D$17=""),"",MAX(0,$C57-SUMIFS($D$106:$D$135,$A$106:$A$135,$A57,$B$106:$B$135,"&lt;="&amp;L$17,$C$106:$C$135,"&gt;="&amp;L$17,$S$106:$S$135,0)-SUMIFS($D$106:$D$135,$A$106:$A$135,"Everyone",$B$106:$B$135,"&lt;="&amp;L$17,$C$106:$C$135,"&gt;="&amp;L$17,$S$106:$S$135,0)))</f>
        <v/>
      </c>
      <c r="AI57" s="31">
        <f>IF(OR($A57="",$D$17=""),"",MAX(0,$C57-SUMIFS($D$106:$D$135,$A$106:$A$135,$A57,$B$106:$B$135,"&lt;="&amp;M$17,$C$106:$C$135,"&gt;="&amp;M$17,$S$106:$S$135,0)-SUMIFS($D$106:$D$135,$A$106:$A$135,"Everyone",$B$106:$B$135,"&lt;="&amp;M$17,$C$106:$C$135,"&gt;="&amp;M$17,$S$106:$S$135,0)))</f>
        <v/>
      </c>
      <c r="AJ57" s="31">
        <f>IF(OR($A57="",$D$17=""),"",MAX(0,$C57-SUMIFS($D$106:$D$135,$A$106:$A$135,$A57,$B$106:$B$135,"&lt;="&amp;N$17,$C$106:$C$135,"&gt;="&amp;N$17,$S$106:$S$135,0)-SUMIFS($D$106:$D$135,$A$106:$A$135,"Everyone",$B$106:$B$135,"&lt;="&amp;N$17,$C$106:$C$135,"&gt;="&amp;N$17,$S$106:$S$135,0)))</f>
        <v/>
      </c>
      <c r="AK57" s="31">
        <f>IF(OR($A57="",$D$17=""),"",MAX(0,$C57-SUMIFS($D$106:$D$135,$A$106:$A$135,$A57,$B$106:$B$135,"&lt;="&amp;O$17,$C$106:$C$135,"&gt;="&amp;O$17,$S$106:$S$135,0)-SUMIFS($D$106:$D$135,$A$106:$A$135,"Everyone",$B$106:$B$135,"&lt;="&amp;O$17,$C$106:$C$135,"&gt;="&amp;O$17,$S$106:$S$135,0)))</f>
        <v/>
      </c>
      <c r="AL57" s="31">
        <f>IF(OR($A57="",$D$17=""),"",MAX(0,$C57-SUMIFS($D$106:$D$135,$A$106:$A$135,$A57,$B$106:$B$135,"&lt;="&amp;P$17,$C$106:$C$135,"&gt;="&amp;P$17,$S$106:$S$135,0)-SUMIFS($D$106:$D$135,$A$106:$A$135,"Everyone",$B$106:$B$135,"&lt;="&amp;P$17,$C$106:$C$135,"&gt;="&amp;P$17,$S$106:$S$135,0)))</f>
        <v/>
      </c>
      <c r="AM57" s="31">
        <f>IF($A57="","",SUMIFS($E$139:$E$288,$B$139:$B$288,$A57,$U$139:$U$288,1,$Y$139:$Y$288,1,$C$139:$C$288,"&lt;="&amp;D$17,$D$139:$D$288,"&gt;="&amp;D$17))</f>
        <v/>
      </c>
      <c r="AN57" s="31">
        <f>IF($A57="","",SUMIFS($E$139:$E$288,$B$139:$B$288,$A57,$U$139:$U$288,1,$Y$139:$Y$288,1,$C$139:$C$288,"&lt;="&amp;E$17,$D$139:$D$288,"&gt;="&amp;E$17))</f>
        <v/>
      </c>
      <c r="AO57" s="31">
        <f>IF($A57="","",SUMIFS($E$139:$E$288,$B$139:$B$288,$A57,$U$139:$U$288,1,$Y$139:$Y$288,1,$C$139:$C$288,"&lt;="&amp;F$17,$D$139:$D$288,"&gt;="&amp;F$17))</f>
        <v/>
      </c>
      <c r="AP57" s="31">
        <f>IF($A57="","",SUMIFS($E$139:$E$288,$B$139:$B$288,$A57,$U$139:$U$288,1,$Y$139:$Y$288,1,$C$139:$C$288,"&lt;="&amp;G$17,$D$139:$D$288,"&gt;="&amp;G$17))</f>
        <v/>
      </c>
      <c r="AQ57" s="31">
        <f>IF($A57="","",SUMIFS($E$139:$E$288,$B$139:$B$288,$A57,$U$139:$U$288,1,$Y$139:$Y$288,1,$C$139:$C$288,"&lt;="&amp;H$17,$D$139:$D$288,"&gt;="&amp;H$17))</f>
        <v/>
      </c>
      <c r="AR57" s="31">
        <f>IF($A57="","",SUMIFS($E$139:$E$288,$B$139:$B$288,$A57,$U$139:$U$288,1,$Y$139:$Y$288,1,$C$139:$C$288,"&lt;="&amp;I$17,$D$139:$D$288,"&gt;="&amp;I$17))</f>
        <v/>
      </c>
      <c r="AS57" s="31">
        <f>IF($A57="","",SUMIFS($E$139:$E$288,$B$139:$B$288,$A57,$U$139:$U$288,1,$Y$139:$Y$288,1,$C$139:$C$288,"&lt;="&amp;J$17,$D$139:$D$288,"&gt;="&amp;J$17))</f>
        <v/>
      </c>
      <c r="AT57" s="31">
        <f>IF($A57="","",SUMIFS($E$139:$E$288,$B$139:$B$288,$A57,$U$139:$U$288,1,$Y$139:$Y$288,1,$C$139:$C$288,"&lt;="&amp;K$17,$D$139:$D$288,"&gt;="&amp;K$17))</f>
        <v/>
      </c>
      <c r="AU57" s="31">
        <f>IF($A57="","",SUMIFS($E$139:$E$288,$B$139:$B$288,$A57,$U$139:$U$288,1,$Y$139:$Y$288,1,$C$139:$C$288,"&lt;="&amp;L$17,$D$139:$D$288,"&gt;="&amp;L$17))</f>
        <v/>
      </c>
      <c r="AV57" s="31">
        <f>IF($A57="","",SUMIFS($E$139:$E$288,$B$139:$B$288,$A57,$U$139:$U$288,1,$Y$139:$Y$288,1,$C$139:$C$288,"&lt;="&amp;M$17,$D$139:$D$288,"&gt;="&amp;M$17))</f>
        <v/>
      </c>
      <c r="AW57" s="31">
        <f>IF($A57="","",SUMIFS($E$139:$E$288,$B$139:$B$288,$A57,$U$139:$U$288,1,$Y$139:$Y$288,1,$C$139:$C$288,"&lt;="&amp;N$17,$D$139:$D$288,"&gt;="&amp;N$17))</f>
        <v/>
      </c>
      <c r="AX57" s="31">
        <f>IF($A57="","",SUMIFS($E$139:$E$288,$B$139:$B$288,$A57,$U$139:$U$288,1,$Y$139:$Y$288,1,$C$139:$C$288,"&lt;="&amp;O$17,$D$139:$D$288,"&gt;="&amp;O$17))</f>
        <v/>
      </c>
      <c r="AY57" s="31">
        <f>IF($A57="","",SUMIFS($E$139:$E$288,$B$139:$B$288,$A57,$U$139:$U$288,1,$Y$139:$Y$288,1,$C$139:$C$288,"&lt;="&amp;P$17,$D$139:$D$288,"&gt;="&amp;P$17))</f>
        <v/>
      </c>
      <c r="AZ57" s="31">
        <f>IF($A57="","",SUMIFS($E$139:$E$288,$B$139:$B$288,$A57,$U$139:$U$288,2,$Y$139:$Y$288,1,$C$139:$C$288,"&lt;="&amp;D$17,$D$139:$D$288,"&gt;="&amp;D$17))</f>
        <v/>
      </c>
      <c r="BA57" s="31">
        <f>IF($A57="","",SUMIFS($E$139:$E$288,$B$139:$B$288,$A57,$U$139:$U$288,2,$Y$139:$Y$288,1,$C$139:$C$288,"&lt;="&amp;E$17,$D$139:$D$288,"&gt;="&amp;E$17))</f>
        <v/>
      </c>
      <c r="BB57" s="31">
        <f>IF($A57="","",SUMIFS($E$139:$E$288,$B$139:$B$288,$A57,$U$139:$U$288,2,$Y$139:$Y$288,1,$C$139:$C$288,"&lt;="&amp;F$17,$D$139:$D$288,"&gt;="&amp;F$17))</f>
        <v/>
      </c>
      <c r="BC57" s="31">
        <f>IF($A57="","",SUMIFS($E$139:$E$288,$B$139:$B$288,$A57,$U$139:$U$288,2,$Y$139:$Y$288,1,$C$139:$C$288,"&lt;="&amp;G$17,$D$139:$D$288,"&gt;="&amp;G$17))</f>
        <v/>
      </c>
      <c r="BD57" s="31">
        <f>IF($A57="","",SUMIFS($E$139:$E$288,$B$139:$B$288,$A57,$U$139:$U$288,2,$Y$139:$Y$288,1,$C$139:$C$288,"&lt;="&amp;H$17,$D$139:$D$288,"&gt;="&amp;H$17))</f>
        <v/>
      </c>
      <c r="BE57" s="31">
        <f>IF($A57="","",SUMIFS($E$139:$E$288,$B$139:$B$288,$A57,$U$139:$U$288,2,$Y$139:$Y$288,1,$C$139:$C$288,"&lt;="&amp;I$17,$D$139:$D$288,"&gt;="&amp;I$17))</f>
        <v/>
      </c>
      <c r="BF57" s="31">
        <f>IF($A57="","",SUMIFS($E$139:$E$288,$B$139:$B$288,$A57,$U$139:$U$288,2,$Y$139:$Y$288,1,$C$139:$C$288,"&lt;="&amp;J$17,$D$139:$D$288,"&gt;="&amp;J$17))</f>
        <v/>
      </c>
      <c r="BG57" s="31">
        <f>IF($A57="","",SUMIFS($E$139:$E$288,$B$139:$B$288,$A57,$U$139:$U$288,2,$Y$139:$Y$288,1,$C$139:$C$288,"&lt;="&amp;K$17,$D$139:$D$288,"&gt;="&amp;K$17))</f>
        <v/>
      </c>
      <c r="BH57" s="31">
        <f>IF($A57="","",SUMIFS($E$139:$E$288,$B$139:$B$288,$A57,$U$139:$U$288,2,$Y$139:$Y$288,1,$C$139:$C$288,"&lt;="&amp;L$17,$D$139:$D$288,"&gt;="&amp;L$17))</f>
        <v/>
      </c>
      <c r="BI57" s="31">
        <f>IF($A57="","",SUMIFS($E$139:$E$288,$B$139:$B$288,$A57,$U$139:$U$288,2,$Y$139:$Y$288,1,$C$139:$C$288,"&lt;="&amp;M$17,$D$139:$D$288,"&gt;="&amp;M$17))</f>
        <v/>
      </c>
      <c r="BJ57" s="31">
        <f>IF($A57="","",SUMIFS($E$139:$E$288,$B$139:$B$288,$A57,$U$139:$U$288,2,$Y$139:$Y$288,1,$C$139:$C$288,"&lt;="&amp;N$17,$D$139:$D$288,"&gt;="&amp;N$17))</f>
        <v/>
      </c>
      <c r="BK57" s="31">
        <f>IF($A57="","",SUMIFS($E$139:$E$288,$B$139:$B$288,$A57,$U$139:$U$288,2,$Y$139:$Y$288,1,$C$139:$C$288,"&lt;="&amp;O$17,$D$139:$D$288,"&gt;="&amp;O$17))</f>
        <v/>
      </c>
      <c r="BL57" s="31">
        <f>IF($A57="","",SUMIFS($E$139:$E$288,$B$139:$B$288,$A57,$U$139:$U$288,2,$Y$139:$Y$288,1,$C$139:$C$288,"&lt;="&amp;P$17,$D$139:$D$288,"&gt;="&amp;P$17))</f>
        <v/>
      </c>
      <c r="BM57" s="31">
        <f>IF(OR($A57="",$D$17=""),0,SUMPRODUCT(($D57:$P57&gt;=0)*(($D57:$P57-$AZ57:$BL57)&lt;0)))</f>
        <v/>
      </c>
      <c r="BN57" s="31">
        <f>IF(IFERROR(INDEX(Register!$A$6:$A$305,ROW()-5),"")="",0,SUMIF($A$139:$A$288,IFERROR(INDEX(Register!$A$6:$A$305,ROW()-5),""),$Z$139:$Z$288))</f>
        <v/>
      </c>
      <c r="BO57" s="31">
        <f>IF(OR(IFERROR(INDEX(Register!$A$6:$A$305,ROW()-5),"")="",SUM($Z$139:$Z$288)=0),0,IF(AND(IFERROR(INDEX(Register!$B$6:$B$305,ROW()-5),"")="Project",IFERROR(INDEX(Register!$D$6:$D$305,ROW()-5),"")="Active",IFERROR(INDEX(Register!$Z$6:$Z$305,ROW()-5),"")=1,$BN57=0),1,0))</f>
        <v/>
      </c>
      <c r="BP57" s="31">
        <f>IF(AND(IFERROR(INDEX(Register!$A$6:$A$305,ROW()-5),"")&lt;&gt;"",IFERROR(INDEX(Register!$D$6:$D$305,ROW()-5),"")="Proposed"),$BN57,0)</f>
        <v/>
      </c>
      <c r="BQ57" s="31">
        <f>IF(OR($A57="",$D$17=""),0,COUNTIF($D57:$P57,"&lt;0"))</f>
        <v/>
      </c>
    </row>
    <row r="58">
      <c r="A58" s="37" t="inlineStr">
        <is>
          <t>Free days, at most</t>
        </is>
      </c>
      <c r="B58" s="31" t="n"/>
      <c r="C58" s="31" t="n"/>
      <c r="D58" s="52">
        <f>SUMIF(D18:D57,"&gt;0")</f>
        <v/>
      </c>
      <c r="E58" s="52">
        <f>SUMIF(E18:E57,"&gt;0")</f>
        <v/>
      </c>
      <c r="F58" s="52">
        <f>SUMIF(F18:F57,"&gt;0")</f>
        <v/>
      </c>
      <c r="G58" s="52">
        <f>SUMIF(G18:G57,"&gt;0")</f>
        <v/>
      </c>
      <c r="H58" s="52">
        <f>SUMIF(H18:H57,"&gt;0")</f>
        <v/>
      </c>
      <c r="I58" s="52">
        <f>SUMIF(I18:I57,"&gt;0")</f>
        <v/>
      </c>
      <c r="J58" s="52">
        <f>SUMIF(J18:J57,"&gt;0")</f>
        <v/>
      </c>
      <c r="K58" s="52">
        <f>SUMIF(K18:K57,"&gt;0")</f>
        <v/>
      </c>
      <c r="L58" s="52">
        <f>SUMIF(L18:L57,"&gt;0")</f>
        <v/>
      </c>
      <c r="M58" s="52">
        <f>SUMIF(M18:M57,"&gt;0")</f>
        <v/>
      </c>
      <c r="N58" s="52">
        <f>SUMIF(N18:N57,"&gt;0")</f>
        <v/>
      </c>
      <c r="O58" s="52">
        <f>SUMIF(O18:O57,"&gt;0")</f>
        <v/>
      </c>
      <c r="P58" s="52">
        <f>SUMIF(P18:P57,"&gt;0")</f>
        <v/>
      </c>
      <c r="Q58" s="31" t="n"/>
      <c r="BN58" s="31">
        <f>IF(IFERROR(INDEX(Register!$A$6:$A$305,ROW()-5),"")="",0,SUMIF($A$139:$A$288,IFERROR(INDEX(Register!$A$6:$A$305,ROW()-5),""),$Z$139:$Z$288))</f>
        <v/>
      </c>
      <c r="BO58" s="31">
        <f>IF(OR(IFERROR(INDEX(Register!$A$6:$A$305,ROW()-5),"")="",SUM($Z$139:$Z$288)=0),0,IF(AND(IFERROR(INDEX(Register!$B$6:$B$305,ROW()-5),"")="Project",IFERROR(INDEX(Register!$D$6:$D$305,ROW()-5),"")="Active",IFERROR(INDEX(Register!$Z$6:$Z$305,ROW()-5),"")=1,$BN58=0),1,0))</f>
        <v/>
      </c>
      <c r="BP58" s="31">
        <f>IF(AND(IFERROR(INDEX(Register!$A$6:$A$305,ROW()-5),"")&lt;&gt;"",IFERROR(INDEX(Register!$D$6:$D$305,ROW()-5),"")="Proposed"),$BN58,0)</f>
        <v/>
      </c>
    </row>
    <row r="59">
      <c r="A59" s="37" t="inlineStr">
        <is>
          <t>Days over, all people</t>
        </is>
      </c>
      <c r="B59" s="31" t="n"/>
      <c r="C59" s="31" t="n"/>
      <c r="D59" s="52">
        <f>-SUMIF(D18:D57,"&lt;0")</f>
        <v/>
      </c>
      <c r="E59" s="52">
        <f>-SUMIF(E18:E57,"&lt;0")</f>
        <v/>
      </c>
      <c r="F59" s="52">
        <f>-SUMIF(F18:F57,"&lt;0")</f>
        <v/>
      </c>
      <c r="G59" s="52">
        <f>-SUMIF(G18:G57,"&lt;0")</f>
        <v/>
      </c>
      <c r="H59" s="52">
        <f>-SUMIF(H18:H57,"&lt;0")</f>
        <v/>
      </c>
      <c r="I59" s="52">
        <f>-SUMIF(I18:I57,"&lt;0")</f>
        <v/>
      </c>
      <c r="J59" s="52">
        <f>-SUMIF(J18:J57,"&lt;0")</f>
        <v/>
      </c>
      <c r="K59" s="52">
        <f>-SUMIF(K18:K57,"&lt;0")</f>
        <v/>
      </c>
      <c r="L59" s="52">
        <f>-SUMIF(L18:L57,"&lt;0")</f>
        <v/>
      </c>
      <c r="M59" s="52">
        <f>-SUMIF(M18:M57,"&lt;0")</f>
        <v/>
      </c>
      <c r="N59" s="52">
        <f>-SUMIF(N18:N57,"&lt;0")</f>
        <v/>
      </c>
      <c r="O59" s="52">
        <f>-SUMIF(O18:O57,"&lt;0")</f>
        <v/>
      </c>
      <c r="P59" s="52">
        <f>-SUMIF(P18:P57,"&lt;0")</f>
        <v/>
      </c>
      <c r="Q59" s="31" t="n"/>
      <c r="BN59" s="31">
        <f>IF(IFERROR(INDEX(Register!$A$6:$A$305,ROW()-5),"")="",0,SUMIF($A$139:$A$288,IFERROR(INDEX(Register!$A$6:$A$305,ROW()-5),""),$Z$139:$Z$288))</f>
        <v/>
      </c>
      <c r="BO59" s="31">
        <f>IF(OR(IFERROR(INDEX(Register!$A$6:$A$305,ROW()-5),"")="",SUM($Z$139:$Z$288)=0),0,IF(AND(IFERROR(INDEX(Register!$B$6:$B$305,ROW()-5),"")="Project",IFERROR(INDEX(Register!$D$6:$D$305,ROW()-5),"")="Active",IFERROR(INDEX(Register!$Z$6:$Z$305,ROW()-5),"")=1,$BN59=0),1,0))</f>
        <v/>
      </c>
      <c r="BP59" s="31">
        <f>IF(AND(IFERROR(INDEX(Register!$A$6:$A$305,ROW()-5),"")&lt;&gt;"",IFERROR(INDEX(Register!$D$6:$D$305,ROW()-5),"")="Proposed"),$BN59,0)</f>
        <v/>
      </c>
    </row>
    <row r="60" ht="6" customHeight="1">
      <c r="BN60" s="31">
        <f>IF(IFERROR(INDEX(Register!$A$6:$A$305,ROW()-5),"")="",0,SUMIF($A$139:$A$288,IFERROR(INDEX(Register!$A$6:$A$305,ROW()-5),""),$Z$139:$Z$288))</f>
        <v/>
      </c>
      <c r="BO60" s="31">
        <f>IF(OR(IFERROR(INDEX(Register!$A$6:$A$305,ROW()-5),"")="",SUM($Z$139:$Z$288)=0),0,IF(AND(IFERROR(INDEX(Register!$B$6:$B$305,ROW()-5),"")="Project",IFERROR(INDEX(Register!$D$6:$D$305,ROW()-5),"")="Active",IFERROR(INDEX(Register!$Z$6:$Z$305,ROW()-5),"")=1,$BN60=0),1,0))</f>
        <v/>
      </c>
      <c r="BP60" s="31">
        <f>IF(AND(IFERROR(INDEX(Register!$A$6:$A$305,ROW()-5),"")&lt;&gt;"",IFERROR(INDEX(Register!$D$6:$D$305,ROW()-5),"")="Proposed"),$BN60,0)</f>
        <v/>
      </c>
    </row>
    <row r="61" ht="16" customHeight="1">
      <c r="A61" s="11" t="inlineStr">
        <is>
          <t>People. The people who can be booked, and the days a week each one works.</t>
        </is>
      </c>
      <c r="BN61" s="31">
        <f>IF(IFERROR(INDEX(Register!$A$6:$A$305,ROW()-5),"")="",0,SUMIF($A$139:$A$288,IFERROR(INDEX(Register!$A$6:$A$305,ROW()-5),""),$Z$139:$Z$288))</f>
        <v/>
      </c>
      <c r="BO61" s="31">
        <f>IF(OR(IFERROR(INDEX(Register!$A$6:$A$305,ROW()-5),"")="",SUM($Z$139:$Z$288)=0),0,IF(AND(IFERROR(INDEX(Register!$B$6:$B$305,ROW()-5),"")="Project",IFERROR(INDEX(Register!$D$6:$D$305,ROW()-5),"")="Active",IFERROR(INDEX(Register!$Z$6:$Z$305,ROW()-5),"")=1,$BN61=0),1,0))</f>
        <v/>
      </c>
      <c r="BP61" s="31">
        <f>IF(AND(IFERROR(INDEX(Register!$A$6:$A$305,ROW()-5),"")&lt;&gt;"",IFERROR(INDEX(Register!$D$6:$D$305,ROW()-5),"")="Proposed"),$BN61,0)</f>
        <v/>
      </c>
    </row>
    <row r="62">
      <c r="A62" s="25" t="inlineStr">
        <is>
          <t>Person</t>
        </is>
      </c>
      <c r="B62" s="25" t="inlineStr">
        <is>
          <t>Usual days a week</t>
        </is>
      </c>
      <c r="C62" s="28" t="inlineStr">
        <is>
          <t>Row check</t>
        </is>
      </c>
      <c r="S62" s="28" t="inlineStr">
        <is>
          <t>Capacity helper</t>
        </is>
      </c>
      <c r="BN62" s="31">
        <f>IF(IFERROR(INDEX(Register!$A$6:$A$305,ROW()-5),"")="",0,SUMIF($A$139:$A$288,IFERROR(INDEX(Register!$A$6:$A$305,ROW()-5),""),$Z$139:$Z$288))</f>
        <v/>
      </c>
      <c r="BO62" s="31">
        <f>IF(OR(IFERROR(INDEX(Register!$A$6:$A$305,ROW()-5),"")="",SUM($Z$139:$Z$288)=0),0,IF(AND(IFERROR(INDEX(Register!$B$6:$B$305,ROW()-5),"")="Project",IFERROR(INDEX(Register!$D$6:$D$305,ROW()-5),"")="Active",IFERROR(INDEX(Register!$Z$6:$Z$305,ROW()-5),"")=1,$BN62=0),1,0))</f>
        <v/>
      </c>
      <c r="BP62" s="31">
        <f>IF(AND(IFERROR(INDEX(Register!$A$6:$A$305,ROW()-5),"")&lt;&gt;"",IFERROR(INDEX(Register!$D$6:$D$305,ROW()-5),"")="Proposed"),$BN62,0)</f>
        <v/>
      </c>
    </row>
    <row r="63">
      <c r="A63" s="29" t="n"/>
      <c r="B63" s="48" t="n"/>
      <c r="C63" s="31">
        <f>IF($A63="","",IF(COUNTIF($A$63:$A$102,$A63)&gt;1,"△ Name used twice",IF(OR($A63="Everyone",$A63="Outside team"),"△ Reserved word: use a person's name",IF(OR($B63="",AND(ISNUMBER($B63),$B63&gt;=0,$B63&lt;=7)),"○ Clear","△ Usual days must be 0 to 7"))))</f>
        <v/>
      </c>
      <c r="S63" s="31">
        <f>IF(LEFT($C63,1)="△",1,0)</f>
        <v/>
      </c>
      <c r="BN63" s="31">
        <f>IF(IFERROR(INDEX(Register!$A$6:$A$305,ROW()-5),"")="",0,SUMIF($A$139:$A$288,IFERROR(INDEX(Register!$A$6:$A$305,ROW()-5),""),$Z$139:$Z$288))</f>
        <v/>
      </c>
      <c r="BO63" s="31">
        <f>IF(OR(IFERROR(INDEX(Register!$A$6:$A$305,ROW()-5),"")="",SUM($Z$139:$Z$288)=0),0,IF(AND(IFERROR(INDEX(Register!$B$6:$B$305,ROW()-5),"")="Project",IFERROR(INDEX(Register!$D$6:$D$305,ROW()-5),"")="Active",IFERROR(INDEX(Register!$Z$6:$Z$305,ROW()-5),"")=1,$BN63=0),1,0))</f>
        <v/>
      </c>
      <c r="BP63" s="31">
        <f>IF(AND(IFERROR(INDEX(Register!$A$6:$A$305,ROW()-5),"")&lt;&gt;"",IFERROR(INDEX(Register!$D$6:$D$305,ROW()-5),"")="Proposed"),$BN63,0)</f>
        <v/>
      </c>
    </row>
    <row r="64">
      <c r="A64" s="29" t="n"/>
      <c r="B64" s="48" t="n"/>
      <c r="C64" s="31">
        <f>IF($A64="","",IF(COUNTIF($A$63:$A$102,$A64)&gt;1,"△ Name used twice",IF(OR($A64="Everyone",$A64="Outside team"),"△ Reserved word: use a person's name",IF(OR($B64="",AND(ISNUMBER($B64),$B64&gt;=0,$B64&lt;=7)),"○ Clear","△ Usual days must be 0 to 7"))))</f>
        <v/>
      </c>
      <c r="S64" s="31">
        <f>IF(LEFT($C64,1)="△",1,0)</f>
        <v/>
      </c>
      <c r="BN64" s="31">
        <f>IF(IFERROR(INDEX(Register!$A$6:$A$305,ROW()-5),"")="",0,SUMIF($A$139:$A$288,IFERROR(INDEX(Register!$A$6:$A$305,ROW()-5),""),$Z$139:$Z$288))</f>
        <v/>
      </c>
      <c r="BO64" s="31">
        <f>IF(OR(IFERROR(INDEX(Register!$A$6:$A$305,ROW()-5),"")="",SUM($Z$139:$Z$288)=0),0,IF(AND(IFERROR(INDEX(Register!$B$6:$B$305,ROW()-5),"")="Project",IFERROR(INDEX(Register!$D$6:$D$305,ROW()-5),"")="Active",IFERROR(INDEX(Register!$Z$6:$Z$305,ROW()-5),"")=1,$BN64=0),1,0))</f>
        <v/>
      </c>
      <c r="BP64" s="31">
        <f>IF(AND(IFERROR(INDEX(Register!$A$6:$A$305,ROW()-5),"")&lt;&gt;"",IFERROR(INDEX(Register!$D$6:$D$305,ROW()-5),"")="Proposed"),$BN64,0)</f>
        <v/>
      </c>
    </row>
    <row r="65">
      <c r="A65" s="29" t="n"/>
      <c r="B65" s="48" t="n"/>
      <c r="C65" s="31">
        <f>IF($A65="","",IF(COUNTIF($A$63:$A$102,$A65)&gt;1,"△ Name used twice",IF(OR($A65="Everyone",$A65="Outside team"),"△ Reserved word: use a person's name",IF(OR($B65="",AND(ISNUMBER($B65),$B65&gt;=0,$B65&lt;=7)),"○ Clear","△ Usual days must be 0 to 7"))))</f>
        <v/>
      </c>
      <c r="S65" s="31">
        <f>IF(LEFT($C65,1)="△",1,0)</f>
        <v/>
      </c>
      <c r="BN65" s="31">
        <f>IF(IFERROR(INDEX(Register!$A$6:$A$305,ROW()-5),"")="",0,SUMIF($A$139:$A$288,IFERROR(INDEX(Register!$A$6:$A$305,ROW()-5),""),$Z$139:$Z$288))</f>
        <v/>
      </c>
      <c r="BO65" s="31">
        <f>IF(OR(IFERROR(INDEX(Register!$A$6:$A$305,ROW()-5),"")="",SUM($Z$139:$Z$288)=0),0,IF(AND(IFERROR(INDEX(Register!$B$6:$B$305,ROW()-5),"")="Project",IFERROR(INDEX(Register!$D$6:$D$305,ROW()-5),"")="Active",IFERROR(INDEX(Register!$Z$6:$Z$305,ROW()-5),"")=1,$BN65=0),1,0))</f>
        <v/>
      </c>
      <c r="BP65" s="31">
        <f>IF(AND(IFERROR(INDEX(Register!$A$6:$A$305,ROW()-5),"")&lt;&gt;"",IFERROR(INDEX(Register!$D$6:$D$305,ROW()-5),"")="Proposed"),$BN65,0)</f>
        <v/>
      </c>
    </row>
    <row r="66">
      <c r="A66" s="29" t="n"/>
      <c r="B66" s="48" t="n"/>
      <c r="C66" s="31">
        <f>IF($A66="","",IF(COUNTIF($A$63:$A$102,$A66)&gt;1,"△ Name used twice",IF(OR($A66="Everyone",$A66="Outside team"),"△ Reserved word: use a person's name",IF(OR($B66="",AND(ISNUMBER($B66),$B66&gt;=0,$B66&lt;=7)),"○ Clear","△ Usual days must be 0 to 7"))))</f>
        <v/>
      </c>
      <c r="S66" s="31">
        <f>IF(LEFT($C66,1)="△",1,0)</f>
        <v/>
      </c>
      <c r="BN66" s="31">
        <f>IF(IFERROR(INDEX(Register!$A$6:$A$305,ROW()-5),"")="",0,SUMIF($A$139:$A$288,IFERROR(INDEX(Register!$A$6:$A$305,ROW()-5),""),$Z$139:$Z$288))</f>
        <v/>
      </c>
      <c r="BO66" s="31">
        <f>IF(OR(IFERROR(INDEX(Register!$A$6:$A$305,ROW()-5),"")="",SUM($Z$139:$Z$288)=0),0,IF(AND(IFERROR(INDEX(Register!$B$6:$B$305,ROW()-5),"")="Project",IFERROR(INDEX(Register!$D$6:$D$305,ROW()-5),"")="Active",IFERROR(INDEX(Register!$Z$6:$Z$305,ROW()-5),"")=1,$BN66=0),1,0))</f>
        <v/>
      </c>
      <c r="BP66" s="31">
        <f>IF(AND(IFERROR(INDEX(Register!$A$6:$A$305,ROW()-5),"")&lt;&gt;"",IFERROR(INDEX(Register!$D$6:$D$305,ROW()-5),"")="Proposed"),$BN66,0)</f>
        <v/>
      </c>
    </row>
    <row r="67">
      <c r="A67" s="29" t="n"/>
      <c r="B67" s="48" t="n"/>
      <c r="C67" s="31">
        <f>IF($A67="","",IF(COUNTIF($A$63:$A$102,$A67)&gt;1,"△ Name used twice",IF(OR($A67="Everyone",$A67="Outside team"),"△ Reserved word: use a person's name",IF(OR($B67="",AND(ISNUMBER($B67),$B67&gt;=0,$B67&lt;=7)),"○ Clear","△ Usual days must be 0 to 7"))))</f>
        <v/>
      </c>
      <c r="S67" s="31">
        <f>IF(LEFT($C67,1)="△",1,0)</f>
        <v/>
      </c>
      <c r="BN67" s="31">
        <f>IF(IFERROR(INDEX(Register!$A$6:$A$305,ROW()-5),"")="",0,SUMIF($A$139:$A$288,IFERROR(INDEX(Register!$A$6:$A$305,ROW()-5),""),$Z$139:$Z$288))</f>
        <v/>
      </c>
      <c r="BO67" s="31">
        <f>IF(OR(IFERROR(INDEX(Register!$A$6:$A$305,ROW()-5),"")="",SUM($Z$139:$Z$288)=0),0,IF(AND(IFERROR(INDEX(Register!$B$6:$B$305,ROW()-5),"")="Project",IFERROR(INDEX(Register!$D$6:$D$305,ROW()-5),"")="Active",IFERROR(INDEX(Register!$Z$6:$Z$305,ROW()-5),"")=1,$BN67=0),1,0))</f>
        <v/>
      </c>
      <c r="BP67" s="31">
        <f>IF(AND(IFERROR(INDEX(Register!$A$6:$A$305,ROW()-5),"")&lt;&gt;"",IFERROR(INDEX(Register!$D$6:$D$305,ROW()-5),"")="Proposed"),$BN67,0)</f>
        <v/>
      </c>
    </row>
    <row r="68">
      <c r="A68" s="29" t="n"/>
      <c r="B68" s="48" t="n"/>
      <c r="C68" s="31">
        <f>IF($A68="","",IF(COUNTIF($A$63:$A$102,$A68)&gt;1,"△ Name used twice",IF(OR($A68="Everyone",$A68="Outside team"),"△ Reserved word: use a person's name",IF(OR($B68="",AND(ISNUMBER($B68),$B68&gt;=0,$B68&lt;=7)),"○ Clear","△ Usual days must be 0 to 7"))))</f>
        <v/>
      </c>
      <c r="S68" s="31">
        <f>IF(LEFT($C68,1)="△",1,0)</f>
        <v/>
      </c>
      <c r="BN68" s="31">
        <f>IF(IFERROR(INDEX(Register!$A$6:$A$305,ROW()-5),"")="",0,SUMIF($A$139:$A$288,IFERROR(INDEX(Register!$A$6:$A$305,ROW()-5),""),$Z$139:$Z$288))</f>
        <v/>
      </c>
      <c r="BO68" s="31">
        <f>IF(OR(IFERROR(INDEX(Register!$A$6:$A$305,ROW()-5),"")="",SUM($Z$139:$Z$288)=0),0,IF(AND(IFERROR(INDEX(Register!$B$6:$B$305,ROW()-5),"")="Project",IFERROR(INDEX(Register!$D$6:$D$305,ROW()-5),"")="Active",IFERROR(INDEX(Register!$Z$6:$Z$305,ROW()-5),"")=1,$BN68=0),1,0))</f>
        <v/>
      </c>
      <c r="BP68" s="31">
        <f>IF(AND(IFERROR(INDEX(Register!$A$6:$A$305,ROW()-5),"")&lt;&gt;"",IFERROR(INDEX(Register!$D$6:$D$305,ROW()-5),"")="Proposed"),$BN68,0)</f>
        <v/>
      </c>
    </row>
    <row r="69">
      <c r="A69" s="29" t="n"/>
      <c r="B69" s="48" t="n"/>
      <c r="C69" s="31">
        <f>IF($A69="","",IF(COUNTIF($A$63:$A$102,$A69)&gt;1,"△ Name used twice",IF(OR($A69="Everyone",$A69="Outside team"),"△ Reserved word: use a person's name",IF(OR($B69="",AND(ISNUMBER($B69),$B69&gt;=0,$B69&lt;=7)),"○ Clear","△ Usual days must be 0 to 7"))))</f>
        <v/>
      </c>
      <c r="S69" s="31">
        <f>IF(LEFT($C69,1)="△",1,0)</f>
        <v/>
      </c>
      <c r="BN69" s="31">
        <f>IF(IFERROR(INDEX(Register!$A$6:$A$305,ROW()-5),"")="",0,SUMIF($A$139:$A$288,IFERROR(INDEX(Register!$A$6:$A$305,ROW()-5),""),$Z$139:$Z$288))</f>
        <v/>
      </c>
      <c r="BO69" s="31">
        <f>IF(OR(IFERROR(INDEX(Register!$A$6:$A$305,ROW()-5),"")="",SUM($Z$139:$Z$288)=0),0,IF(AND(IFERROR(INDEX(Register!$B$6:$B$305,ROW()-5),"")="Project",IFERROR(INDEX(Register!$D$6:$D$305,ROW()-5),"")="Active",IFERROR(INDEX(Register!$Z$6:$Z$305,ROW()-5),"")=1,$BN69=0),1,0))</f>
        <v/>
      </c>
      <c r="BP69" s="31">
        <f>IF(AND(IFERROR(INDEX(Register!$A$6:$A$305,ROW()-5),"")&lt;&gt;"",IFERROR(INDEX(Register!$D$6:$D$305,ROW()-5),"")="Proposed"),$BN69,0)</f>
        <v/>
      </c>
    </row>
    <row r="70">
      <c r="A70" s="29" t="n"/>
      <c r="B70" s="48" t="n"/>
      <c r="C70" s="31">
        <f>IF($A70="","",IF(COUNTIF($A$63:$A$102,$A70)&gt;1,"△ Name used twice",IF(OR($A70="Everyone",$A70="Outside team"),"△ Reserved word: use a person's name",IF(OR($B70="",AND(ISNUMBER($B70),$B70&gt;=0,$B70&lt;=7)),"○ Clear","△ Usual days must be 0 to 7"))))</f>
        <v/>
      </c>
      <c r="S70" s="31">
        <f>IF(LEFT($C70,1)="△",1,0)</f>
        <v/>
      </c>
      <c r="BN70" s="31">
        <f>IF(IFERROR(INDEX(Register!$A$6:$A$305,ROW()-5),"")="",0,SUMIF($A$139:$A$288,IFERROR(INDEX(Register!$A$6:$A$305,ROW()-5),""),$Z$139:$Z$288))</f>
        <v/>
      </c>
      <c r="BO70" s="31">
        <f>IF(OR(IFERROR(INDEX(Register!$A$6:$A$305,ROW()-5),"")="",SUM($Z$139:$Z$288)=0),0,IF(AND(IFERROR(INDEX(Register!$B$6:$B$305,ROW()-5),"")="Project",IFERROR(INDEX(Register!$D$6:$D$305,ROW()-5),"")="Active",IFERROR(INDEX(Register!$Z$6:$Z$305,ROW()-5),"")=1,$BN70=0),1,0))</f>
        <v/>
      </c>
      <c r="BP70" s="31">
        <f>IF(AND(IFERROR(INDEX(Register!$A$6:$A$305,ROW()-5),"")&lt;&gt;"",IFERROR(INDEX(Register!$D$6:$D$305,ROW()-5),"")="Proposed"),$BN70,0)</f>
        <v/>
      </c>
    </row>
    <row r="71">
      <c r="A71" s="29" t="n"/>
      <c r="B71" s="48" t="n"/>
      <c r="C71" s="31">
        <f>IF($A71="","",IF(COUNTIF($A$63:$A$102,$A71)&gt;1,"△ Name used twice",IF(OR($A71="Everyone",$A71="Outside team"),"△ Reserved word: use a person's name",IF(OR($B71="",AND(ISNUMBER($B71),$B71&gt;=0,$B71&lt;=7)),"○ Clear","△ Usual days must be 0 to 7"))))</f>
        <v/>
      </c>
      <c r="S71" s="31">
        <f>IF(LEFT($C71,1)="△",1,0)</f>
        <v/>
      </c>
      <c r="BN71" s="31">
        <f>IF(IFERROR(INDEX(Register!$A$6:$A$305,ROW()-5),"")="",0,SUMIF($A$139:$A$288,IFERROR(INDEX(Register!$A$6:$A$305,ROW()-5),""),$Z$139:$Z$288))</f>
        <v/>
      </c>
      <c r="BO71" s="31">
        <f>IF(OR(IFERROR(INDEX(Register!$A$6:$A$305,ROW()-5),"")="",SUM($Z$139:$Z$288)=0),0,IF(AND(IFERROR(INDEX(Register!$B$6:$B$305,ROW()-5),"")="Project",IFERROR(INDEX(Register!$D$6:$D$305,ROW()-5),"")="Active",IFERROR(INDEX(Register!$Z$6:$Z$305,ROW()-5),"")=1,$BN71=0),1,0))</f>
        <v/>
      </c>
      <c r="BP71" s="31">
        <f>IF(AND(IFERROR(INDEX(Register!$A$6:$A$305,ROW()-5),"")&lt;&gt;"",IFERROR(INDEX(Register!$D$6:$D$305,ROW()-5),"")="Proposed"),$BN71,0)</f>
        <v/>
      </c>
    </row>
    <row r="72">
      <c r="A72" s="29" t="n"/>
      <c r="B72" s="48" t="n"/>
      <c r="C72" s="31">
        <f>IF($A72="","",IF(COUNTIF($A$63:$A$102,$A72)&gt;1,"△ Name used twice",IF(OR($A72="Everyone",$A72="Outside team"),"△ Reserved word: use a person's name",IF(OR($B72="",AND(ISNUMBER($B72),$B72&gt;=0,$B72&lt;=7)),"○ Clear","△ Usual days must be 0 to 7"))))</f>
        <v/>
      </c>
      <c r="S72" s="31">
        <f>IF(LEFT($C72,1)="△",1,0)</f>
        <v/>
      </c>
      <c r="BN72" s="31">
        <f>IF(IFERROR(INDEX(Register!$A$6:$A$305,ROW()-5),"")="",0,SUMIF($A$139:$A$288,IFERROR(INDEX(Register!$A$6:$A$305,ROW()-5),""),$Z$139:$Z$288))</f>
        <v/>
      </c>
      <c r="BO72" s="31">
        <f>IF(OR(IFERROR(INDEX(Register!$A$6:$A$305,ROW()-5),"")="",SUM($Z$139:$Z$288)=0),0,IF(AND(IFERROR(INDEX(Register!$B$6:$B$305,ROW()-5),"")="Project",IFERROR(INDEX(Register!$D$6:$D$305,ROW()-5),"")="Active",IFERROR(INDEX(Register!$Z$6:$Z$305,ROW()-5),"")=1,$BN72=0),1,0))</f>
        <v/>
      </c>
      <c r="BP72" s="31">
        <f>IF(AND(IFERROR(INDEX(Register!$A$6:$A$305,ROW()-5),"")&lt;&gt;"",IFERROR(INDEX(Register!$D$6:$D$305,ROW()-5),"")="Proposed"),$BN72,0)</f>
        <v/>
      </c>
    </row>
    <row r="73">
      <c r="A73" s="29" t="n"/>
      <c r="B73" s="48" t="n"/>
      <c r="C73" s="31">
        <f>IF($A73="","",IF(COUNTIF($A$63:$A$102,$A73)&gt;1,"△ Name used twice",IF(OR($A73="Everyone",$A73="Outside team"),"△ Reserved word: use a person's name",IF(OR($B73="",AND(ISNUMBER($B73),$B73&gt;=0,$B73&lt;=7)),"○ Clear","△ Usual days must be 0 to 7"))))</f>
        <v/>
      </c>
      <c r="S73" s="31">
        <f>IF(LEFT($C73,1)="△",1,0)</f>
        <v/>
      </c>
      <c r="BN73" s="31">
        <f>IF(IFERROR(INDEX(Register!$A$6:$A$305,ROW()-5),"")="",0,SUMIF($A$139:$A$288,IFERROR(INDEX(Register!$A$6:$A$305,ROW()-5),""),$Z$139:$Z$288))</f>
        <v/>
      </c>
      <c r="BO73" s="31">
        <f>IF(OR(IFERROR(INDEX(Register!$A$6:$A$305,ROW()-5),"")="",SUM($Z$139:$Z$288)=0),0,IF(AND(IFERROR(INDEX(Register!$B$6:$B$305,ROW()-5),"")="Project",IFERROR(INDEX(Register!$D$6:$D$305,ROW()-5),"")="Active",IFERROR(INDEX(Register!$Z$6:$Z$305,ROW()-5),"")=1,$BN73=0),1,0))</f>
        <v/>
      </c>
      <c r="BP73" s="31">
        <f>IF(AND(IFERROR(INDEX(Register!$A$6:$A$305,ROW()-5),"")&lt;&gt;"",IFERROR(INDEX(Register!$D$6:$D$305,ROW()-5),"")="Proposed"),$BN73,0)</f>
        <v/>
      </c>
    </row>
    <row r="74">
      <c r="A74" s="29" t="n"/>
      <c r="B74" s="48" t="n"/>
      <c r="C74" s="31">
        <f>IF($A74="","",IF(COUNTIF($A$63:$A$102,$A74)&gt;1,"△ Name used twice",IF(OR($A74="Everyone",$A74="Outside team"),"△ Reserved word: use a person's name",IF(OR($B74="",AND(ISNUMBER($B74),$B74&gt;=0,$B74&lt;=7)),"○ Clear","△ Usual days must be 0 to 7"))))</f>
        <v/>
      </c>
      <c r="S74" s="31">
        <f>IF(LEFT($C74,1)="△",1,0)</f>
        <v/>
      </c>
      <c r="BN74" s="31">
        <f>IF(IFERROR(INDEX(Register!$A$6:$A$305,ROW()-5),"")="",0,SUMIF($A$139:$A$288,IFERROR(INDEX(Register!$A$6:$A$305,ROW()-5),""),$Z$139:$Z$288))</f>
        <v/>
      </c>
      <c r="BO74" s="31">
        <f>IF(OR(IFERROR(INDEX(Register!$A$6:$A$305,ROW()-5),"")="",SUM($Z$139:$Z$288)=0),0,IF(AND(IFERROR(INDEX(Register!$B$6:$B$305,ROW()-5),"")="Project",IFERROR(INDEX(Register!$D$6:$D$305,ROW()-5),"")="Active",IFERROR(INDEX(Register!$Z$6:$Z$305,ROW()-5),"")=1,$BN74=0),1,0))</f>
        <v/>
      </c>
      <c r="BP74" s="31">
        <f>IF(AND(IFERROR(INDEX(Register!$A$6:$A$305,ROW()-5),"")&lt;&gt;"",IFERROR(INDEX(Register!$D$6:$D$305,ROW()-5),"")="Proposed"),$BN74,0)</f>
        <v/>
      </c>
    </row>
    <row r="75">
      <c r="A75" s="29" t="n"/>
      <c r="B75" s="48" t="n"/>
      <c r="C75" s="31">
        <f>IF($A75="","",IF(COUNTIF($A$63:$A$102,$A75)&gt;1,"△ Name used twice",IF(OR($A75="Everyone",$A75="Outside team"),"△ Reserved word: use a person's name",IF(OR($B75="",AND(ISNUMBER($B75),$B75&gt;=0,$B75&lt;=7)),"○ Clear","△ Usual days must be 0 to 7"))))</f>
        <v/>
      </c>
      <c r="S75" s="31">
        <f>IF(LEFT($C75,1)="△",1,0)</f>
        <v/>
      </c>
      <c r="BN75" s="31">
        <f>IF(IFERROR(INDEX(Register!$A$6:$A$305,ROW()-5),"")="",0,SUMIF($A$139:$A$288,IFERROR(INDEX(Register!$A$6:$A$305,ROW()-5),""),$Z$139:$Z$288))</f>
        <v/>
      </c>
      <c r="BO75" s="31">
        <f>IF(OR(IFERROR(INDEX(Register!$A$6:$A$305,ROW()-5),"")="",SUM($Z$139:$Z$288)=0),0,IF(AND(IFERROR(INDEX(Register!$B$6:$B$305,ROW()-5),"")="Project",IFERROR(INDEX(Register!$D$6:$D$305,ROW()-5),"")="Active",IFERROR(INDEX(Register!$Z$6:$Z$305,ROW()-5),"")=1,$BN75=0),1,0))</f>
        <v/>
      </c>
      <c r="BP75" s="31">
        <f>IF(AND(IFERROR(INDEX(Register!$A$6:$A$305,ROW()-5),"")&lt;&gt;"",IFERROR(INDEX(Register!$D$6:$D$305,ROW()-5),"")="Proposed"),$BN75,0)</f>
        <v/>
      </c>
    </row>
    <row r="76">
      <c r="A76" s="29" t="n"/>
      <c r="B76" s="48" t="n"/>
      <c r="C76" s="31">
        <f>IF($A76="","",IF(COUNTIF($A$63:$A$102,$A76)&gt;1,"△ Name used twice",IF(OR($A76="Everyone",$A76="Outside team"),"△ Reserved word: use a person's name",IF(OR($B76="",AND(ISNUMBER($B76),$B76&gt;=0,$B76&lt;=7)),"○ Clear","△ Usual days must be 0 to 7"))))</f>
        <v/>
      </c>
      <c r="S76" s="31">
        <f>IF(LEFT($C76,1)="△",1,0)</f>
        <v/>
      </c>
      <c r="BN76" s="31">
        <f>IF(IFERROR(INDEX(Register!$A$6:$A$305,ROW()-5),"")="",0,SUMIF($A$139:$A$288,IFERROR(INDEX(Register!$A$6:$A$305,ROW()-5),""),$Z$139:$Z$288))</f>
        <v/>
      </c>
      <c r="BO76" s="31">
        <f>IF(OR(IFERROR(INDEX(Register!$A$6:$A$305,ROW()-5),"")="",SUM($Z$139:$Z$288)=0),0,IF(AND(IFERROR(INDEX(Register!$B$6:$B$305,ROW()-5),"")="Project",IFERROR(INDEX(Register!$D$6:$D$305,ROW()-5),"")="Active",IFERROR(INDEX(Register!$Z$6:$Z$305,ROW()-5),"")=1,$BN76=0),1,0))</f>
        <v/>
      </c>
      <c r="BP76" s="31">
        <f>IF(AND(IFERROR(INDEX(Register!$A$6:$A$305,ROW()-5),"")&lt;&gt;"",IFERROR(INDEX(Register!$D$6:$D$305,ROW()-5),"")="Proposed"),$BN76,0)</f>
        <v/>
      </c>
    </row>
    <row r="77">
      <c r="A77" s="29" t="n"/>
      <c r="B77" s="48" t="n"/>
      <c r="C77" s="31">
        <f>IF($A77="","",IF(COUNTIF($A$63:$A$102,$A77)&gt;1,"△ Name used twice",IF(OR($A77="Everyone",$A77="Outside team"),"△ Reserved word: use a person's name",IF(OR($B77="",AND(ISNUMBER($B77),$B77&gt;=0,$B77&lt;=7)),"○ Clear","△ Usual days must be 0 to 7"))))</f>
        <v/>
      </c>
      <c r="S77" s="31">
        <f>IF(LEFT($C77,1)="△",1,0)</f>
        <v/>
      </c>
      <c r="BN77" s="31">
        <f>IF(IFERROR(INDEX(Register!$A$6:$A$305,ROW()-5),"")="",0,SUMIF($A$139:$A$288,IFERROR(INDEX(Register!$A$6:$A$305,ROW()-5),""),$Z$139:$Z$288))</f>
        <v/>
      </c>
      <c r="BO77" s="31">
        <f>IF(OR(IFERROR(INDEX(Register!$A$6:$A$305,ROW()-5),"")="",SUM($Z$139:$Z$288)=0),0,IF(AND(IFERROR(INDEX(Register!$B$6:$B$305,ROW()-5),"")="Project",IFERROR(INDEX(Register!$D$6:$D$305,ROW()-5),"")="Active",IFERROR(INDEX(Register!$Z$6:$Z$305,ROW()-5),"")=1,$BN77=0),1,0))</f>
        <v/>
      </c>
      <c r="BP77" s="31">
        <f>IF(AND(IFERROR(INDEX(Register!$A$6:$A$305,ROW()-5),"")&lt;&gt;"",IFERROR(INDEX(Register!$D$6:$D$305,ROW()-5),"")="Proposed"),$BN77,0)</f>
        <v/>
      </c>
    </row>
    <row r="78">
      <c r="A78" s="29" t="n"/>
      <c r="B78" s="48" t="n"/>
      <c r="C78" s="31">
        <f>IF($A78="","",IF(COUNTIF($A$63:$A$102,$A78)&gt;1,"△ Name used twice",IF(OR($A78="Everyone",$A78="Outside team"),"△ Reserved word: use a person's name",IF(OR($B78="",AND(ISNUMBER($B78),$B78&gt;=0,$B78&lt;=7)),"○ Clear","△ Usual days must be 0 to 7"))))</f>
        <v/>
      </c>
      <c r="S78" s="31">
        <f>IF(LEFT($C78,1)="△",1,0)</f>
        <v/>
      </c>
      <c r="BN78" s="31">
        <f>IF(IFERROR(INDEX(Register!$A$6:$A$305,ROW()-5),"")="",0,SUMIF($A$139:$A$288,IFERROR(INDEX(Register!$A$6:$A$305,ROW()-5),""),$Z$139:$Z$288))</f>
        <v/>
      </c>
      <c r="BO78" s="31">
        <f>IF(OR(IFERROR(INDEX(Register!$A$6:$A$305,ROW()-5),"")="",SUM($Z$139:$Z$288)=0),0,IF(AND(IFERROR(INDEX(Register!$B$6:$B$305,ROW()-5),"")="Project",IFERROR(INDEX(Register!$D$6:$D$305,ROW()-5),"")="Active",IFERROR(INDEX(Register!$Z$6:$Z$305,ROW()-5),"")=1,$BN78=0),1,0))</f>
        <v/>
      </c>
      <c r="BP78" s="31">
        <f>IF(AND(IFERROR(INDEX(Register!$A$6:$A$305,ROW()-5),"")&lt;&gt;"",IFERROR(INDEX(Register!$D$6:$D$305,ROW()-5),"")="Proposed"),$BN78,0)</f>
        <v/>
      </c>
    </row>
    <row r="79">
      <c r="A79" s="29" t="n"/>
      <c r="B79" s="48" t="n"/>
      <c r="C79" s="31">
        <f>IF($A79="","",IF(COUNTIF($A$63:$A$102,$A79)&gt;1,"△ Name used twice",IF(OR($A79="Everyone",$A79="Outside team"),"△ Reserved word: use a person's name",IF(OR($B79="",AND(ISNUMBER($B79),$B79&gt;=0,$B79&lt;=7)),"○ Clear","△ Usual days must be 0 to 7"))))</f>
        <v/>
      </c>
      <c r="S79" s="31">
        <f>IF(LEFT($C79,1)="△",1,0)</f>
        <v/>
      </c>
      <c r="BN79" s="31">
        <f>IF(IFERROR(INDEX(Register!$A$6:$A$305,ROW()-5),"")="",0,SUMIF($A$139:$A$288,IFERROR(INDEX(Register!$A$6:$A$305,ROW()-5),""),$Z$139:$Z$288))</f>
        <v/>
      </c>
      <c r="BO79" s="31">
        <f>IF(OR(IFERROR(INDEX(Register!$A$6:$A$305,ROW()-5),"")="",SUM($Z$139:$Z$288)=0),0,IF(AND(IFERROR(INDEX(Register!$B$6:$B$305,ROW()-5),"")="Project",IFERROR(INDEX(Register!$D$6:$D$305,ROW()-5),"")="Active",IFERROR(INDEX(Register!$Z$6:$Z$305,ROW()-5),"")=1,$BN79=0),1,0))</f>
        <v/>
      </c>
      <c r="BP79" s="31">
        <f>IF(AND(IFERROR(INDEX(Register!$A$6:$A$305,ROW()-5),"")&lt;&gt;"",IFERROR(INDEX(Register!$D$6:$D$305,ROW()-5),"")="Proposed"),$BN79,0)</f>
        <v/>
      </c>
    </row>
    <row r="80">
      <c r="A80" s="29" t="n"/>
      <c r="B80" s="48" t="n"/>
      <c r="C80" s="31">
        <f>IF($A80="","",IF(COUNTIF($A$63:$A$102,$A80)&gt;1,"△ Name used twice",IF(OR($A80="Everyone",$A80="Outside team"),"△ Reserved word: use a person's name",IF(OR($B80="",AND(ISNUMBER($B80),$B80&gt;=0,$B80&lt;=7)),"○ Clear","△ Usual days must be 0 to 7"))))</f>
        <v/>
      </c>
      <c r="S80" s="31">
        <f>IF(LEFT($C80,1)="△",1,0)</f>
        <v/>
      </c>
      <c r="BN80" s="31">
        <f>IF(IFERROR(INDEX(Register!$A$6:$A$305,ROW()-5),"")="",0,SUMIF($A$139:$A$288,IFERROR(INDEX(Register!$A$6:$A$305,ROW()-5),""),$Z$139:$Z$288))</f>
        <v/>
      </c>
      <c r="BO80" s="31">
        <f>IF(OR(IFERROR(INDEX(Register!$A$6:$A$305,ROW()-5),"")="",SUM($Z$139:$Z$288)=0),0,IF(AND(IFERROR(INDEX(Register!$B$6:$B$305,ROW()-5),"")="Project",IFERROR(INDEX(Register!$D$6:$D$305,ROW()-5),"")="Active",IFERROR(INDEX(Register!$Z$6:$Z$305,ROW()-5),"")=1,$BN80=0),1,0))</f>
        <v/>
      </c>
      <c r="BP80" s="31">
        <f>IF(AND(IFERROR(INDEX(Register!$A$6:$A$305,ROW()-5),"")&lt;&gt;"",IFERROR(INDEX(Register!$D$6:$D$305,ROW()-5),"")="Proposed"),$BN80,0)</f>
        <v/>
      </c>
    </row>
    <row r="81">
      <c r="A81" s="29" t="n"/>
      <c r="B81" s="48" t="n"/>
      <c r="C81" s="31">
        <f>IF($A81="","",IF(COUNTIF($A$63:$A$102,$A81)&gt;1,"△ Name used twice",IF(OR($A81="Everyone",$A81="Outside team"),"△ Reserved word: use a person's name",IF(OR($B81="",AND(ISNUMBER($B81),$B81&gt;=0,$B81&lt;=7)),"○ Clear","△ Usual days must be 0 to 7"))))</f>
        <v/>
      </c>
      <c r="S81" s="31">
        <f>IF(LEFT($C81,1)="△",1,0)</f>
        <v/>
      </c>
      <c r="BN81" s="31">
        <f>IF(IFERROR(INDEX(Register!$A$6:$A$305,ROW()-5),"")="",0,SUMIF($A$139:$A$288,IFERROR(INDEX(Register!$A$6:$A$305,ROW()-5),""),$Z$139:$Z$288))</f>
        <v/>
      </c>
      <c r="BO81" s="31">
        <f>IF(OR(IFERROR(INDEX(Register!$A$6:$A$305,ROW()-5),"")="",SUM($Z$139:$Z$288)=0),0,IF(AND(IFERROR(INDEX(Register!$B$6:$B$305,ROW()-5),"")="Project",IFERROR(INDEX(Register!$D$6:$D$305,ROW()-5),"")="Active",IFERROR(INDEX(Register!$Z$6:$Z$305,ROW()-5),"")=1,$BN81=0),1,0))</f>
        <v/>
      </c>
      <c r="BP81" s="31">
        <f>IF(AND(IFERROR(INDEX(Register!$A$6:$A$305,ROW()-5),"")&lt;&gt;"",IFERROR(INDEX(Register!$D$6:$D$305,ROW()-5),"")="Proposed"),$BN81,0)</f>
        <v/>
      </c>
    </row>
    <row r="82">
      <c r="A82" s="29" t="n"/>
      <c r="B82" s="48" t="n"/>
      <c r="C82" s="31">
        <f>IF($A82="","",IF(COUNTIF($A$63:$A$102,$A82)&gt;1,"△ Name used twice",IF(OR($A82="Everyone",$A82="Outside team"),"△ Reserved word: use a person's name",IF(OR($B82="",AND(ISNUMBER($B82),$B82&gt;=0,$B82&lt;=7)),"○ Clear","△ Usual days must be 0 to 7"))))</f>
        <v/>
      </c>
      <c r="S82" s="31">
        <f>IF(LEFT($C82,1)="△",1,0)</f>
        <v/>
      </c>
      <c r="BN82" s="31">
        <f>IF(IFERROR(INDEX(Register!$A$6:$A$305,ROW()-5),"")="",0,SUMIF($A$139:$A$288,IFERROR(INDEX(Register!$A$6:$A$305,ROW()-5),""),$Z$139:$Z$288))</f>
        <v/>
      </c>
      <c r="BO82" s="31">
        <f>IF(OR(IFERROR(INDEX(Register!$A$6:$A$305,ROW()-5),"")="",SUM($Z$139:$Z$288)=0),0,IF(AND(IFERROR(INDEX(Register!$B$6:$B$305,ROW()-5),"")="Project",IFERROR(INDEX(Register!$D$6:$D$305,ROW()-5),"")="Active",IFERROR(INDEX(Register!$Z$6:$Z$305,ROW()-5),"")=1,$BN82=0),1,0))</f>
        <v/>
      </c>
      <c r="BP82" s="31">
        <f>IF(AND(IFERROR(INDEX(Register!$A$6:$A$305,ROW()-5),"")&lt;&gt;"",IFERROR(INDEX(Register!$D$6:$D$305,ROW()-5),"")="Proposed"),$BN82,0)</f>
        <v/>
      </c>
    </row>
    <row r="83">
      <c r="A83" s="29" t="n"/>
      <c r="B83" s="48" t="n"/>
      <c r="C83" s="31">
        <f>IF($A83="","",IF(COUNTIF($A$63:$A$102,$A83)&gt;1,"△ Name used twice",IF(OR($A83="Everyone",$A83="Outside team"),"△ Reserved word: use a person's name",IF(OR($B83="",AND(ISNUMBER($B83),$B83&gt;=0,$B83&lt;=7)),"○ Clear","△ Usual days must be 0 to 7"))))</f>
        <v/>
      </c>
      <c r="S83" s="31">
        <f>IF(LEFT($C83,1)="△",1,0)</f>
        <v/>
      </c>
      <c r="BN83" s="31">
        <f>IF(IFERROR(INDEX(Register!$A$6:$A$305,ROW()-5),"")="",0,SUMIF($A$139:$A$288,IFERROR(INDEX(Register!$A$6:$A$305,ROW()-5),""),$Z$139:$Z$288))</f>
        <v/>
      </c>
      <c r="BO83" s="31">
        <f>IF(OR(IFERROR(INDEX(Register!$A$6:$A$305,ROW()-5),"")="",SUM($Z$139:$Z$288)=0),0,IF(AND(IFERROR(INDEX(Register!$B$6:$B$305,ROW()-5),"")="Project",IFERROR(INDEX(Register!$D$6:$D$305,ROW()-5),"")="Active",IFERROR(INDEX(Register!$Z$6:$Z$305,ROW()-5),"")=1,$BN83=0),1,0))</f>
        <v/>
      </c>
      <c r="BP83" s="31">
        <f>IF(AND(IFERROR(INDEX(Register!$A$6:$A$305,ROW()-5),"")&lt;&gt;"",IFERROR(INDEX(Register!$D$6:$D$305,ROW()-5),"")="Proposed"),$BN83,0)</f>
        <v/>
      </c>
    </row>
    <row r="84">
      <c r="A84" s="29" t="n"/>
      <c r="B84" s="48" t="n"/>
      <c r="C84" s="31">
        <f>IF($A84="","",IF(COUNTIF($A$63:$A$102,$A84)&gt;1,"△ Name used twice",IF(OR($A84="Everyone",$A84="Outside team"),"△ Reserved word: use a person's name",IF(OR($B84="",AND(ISNUMBER($B84),$B84&gt;=0,$B84&lt;=7)),"○ Clear","△ Usual days must be 0 to 7"))))</f>
        <v/>
      </c>
      <c r="S84" s="31">
        <f>IF(LEFT($C84,1)="△",1,0)</f>
        <v/>
      </c>
      <c r="BN84" s="31">
        <f>IF(IFERROR(INDEX(Register!$A$6:$A$305,ROW()-5),"")="",0,SUMIF($A$139:$A$288,IFERROR(INDEX(Register!$A$6:$A$305,ROW()-5),""),$Z$139:$Z$288))</f>
        <v/>
      </c>
      <c r="BO84" s="31">
        <f>IF(OR(IFERROR(INDEX(Register!$A$6:$A$305,ROW()-5),"")="",SUM($Z$139:$Z$288)=0),0,IF(AND(IFERROR(INDEX(Register!$B$6:$B$305,ROW()-5),"")="Project",IFERROR(INDEX(Register!$D$6:$D$305,ROW()-5),"")="Active",IFERROR(INDEX(Register!$Z$6:$Z$305,ROW()-5),"")=1,$BN84=0),1,0))</f>
        <v/>
      </c>
      <c r="BP84" s="31">
        <f>IF(AND(IFERROR(INDEX(Register!$A$6:$A$305,ROW()-5),"")&lt;&gt;"",IFERROR(INDEX(Register!$D$6:$D$305,ROW()-5),"")="Proposed"),$BN84,0)</f>
        <v/>
      </c>
    </row>
    <row r="85">
      <c r="A85" s="29" t="n"/>
      <c r="B85" s="48" t="n"/>
      <c r="C85" s="31">
        <f>IF($A85="","",IF(COUNTIF($A$63:$A$102,$A85)&gt;1,"△ Name used twice",IF(OR($A85="Everyone",$A85="Outside team"),"△ Reserved word: use a person's name",IF(OR($B85="",AND(ISNUMBER($B85),$B85&gt;=0,$B85&lt;=7)),"○ Clear","△ Usual days must be 0 to 7"))))</f>
        <v/>
      </c>
      <c r="S85" s="31">
        <f>IF(LEFT($C85,1)="△",1,0)</f>
        <v/>
      </c>
      <c r="BN85" s="31">
        <f>IF(IFERROR(INDEX(Register!$A$6:$A$305,ROW()-5),"")="",0,SUMIF($A$139:$A$288,IFERROR(INDEX(Register!$A$6:$A$305,ROW()-5),""),$Z$139:$Z$288))</f>
        <v/>
      </c>
      <c r="BO85" s="31">
        <f>IF(OR(IFERROR(INDEX(Register!$A$6:$A$305,ROW()-5),"")="",SUM($Z$139:$Z$288)=0),0,IF(AND(IFERROR(INDEX(Register!$B$6:$B$305,ROW()-5),"")="Project",IFERROR(INDEX(Register!$D$6:$D$305,ROW()-5),"")="Active",IFERROR(INDEX(Register!$Z$6:$Z$305,ROW()-5),"")=1,$BN85=0),1,0))</f>
        <v/>
      </c>
      <c r="BP85" s="31">
        <f>IF(AND(IFERROR(INDEX(Register!$A$6:$A$305,ROW()-5),"")&lt;&gt;"",IFERROR(INDEX(Register!$D$6:$D$305,ROW()-5),"")="Proposed"),$BN85,0)</f>
        <v/>
      </c>
    </row>
    <row r="86">
      <c r="A86" s="29" t="n"/>
      <c r="B86" s="48" t="n"/>
      <c r="C86" s="31">
        <f>IF($A86="","",IF(COUNTIF($A$63:$A$102,$A86)&gt;1,"△ Name used twice",IF(OR($A86="Everyone",$A86="Outside team"),"△ Reserved word: use a person's name",IF(OR($B86="",AND(ISNUMBER($B86),$B86&gt;=0,$B86&lt;=7)),"○ Clear","△ Usual days must be 0 to 7"))))</f>
        <v/>
      </c>
      <c r="S86" s="31">
        <f>IF(LEFT($C86,1)="△",1,0)</f>
        <v/>
      </c>
      <c r="BN86" s="31">
        <f>IF(IFERROR(INDEX(Register!$A$6:$A$305,ROW()-5),"")="",0,SUMIF($A$139:$A$288,IFERROR(INDEX(Register!$A$6:$A$305,ROW()-5),""),$Z$139:$Z$288))</f>
        <v/>
      </c>
      <c r="BO86" s="31">
        <f>IF(OR(IFERROR(INDEX(Register!$A$6:$A$305,ROW()-5),"")="",SUM($Z$139:$Z$288)=0),0,IF(AND(IFERROR(INDEX(Register!$B$6:$B$305,ROW()-5),"")="Project",IFERROR(INDEX(Register!$D$6:$D$305,ROW()-5),"")="Active",IFERROR(INDEX(Register!$Z$6:$Z$305,ROW()-5),"")=1,$BN86=0),1,0))</f>
        <v/>
      </c>
      <c r="BP86" s="31">
        <f>IF(AND(IFERROR(INDEX(Register!$A$6:$A$305,ROW()-5),"")&lt;&gt;"",IFERROR(INDEX(Register!$D$6:$D$305,ROW()-5),"")="Proposed"),$BN86,0)</f>
        <v/>
      </c>
    </row>
    <row r="87">
      <c r="A87" s="29" t="n"/>
      <c r="B87" s="48" t="n"/>
      <c r="C87" s="31">
        <f>IF($A87="","",IF(COUNTIF($A$63:$A$102,$A87)&gt;1,"△ Name used twice",IF(OR($A87="Everyone",$A87="Outside team"),"△ Reserved word: use a person's name",IF(OR($B87="",AND(ISNUMBER($B87),$B87&gt;=0,$B87&lt;=7)),"○ Clear","△ Usual days must be 0 to 7"))))</f>
        <v/>
      </c>
      <c r="S87" s="31">
        <f>IF(LEFT($C87,1)="△",1,0)</f>
        <v/>
      </c>
      <c r="BN87" s="31">
        <f>IF(IFERROR(INDEX(Register!$A$6:$A$305,ROW()-5),"")="",0,SUMIF($A$139:$A$288,IFERROR(INDEX(Register!$A$6:$A$305,ROW()-5),""),$Z$139:$Z$288))</f>
        <v/>
      </c>
      <c r="BO87" s="31">
        <f>IF(OR(IFERROR(INDEX(Register!$A$6:$A$305,ROW()-5),"")="",SUM($Z$139:$Z$288)=0),0,IF(AND(IFERROR(INDEX(Register!$B$6:$B$305,ROW()-5),"")="Project",IFERROR(INDEX(Register!$D$6:$D$305,ROW()-5),"")="Active",IFERROR(INDEX(Register!$Z$6:$Z$305,ROW()-5),"")=1,$BN87=0),1,0))</f>
        <v/>
      </c>
      <c r="BP87" s="31">
        <f>IF(AND(IFERROR(INDEX(Register!$A$6:$A$305,ROW()-5),"")&lt;&gt;"",IFERROR(INDEX(Register!$D$6:$D$305,ROW()-5),"")="Proposed"),$BN87,0)</f>
        <v/>
      </c>
    </row>
    <row r="88">
      <c r="A88" s="29" t="n"/>
      <c r="B88" s="48" t="n"/>
      <c r="C88" s="31">
        <f>IF($A88="","",IF(COUNTIF($A$63:$A$102,$A88)&gt;1,"△ Name used twice",IF(OR($A88="Everyone",$A88="Outside team"),"△ Reserved word: use a person's name",IF(OR($B88="",AND(ISNUMBER($B88),$B88&gt;=0,$B88&lt;=7)),"○ Clear","△ Usual days must be 0 to 7"))))</f>
        <v/>
      </c>
      <c r="S88" s="31">
        <f>IF(LEFT($C88,1)="△",1,0)</f>
        <v/>
      </c>
      <c r="BN88" s="31">
        <f>IF(IFERROR(INDEX(Register!$A$6:$A$305,ROW()-5),"")="",0,SUMIF($A$139:$A$288,IFERROR(INDEX(Register!$A$6:$A$305,ROW()-5),""),$Z$139:$Z$288))</f>
        <v/>
      </c>
      <c r="BO88" s="31">
        <f>IF(OR(IFERROR(INDEX(Register!$A$6:$A$305,ROW()-5),"")="",SUM($Z$139:$Z$288)=0),0,IF(AND(IFERROR(INDEX(Register!$B$6:$B$305,ROW()-5),"")="Project",IFERROR(INDEX(Register!$D$6:$D$305,ROW()-5),"")="Active",IFERROR(INDEX(Register!$Z$6:$Z$305,ROW()-5),"")=1,$BN88=0),1,0))</f>
        <v/>
      </c>
      <c r="BP88" s="31">
        <f>IF(AND(IFERROR(INDEX(Register!$A$6:$A$305,ROW()-5),"")&lt;&gt;"",IFERROR(INDEX(Register!$D$6:$D$305,ROW()-5),"")="Proposed"),$BN88,0)</f>
        <v/>
      </c>
    </row>
    <row r="89">
      <c r="A89" s="29" t="n"/>
      <c r="B89" s="48" t="n"/>
      <c r="C89" s="31">
        <f>IF($A89="","",IF(COUNTIF($A$63:$A$102,$A89)&gt;1,"△ Name used twice",IF(OR($A89="Everyone",$A89="Outside team"),"△ Reserved word: use a person's name",IF(OR($B89="",AND(ISNUMBER($B89),$B89&gt;=0,$B89&lt;=7)),"○ Clear","△ Usual days must be 0 to 7"))))</f>
        <v/>
      </c>
      <c r="S89" s="31">
        <f>IF(LEFT($C89,1)="△",1,0)</f>
        <v/>
      </c>
      <c r="BN89" s="31">
        <f>IF(IFERROR(INDEX(Register!$A$6:$A$305,ROW()-5),"")="",0,SUMIF($A$139:$A$288,IFERROR(INDEX(Register!$A$6:$A$305,ROW()-5),""),$Z$139:$Z$288))</f>
        <v/>
      </c>
      <c r="BO89" s="31">
        <f>IF(OR(IFERROR(INDEX(Register!$A$6:$A$305,ROW()-5),"")="",SUM($Z$139:$Z$288)=0),0,IF(AND(IFERROR(INDEX(Register!$B$6:$B$305,ROW()-5),"")="Project",IFERROR(INDEX(Register!$D$6:$D$305,ROW()-5),"")="Active",IFERROR(INDEX(Register!$Z$6:$Z$305,ROW()-5),"")=1,$BN89=0),1,0))</f>
        <v/>
      </c>
      <c r="BP89" s="31">
        <f>IF(AND(IFERROR(INDEX(Register!$A$6:$A$305,ROW()-5),"")&lt;&gt;"",IFERROR(INDEX(Register!$D$6:$D$305,ROW()-5),"")="Proposed"),$BN89,0)</f>
        <v/>
      </c>
    </row>
    <row r="90">
      <c r="A90" s="29" t="n"/>
      <c r="B90" s="48" t="n"/>
      <c r="C90" s="31">
        <f>IF($A90="","",IF(COUNTIF($A$63:$A$102,$A90)&gt;1,"△ Name used twice",IF(OR($A90="Everyone",$A90="Outside team"),"△ Reserved word: use a person's name",IF(OR($B90="",AND(ISNUMBER($B90),$B90&gt;=0,$B90&lt;=7)),"○ Clear","△ Usual days must be 0 to 7"))))</f>
        <v/>
      </c>
      <c r="S90" s="31">
        <f>IF(LEFT($C90,1)="△",1,0)</f>
        <v/>
      </c>
      <c r="BN90" s="31">
        <f>IF(IFERROR(INDEX(Register!$A$6:$A$305,ROW()-5),"")="",0,SUMIF($A$139:$A$288,IFERROR(INDEX(Register!$A$6:$A$305,ROW()-5),""),$Z$139:$Z$288))</f>
        <v/>
      </c>
      <c r="BO90" s="31">
        <f>IF(OR(IFERROR(INDEX(Register!$A$6:$A$305,ROW()-5),"")="",SUM($Z$139:$Z$288)=0),0,IF(AND(IFERROR(INDEX(Register!$B$6:$B$305,ROW()-5),"")="Project",IFERROR(INDEX(Register!$D$6:$D$305,ROW()-5),"")="Active",IFERROR(INDEX(Register!$Z$6:$Z$305,ROW()-5),"")=1,$BN90=0),1,0))</f>
        <v/>
      </c>
      <c r="BP90" s="31">
        <f>IF(AND(IFERROR(INDEX(Register!$A$6:$A$305,ROW()-5),"")&lt;&gt;"",IFERROR(INDEX(Register!$D$6:$D$305,ROW()-5),"")="Proposed"),$BN90,0)</f>
        <v/>
      </c>
    </row>
    <row r="91">
      <c r="A91" s="29" t="n"/>
      <c r="B91" s="48" t="n"/>
      <c r="C91" s="31">
        <f>IF($A91="","",IF(COUNTIF($A$63:$A$102,$A91)&gt;1,"△ Name used twice",IF(OR($A91="Everyone",$A91="Outside team"),"△ Reserved word: use a person's name",IF(OR($B91="",AND(ISNUMBER($B91),$B91&gt;=0,$B91&lt;=7)),"○ Clear","△ Usual days must be 0 to 7"))))</f>
        <v/>
      </c>
      <c r="S91" s="31">
        <f>IF(LEFT($C91,1)="△",1,0)</f>
        <v/>
      </c>
      <c r="BN91" s="31">
        <f>IF(IFERROR(INDEX(Register!$A$6:$A$305,ROW()-5),"")="",0,SUMIF($A$139:$A$288,IFERROR(INDEX(Register!$A$6:$A$305,ROW()-5),""),$Z$139:$Z$288))</f>
        <v/>
      </c>
      <c r="BO91" s="31">
        <f>IF(OR(IFERROR(INDEX(Register!$A$6:$A$305,ROW()-5),"")="",SUM($Z$139:$Z$288)=0),0,IF(AND(IFERROR(INDEX(Register!$B$6:$B$305,ROW()-5),"")="Project",IFERROR(INDEX(Register!$D$6:$D$305,ROW()-5),"")="Active",IFERROR(INDEX(Register!$Z$6:$Z$305,ROW()-5),"")=1,$BN91=0),1,0))</f>
        <v/>
      </c>
      <c r="BP91" s="31">
        <f>IF(AND(IFERROR(INDEX(Register!$A$6:$A$305,ROW()-5),"")&lt;&gt;"",IFERROR(INDEX(Register!$D$6:$D$305,ROW()-5),"")="Proposed"),$BN91,0)</f>
        <v/>
      </c>
    </row>
    <row r="92">
      <c r="A92" s="29" t="n"/>
      <c r="B92" s="48" t="n"/>
      <c r="C92" s="31">
        <f>IF($A92="","",IF(COUNTIF($A$63:$A$102,$A92)&gt;1,"△ Name used twice",IF(OR($A92="Everyone",$A92="Outside team"),"△ Reserved word: use a person's name",IF(OR($B92="",AND(ISNUMBER($B92),$B92&gt;=0,$B92&lt;=7)),"○ Clear","△ Usual days must be 0 to 7"))))</f>
        <v/>
      </c>
      <c r="S92" s="31">
        <f>IF(LEFT($C92,1)="△",1,0)</f>
        <v/>
      </c>
      <c r="BN92" s="31">
        <f>IF(IFERROR(INDEX(Register!$A$6:$A$305,ROW()-5),"")="",0,SUMIF($A$139:$A$288,IFERROR(INDEX(Register!$A$6:$A$305,ROW()-5),""),$Z$139:$Z$288))</f>
        <v/>
      </c>
      <c r="BO92" s="31">
        <f>IF(OR(IFERROR(INDEX(Register!$A$6:$A$305,ROW()-5),"")="",SUM($Z$139:$Z$288)=0),0,IF(AND(IFERROR(INDEX(Register!$B$6:$B$305,ROW()-5),"")="Project",IFERROR(INDEX(Register!$D$6:$D$305,ROW()-5),"")="Active",IFERROR(INDEX(Register!$Z$6:$Z$305,ROW()-5),"")=1,$BN92=0),1,0))</f>
        <v/>
      </c>
      <c r="BP92" s="31">
        <f>IF(AND(IFERROR(INDEX(Register!$A$6:$A$305,ROW()-5),"")&lt;&gt;"",IFERROR(INDEX(Register!$D$6:$D$305,ROW()-5),"")="Proposed"),$BN92,0)</f>
        <v/>
      </c>
    </row>
    <row r="93">
      <c r="A93" s="29" t="n"/>
      <c r="B93" s="48" t="n"/>
      <c r="C93" s="31">
        <f>IF($A93="","",IF(COUNTIF($A$63:$A$102,$A93)&gt;1,"△ Name used twice",IF(OR($A93="Everyone",$A93="Outside team"),"△ Reserved word: use a person's name",IF(OR($B93="",AND(ISNUMBER($B93),$B93&gt;=0,$B93&lt;=7)),"○ Clear","△ Usual days must be 0 to 7"))))</f>
        <v/>
      </c>
      <c r="S93" s="31">
        <f>IF(LEFT($C93,1)="△",1,0)</f>
        <v/>
      </c>
      <c r="BN93" s="31">
        <f>IF(IFERROR(INDEX(Register!$A$6:$A$305,ROW()-5),"")="",0,SUMIF($A$139:$A$288,IFERROR(INDEX(Register!$A$6:$A$305,ROW()-5),""),$Z$139:$Z$288))</f>
        <v/>
      </c>
      <c r="BO93" s="31">
        <f>IF(OR(IFERROR(INDEX(Register!$A$6:$A$305,ROW()-5),"")="",SUM($Z$139:$Z$288)=0),0,IF(AND(IFERROR(INDEX(Register!$B$6:$B$305,ROW()-5),"")="Project",IFERROR(INDEX(Register!$D$6:$D$305,ROW()-5),"")="Active",IFERROR(INDEX(Register!$Z$6:$Z$305,ROW()-5),"")=1,$BN93=0),1,0))</f>
        <v/>
      </c>
      <c r="BP93" s="31">
        <f>IF(AND(IFERROR(INDEX(Register!$A$6:$A$305,ROW()-5),"")&lt;&gt;"",IFERROR(INDEX(Register!$D$6:$D$305,ROW()-5),"")="Proposed"),$BN93,0)</f>
        <v/>
      </c>
    </row>
    <row r="94">
      <c r="A94" s="29" t="n"/>
      <c r="B94" s="48" t="n"/>
      <c r="C94" s="31">
        <f>IF($A94="","",IF(COUNTIF($A$63:$A$102,$A94)&gt;1,"△ Name used twice",IF(OR($A94="Everyone",$A94="Outside team"),"△ Reserved word: use a person's name",IF(OR($B94="",AND(ISNUMBER($B94),$B94&gt;=0,$B94&lt;=7)),"○ Clear","△ Usual days must be 0 to 7"))))</f>
        <v/>
      </c>
      <c r="S94" s="31">
        <f>IF(LEFT($C94,1)="△",1,0)</f>
        <v/>
      </c>
      <c r="BN94" s="31">
        <f>IF(IFERROR(INDEX(Register!$A$6:$A$305,ROW()-5),"")="",0,SUMIF($A$139:$A$288,IFERROR(INDEX(Register!$A$6:$A$305,ROW()-5),""),$Z$139:$Z$288))</f>
        <v/>
      </c>
      <c r="BO94" s="31">
        <f>IF(OR(IFERROR(INDEX(Register!$A$6:$A$305,ROW()-5),"")="",SUM($Z$139:$Z$288)=0),0,IF(AND(IFERROR(INDEX(Register!$B$6:$B$305,ROW()-5),"")="Project",IFERROR(INDEX(Register!$D$6:$D$305,ROW()-5),"")="Active",IFERROR(INDEX(Register!$Z$6:$Z$305,ROW()-5),"")=1,$BN94=0),1,0))</f>
        <v/>
      </c>
      <c r="BP94" s="31">
        <f>IF(AND(IFERROR(INDEX(Register!$A$6:$A$305,ROW()-5),"")&lt;&gt;"",IFERROR(INDEX(Register!$D$6:$D$305,ROW()-5),"")="Proposed"),$BN94,0)</f>
        <v/>
      </c>
    </row>
    <row r="95">
      <c r="A95" s="29" t="n"/>
      <c r="B95" s="48" t="n"/>
      <c r="C95" s="31">
        <f>IF($A95="","",IF(COUNTIF($A$63:$A$102,$A95)&gt;1,"△ Name used twice",IF(OR($A95="Everyone",$A95="Outside team"),"△ Reserved word: use a person's name",IF(OR($B95="",AND(ISNUMBER($B95),$B95&gt;=0,$B95&lt;=7)),"○ Clear","△ Usual days must be 0 to 7"))))</f>
        <v/>
      </c>
      <c r="S95" s="31">
        <f>IF(LEFT($C95,1)="△",1,0)</f>
        <v/>
      </c>
      <c r="BN95" s="31">
        <f>IF(IFERROR(INDEX(Register!$A$6:$A$305,ROW()-5),"")="",0,SUMIF($A$139:$A$288,IFERROR(INDEX(Register!$A$6:$A$305,ROW()-5),""),$Z$139:$Z$288))</f>
        <v/>
      </c>
      <c r="BO95" s="31">
        <f>IF(OR(IFERROR(INDEX(Register!$A$6:$A$305,ROW()-5),"")="",SUM($Z$139:$Z$288)=0),0,IF(AND(IFERROR(INDEX(Register!$B$6:$B$305,ROW()-5),"")="Project",IFERROR(INDEX(Register!$D$6:$D$305,ROW()-5),"")="Active",IFERROR(INDEX(Register!$Z$6:$Z$305,ROW()-5),"")=1,$BN95=0),1,0))</f>
        <v/>
      </c>
      <c r="BP95" s="31">
        <f>IF(AND(IFERROR(INDEX(Register!$A$6:$A$305,ROW()-5),"")&lt;&gt;"",IFERROR(INDEX(Register!$D$6:$D$305,ROW()-5),"")="Proposed"),$BN95,0)</f>
        <v/>
      </c>
    </row>
    <row r="96">
      <c r="A96" s="29" t="n"/>
      <c r="B96" s="48" t="n"/>
      <c r="C96" s="31">
        <f>IF($A96="","",IF(COUNTIF($A$63:$A$102,$A96)&gt;1,"△ Name used twice",IF(OR($A96="Everyone",$A96="Outside team"),"△ Reserved word: use a person's name",IF(OR($B96="",AND(ISNUMBER($B96),$B96&gt;=0,$B96&lt;=7)),"○ Clear","△ Usual days must be 0 to 7"))))</f>
        <v/>
      </c>
      <c r="S96" s="31">
        <f>IF(LEFT($C96,1)="△",1,0)</f>
        <v/>
      </c>
      <c r="BN96" s="31">
        <f>IF(IFERROR(INDEX(Register!$A$6:$A$305,ROW()-5),"")="",0,SUMIF($A$139:$A$288,IFERROR(INDEX(Register!$A$6:$A$305,ROW()-5),""),$Z$139:$Z$288))</f>
        <v/>
      </c>
      <c r="BO96" s="31">
        <f>IF(OR(IFERROR(INDEX(Register!$A$6:$A$305,ROW()-5),"")="",SUM($Z$139:$Z$288)=0),0,IF(AND(IFERROR(INDEX(Register!$B$6:$B$305,ROW()-5),"")="Project",IFERROR(INDEX(Register!$D$6:$D$305,ROW()-5),"")="Active",IFERROR(INDEX(Register!$Z$6:$Z$305,ROW()-5),"")=1,$BN96=0),1,0))</f>
        <v/>
      </c>
      <c r="BP96" s="31">
        <f>IF(AND(IFERROR(INDEX(Register!$A$6:$A$305,ROW()-5),"")&lt;&gt;"",IFERROR(INDEX(Register!$D$6:$D$305,ROW()-5),"")="Proposed"),$BN96,0)</f>
        <v/>
      </c>
    </row>
    <row r="97">
      <c r="A97" s="29" t="n"/>
      <c r="B97" s="48" t="n"/>
      <c r="C97" s="31">
        <f>IF($A97="","",IF(COUNTIF($A$63:$A$102,$A97)&gt;1,"△ Name used twice",IF(OR($A97="Everyone",$A97="Outside team"),"△ Reserved word: use a person's name",IF(OR($B97="",AND(ISNUMBER($B97),$B97&gt;=0,$B97&lt;=7)),"○ Clear","△ Usual days must be 0 to 7"))))</f>
        <v/>
      </c>
      <c r="S97" s="31">
        <f>IF(LEFT($C97,1)="△",1,0)</f>
        <v/>
      </c>
      <c r="BN97" s="31">
        <f>IF(IFERROR(INDEX(Register!$A$6:$A$305,ROW()-5),"")="",0,SUMIF($A$139:$A$288,IFERROR(INDEX(Register!$A$6:$A$305,ROW()-5),""),$Z$139:$Z$288))</f>
        <v/>
      </c>
      <c r="BO97" s="31">
        <f>IF(OR(IFERROR(INDEX(Register!$A$6:$A$305,ROW()-5),"")="",SUM($Z$139:$Z$288)=0),0,IF(AND(IFERROR(INDEX(Register!$B$6:$B$305,ROW()-5),"")="Project",IFERROR(INDEX(Register!$D$6:$D$305,ROW()-5),"")="Active",IFERROR(INDEX(Register!$Z$6:$Z$305,ROW()-5),"")=1,$BN97=0),1,0))</f>
        <v/>
      </c>
      <c r="BP97" s="31">
        <f>IF(AND(IFERROR(INDEX(Register!$A$6:$A$305,ROW()-5),"")&lt;&gt;"",IFERROR(INDEX(Register!$D$6:$D$305,ROW()-5),"")="Proposed"),$BN97,0)</f>
        <v/>
      </c>
    </row>
    <row r="98">
      <c r="A98" s="29" t="n"/>
      <c r="B98" s="48" t="n"/>
      <c r="C98" s="31">
        <f>IF($A98="","",IF(COUNTIF($A$63:$A$102,$A98)&gt;1,"△ Name used twice",IF(OR($A98="Everyone",$A98="Outside team"),"△ Reserved word: use a person's name",IF(OR($B98="",AND(ISNUMBER($B98),$B98&gt;=0,$B98&lt;=7)),"○ Clear","△ Usual days must be 0 to 7"))))</f>
        <v/>
      </c>
      <c r="S98" s="31">
        <f>IF(LEFT($C98,1)="△",1,0)</f>
        <v/>
      </c>
      <c r="BN98" s="31">
        <f>IF(IFERROR(INDEX(Register!$A$6:$A$305,ROW()-5),"")="",0,SUMIF($A$139:$A$288,IFERROR(INDEX(Register!$A$6:$A$305,ROW()-5),""),$Z$139:$Z$288))</f>
        <v/>
      </c>
      <c r="BO98" s="31">
        <f>IF(OR(IFERROR(INDEX(Register!$A$6:$A$305,ROW()-5),"")="",SUM($Z$139:$Z$288)=0),0,IF(AND(IFERROR(INDEX(Register!$B$6:$B$305,ROW()-5),"")="Project",IFERROR(INDEX(Register!$D$6:$D$305,ROW()-5),"")="Active",IFERROR(INDEX(Register!$Z$6:$Z$305,ROW()-5),"")=1,$BN98=0),1,0))</f>
        <v/>
      </c>
      <c r="BP98" s="31">
        <f>IF(AND(IFERROR(INDEX(Register!$A$6:$A$305,ROW()-5),"")&lt;&gt;"",IFERROR(INDEX(Register!$D$6:$D$305,ROW()-5),"")="Proposed"),$BN98,0)</f>
        <v/>
      </c>
    </row>
    <row r="99">
      <c r="A99" s="29" t="n"/>
      <c r="B99" s="48" t="n"/>
      <c r="C99" s="31">
        <f>IF($A99="","",IF(COUNTIF($A$63:$A$102,$A99)&gt;1,"△ Name used twice",IF(OR($A99="Everyone",$A99="Outside team"),"△ Reserved word: use a person's name",IF(OR($B99="",AND(ISNUMBER($B99),$B99&gt;=0,$B99&lt;=7)),"○ Clear","△ Usual days must be 0 to 7"))))</f>
        <v/>
      </c>
      <c r="S99" s="31">
        <f>IF(LEFT($C99,1)="△",1,0)</f>
        <v/>
      </c>
      <c r="BN99" s="31">
        <f>IF(IFERROR(INDEX(Register!$A$6:$A$305,ROW()-5),"")="",0,SUMIF($A$139:$A$288,IFERROR(INDEX(Register!$A$6:$A$305,ROW()-5),""),$Z$139:$Z$288))</f>
        <v/>
      </c>
      <c r="BO99" s="31">
        <f>IF(OR(IFERROR(INDEX(Register!$A$6:$A$305,ROW()-5),"")="",SUM($Z$139:$Z$288)=0),0,IF(AND(IFERROR(INDEX(Register!$B$6:$B$305,ROW()-5),"")="Project",IFERROR(INDEX(Register!$D$6:$D$305,ROW()-5),"")="Active",IFERROR(INDEX(Register!$Z$6:$Z$305,ROW()-5),"")=1,$BN99=0),1,0))</f>
        <v/>
      </c>
      <c r="BP99" s="31">
        <f>IF(AND(IFERROR(INDEX(Register!$A$6:$A$305,ROW()-5),"")&lt;&gt;"",IFERROR(INDEX(Register!$D$6:$D$305,ROW()-5),"")="Proposed"),$BN99,0)</f>
        <v/>
      </c>
    </row>
    <row r="100">
      <c r="A100" s="29" t="n"/>
      <c r="B100" s="48" t="n"/>
      <c r="C100" s="31">
        <f>IF($A100="","",IF(COUNTIF($A$63:$A$102,$A100)&gt;1,"△ Name used twice",IF(OR($A100="Everyone",$A100="Outside team"),"△ Reserved word: use a person's name",IF(OR($B100="",AND(ISNUMBER($B100),$B100&gt;=0,$B100&lt;=7)),"○ Clear","△ Usual days must be 0 to 7"))))</f>
        <v/>
      </c>
      <c r="S100" s="31">
        <f>IF(LEFT($C100,1)="△",1,0)</f>
        <v/>
      </c>
      <c r="BN100" s="31">
        <f>IF(IFERROR(INDEX(Register!$A$6:$A$305,ROW()-5),"")="",0,SUMIF($A$139:$A$288,IFERROR(INDEX(Register!$A$6:$A$305,ROW()-5),""),$Z$139:$Z$288))</f>
        <v/>
      </c>
      <c r="BO100" s="31">
        <f>IF(OR(IFERROR(INDEX(Register!$A$6:$A$305,ROW()-5),"")="",SUM($Z$139:$Z$288)=0),0,IF(AND(IFERROR(INDEX(Register!$B$6:$B$305,ROW()-5),"")="Project",IFERROR(INDEX(Register!$D$6:$D$305,ROW()-5),"")="Active",IFERROR(INDEX(Register!$Z$6:$Z$305,ROW()-5),"")=1,$BN100=0),1,0))</f>
        <v/>
      </c>
      <c r="BP100" s="31">
        <f>IF(AND(IFERROR(INDEX(Register!$A$6:$A$305,ROW()-5),"")&lt;&gt;"",IFERROR(INDEX(Register!$D$6:$D$305,ROW()-5),"")="Proposed"),$BN100,0)</f>
        <v/>
      </c>
    </row>
    <row r="101">
      <c r="A101" s="29" t="n"/>
      <c r="B101" s="48" t="n"/>
      <c r="C101" s="31">
        <f>IF($A101="","",IF(COUNTIF($A$63:$A$102,$A101)&gt;1,"△ Name used twice",IF(OR($A101="Everyone",$A101="Outside team"),"△ Reserved word: use a person's name",IF(OR($B101="",AND(ISNUMBER($B101),$B101&gt;=0,$B101&lt;=7)),"○ Clear","△ Usual days must be 0 to 7"))))</f>
        <v/>
      </c>
      <c r="S101" s="31">
        <f>IF(LEFT($C101,1)="△",1,0)</f>
        <v/>
      </c>
      <c r="BN101" s="31">
        <f>IF(IFERROR(INDEX(Register!$A$6:$A$305,ROW()-5),"")="",0,SUMIF($A$139:$A$288,IFERROR(INDEX(Register!$A$6:$A$305,ROW()-5),""),$Z$139:$Z$288))</f>
        <v/>
      </c>
      <c r="BO101" s="31">
        <f>IF(OR(IFERROR(INDEX(Register!$A$6:$A$305,ROW()-5),"")="",SUM($Z$139:$Z$288)=0),0,IF(AND(IFERROR(INDEX(Register!$B$6:$B$305,ROW()-5),"")="Project",IFERROR(INDEX(Register!$D$6:$D$305,ROW()-5),"")="Active",IFERROR(INDEX(Register!$Z$6:$Z$305,ROW()-5),"")=1,$BN101=0),1,0))</f>
        <v/>
      </c>
      <c r="BP101" s="31">
        <f>IF(AND(IFERROR(INDEX(Register!$A$6:$A$305,ROW()-5),"")&lt;&gt;"",IFERROR(INDEX(Register!$D$6:$D$305,ROW()-5),"")="Proposed"),$BN101,0)</f>
        <v/>
      </c>
    </row>
    <row r="102">
      <c r="A102" s="29" t="n"/>
      <c r="B102" s="48" t="n"/>
      <c r="C102" s="31">
        <f>IF($A102="","",IF(COUNTIF($A$63:$A$102,$A102)&gt;1,"△ Name used twice",IF(OR($A102="Everyone",$A102="Outside team"),"△ Reserved word: use a person's name",IF(OR($B102="",AND(ISNUMBER($B102),$B102&gt;=0,$B102&lt;=7)),"○ Clear","△ Usual days must be 0 to 7"))))</f>
        <v/>
      </c>
      <c r="S102" s="31">
        <f>IF(LEFT($C102,1)="△",1,0)</f>
        <v/>
      </c>
      <c r="BN102" s="31">
        <f>IF(IFERROR(INDEX(Register!$A$6:$A$305,ROW()-5),"")="",0,SUMIF($A$139:$A$288,IFERROR(INDEX(Register!$A$6:$A$305,ROW()-5),""),$Z$139:$Z$288))</f>
        <v/>
      </c>
      <c r="BO102" s="31">
        <f>IF(OR(IFERROR(INDEX(Register!$A$6:$A$305,ROW()-5),"")="",SUM($Z$139:$Z$288)=0),0,IF(AND(IFERROR(INDEX(Register!$B$6:$B$305,ROW()-5),"")="Project",IFERROR(INDEX(Register!$D$6:$D$305,ROW()-5),"")="Active",IFERROR(INDEX(Register!$Z$6:$Z$305,ROW()-5),"")=1,$BN102=0),1,0))</f>
        <v/>
      </c>
      <c r="BP102" s="31">
        <f>IF(AND(IFERROR(INDEX(Register!$A$6:$A$305,ROW()-5),"")&lt;&gt;"",IFERROR(INDEX(Register!$D$6:$D$305,ROW()-5),"")="Proposed"),$BN102,0)</f>
        <v/>
      </c>
    </row>
    <row r="103" ht="6" customHeight="1">
      <c r="BN103" s="31">
        <f>IF(IFERROR(INDEX(Register!$A$6:$A$305,ROW()-5),"")="",0,SUMIF($A$139:$A$288,IFERROR(INDEX(Register!$A$6:$A$305,ROW()-5),""),$Z$139:$Z$288))</f>
        <v/>
      </c>
      <c r="BO103" s="31">
        <f>IF(OR(IFERROR(INDEX(Register!$A$6:$A$305,ROW()-5),"")="",SUM($Z$139:$Z$288)=0),0,IF(AND(IFERROR(INDEX(Register!$B$6:$B$305,ROW()-5),"")="Project",IFERROR(INDEX(Register!$D$6:$D$305,ROW()-5),"")="Active",IFERROR(INDEX(Register!$Z$6:$Z$305,ROW()-5),"")=1,$BN103=0),1,0))</f>
        <v/>
      </c>
      <c r="BP103" s="31">
        <f>IF(AND(IFERROR(INDEX(Register!$A$6:$A$305,ROW()-5),"")&lt;&gt;"",IFERROR(INDEX(Register!$D$6:$D$305,ROW()-5),"")="Proposed"),$BN103,0)</f>
        <v/>
      </c>
    </row>
    <row r="104" ht="16" customHeight="1">
      <c r="A104" s="11" t="inlineStr">
        <is>
          <t>Time away. Leave and holidays, as days away in each week from one Monday to another. No reasons.</t>
        </is>
      </c>
      <c r="BN104" s="31">
        <f>IF(IFERROR(INDEX(Register!$A$6:$A$305,ROW()-5),"")="",0,SUMIF($A$139:$A$288,IFERROR(INDEX(Register!$A$6:$A$305,ROW()-5),""),$Z$139:$Z$288))</f>
        <v/>
      </c>
      <c r="BO104" s="31">
        <f>IF(OR(IFERROR(INDEX(Register!$A$6:$A$305,ROW()-5),"")="",SUM($Z$139:$Z$288)=0),0,IF(AND(IFERROR(INDEX(Register!$B$6:$B$305,ROW()-5),"")="Project",IFERROR(INDEX(Register!$D$6:$D$305,ROW()-5),"")="Active",IFERROR(INDEX(Register!$Z$6:$Z$305,ROW()-5),"")=1,$BN104=0),1,0))</f>
        <v/>
      </c>
      <c r="BP104" s="31">
        <f>IF(AND(IFERROR(INDEX(Register!$A$6:$A$305,ROW()-5),"")&lt;&gt;"",IFERROR(INDEX(Register!$D$6:$D$305,ROW()-5),"")="Proposed"),$BN104,0)</f>
        <v/>
      </c>
    </row>
    <row r="105" ht="30" customHeight="1">
      <c r="A105" s="25" t="inlineStr">
        <is>
          <t>Person</t>
        </is>
      </c>
      <c r="B105" s="25" t="inlineStr">
        <is>
          <t>From</t>
        </is>
      </c>
      <c r="C105" s="25" t="inlineStr">
        <is>
          <t>To</t>
        </is>
      </c>
      <c r="D105" s="25" t="inlineStr">
        <is>
          <t>Days away a week</t>
        </is>
      </c>
      <c r="E105" s="28" t="inlineStr">
        <is>
          <t>Row check</t>
        </is>
      </c>
      <c r="S105" s="28" t="inlineStr">
        <is>
          <t>Capacity helper</t>
        </is>
      </c>
      <c r="BN105" s="31">
        <f>IF(IFERROR(INDEX(Register!$A$6:$A$305,ROW()-5),"")="",0,SUMIF($A$139:$A$288,IFERROR(INDEX(Register!$A$6:$A$305,ROW()-5),""),$Z$139:$Z$288))</f>
        <v/>
      </c>
      <c r="BO105" s="31">
        <f>IF(OR(IFERROR(INDEX(Register!$A$6:$A$305,ROW()-5),"")="",SUM($Z$139:$Z$288)=0),0,IF(AND(IFERROR(INDEX(Register!$B$6:$B$305,ROW()-5),"")="Project",IFERROR(INDEX(Register!$D$6:$D$305,ROW()-5),"")="Active",IFERROR(INDEX(Register!$Z$6:$Z$305,ROW()-5),"")=1,$BN105=0),1,0))</f>
        <v/>
      </c>
      <c r="BP105" s="31">
        <f>IF(AND(IFERROR(INDEX(Register!$A$6:$A$305,ROW()-5),"")&lt;&gt;"",IFERROR(INDEX(Register!$D$6:$D$305,ROW()-5),"")="Proposed"),$BN105,0)</f>
        <v/>
      </c>
    </row>
    <row r="106">
      <c r="A106" s="29" t="n"/>
      <c r="B106" s="53" t="n"/>
      <c r="C106" s="53" t="n"/>
      <c r="D106" s="48" t="n"/>
      <c r="E106" s="31">
        <f>IF(COUNTA($A106:$D106)=0,"",IF(OR($A106="",AND($A106&lt;&gt;"Everyone",COUNTIF($A$63:$A$102,$A106)=0)),"△ Person not on People",IF(OR(NOT(ISNUMBER($B106)),NOT(ISNUMBER($C106)),NOT(ISNUMBER($D106))),"△ From, To or days missing",IF(OR(WEEKDAY($B106,2)&lt;&gt;1,WEEKDAY($C106,2)&lt;&gt;1,$C106&lt;$B106,$D106&lt;0,$D106&gt;7),"△ Not a Monday, To before From, or days not 0 to 7","○ Clear"))))</f>
        <v/>
      </c>
      <c r="S106" s="31">
        <f>IF(LEFT($E106,1)="△",1,0)</f>
        <v/>
      </c>
      <c r="BN106" s="31">
        <f>IF(IFERROR(INDEX(Register!$A$6:$A$305,ROW()-5),"")="",0,SUMIF($A$139:$A$288,IFERROR(INDEX(Register!$A$6:$A$305,ROW()-5),""),$Z$139:$Z$288))</f>
        <v/>
      </c>
      <c r="BO106" s="31">
        <f>IF(OR(IFERROR(INDEX(Register!$A$6:$A$305,ROW()-5),"")="",SUM($Z$139:$Z$288)=0),0,IF(AND(IFERROR(INDEX(Register!$B$6:$B$305,ROW()-5),"")="Project",IFERROR(INDEX(Register!$D$6:$D$305,ROW()-5),"")="Active",IFERROR(INDEX(Register!$Z$6:$Z$305,ROW()-5),"")=1,$BN106=0),1,0))</f>
        <v/>
      </c>
      <c r="BP106" s="31">
        <f>IF(AND(IFERROR(INDEX(Register!$A$6:$A$305,ROW()-5),"")&lt;&gt;"",IFERROR(INDEX(Register!$D$6:$D$305,ROW()-5),"")="Proposed"),$BN106,0)</f>
        <v/>
      </c>
    </row>
    <row r="107">
      <c r="A107" s="29" t="n"/>
      <c r="B107" s="53" t="n"/>
      <c r="C107" s="53" t="n"/>
      <c r="D107" s="48" t="n"/>
      <c r="E107" s="31">
        <f>IF(COUNTA($A107:$D107)=0,"",IF(OR($A107="",AND($A107&lt;&gt;"Everyone",COUNTIF($A$63:$A$102,$A107)=0)),"△ Person not on People",IF(OR(NOT(ISNUMBER($B107)),NOT(ISNUMBER($C107)),NOT(ISNUMBER($D107))),"△ From, To or days missing",IF(OR(WEEKDAY($B107,2)&lt;&gt;1,WEEKDAY($C107,2)&lt;&gt;1,$C107&lt;$B107,$D107&lt;0,$D107&gt;7),"△ Not a Monday, To before From, or days not 0 to 7","○ Clear"))))</f>
        <v/>
      </c>
      <c r="S107" s="31">
        <f>IF(LEFT($E107,1)="△",1,0)</f>
        <v/>
      </c>
      <c r="BN107" s="31">
        <f>IF(IFERROR(INDEX(Register!$A$6:$A$305,ROW()-5),"")="",0,SUMIF($A$139:$A$288,IFERROR(INDEX(Register!$A$6:$A$305,ROW()-5),""),$Z$139:$Z$288))</f>
        <v/>
      </c>
      <c r="BO107" s="31">
        <f>IF(OR(IFERROR(INDEX(Register!$A$6:$A$305,ROW()-5),"")="",SUM($Z$139:$Z$288)=0),0,IF(AND(IFERROR(INDEX(Register!$B$6:$B$305,ROW()-5),"")="Project",IFERROR(INDEX(Register!$D$6:$D$305,ROW()-5),"")="Active",IFERROR(INDEX(Register!$Z$6:$Z$305,ROW()-5),"")=1,$BN107=0),1,0))</f>
        <v/>
      </c>
      <c r="BP107" s="31">
        <f>IF(AND(IFERROR(INDEX(Register!$A$6:$A$305,ROW()-5),"")&lt;&gt;"",IFERROR(INDEX(Register!$D$6:$D$305,ROW()-5),"")="Proposed"),$BN107,0)</f>
        <v/>
      </c>
    </row>
    <row r="108">
      <c r="A108" s="29" t="n"/>
      <c r="B108" s="53" t="n"/>
      <c r="C108" s="53" t="n"/>
      <c r="D108" s="48" t="n"/>
      <c r="E108" s="31">
        <f>IF(COUNTA($A108:$D108)=0,"",IF(OR($A108="",AND($A108&lt;&gt;"Everyone",COUNTIF($A$63:$A$102,$A108)=0)),"△ Person not on People",IF(OR(NOT(ISNUMBER($B108)),NOT(ISNUMBER($C108)),NOT(ISNUMBER($D108))),"△ From, To or days missing",IF(OR(WEEKDAY($B108,2)&lt;&gt;1,WEEKDAY($C108,2)&lt;&gt;1,$C108&lt;$B108,$D108&lt;0,$D108&gt;7),"△ Not a Monday, To before From, or days not 0 to 7","○ Clear"))))</f>
        <v/>
      </c>
      <c r="S108" s="31">
        <f>IF(LEFT($E108,1)="△",1,0)</f>
        <v/>
      </c>
      <c r="BN108" s="31">
        <f>IF(IFERROR(INDEX(Register!$A$6:$A$305,ROW()-5),"")="",0,SUMIF($A$139:$A$288,IFERROR(INDEX(Register!$A$6:$A$305,ROW()-5),""),$Z$139:$Z$288))</f>
        <v/>
      </c>
      <c r="BO108" s="31">
        <f>IF(OR(IFERROR(INDEX(Register!$A$6:$A$305,ROW()-5),"")="",SUM($Z$139:$Z$288)=0),0,IF(AND(IFERROR(INDEX(Register!$B$6:$B$305,ROW()-5),"")="Project",IFERROR(INDEX(Register!$D$6:$D$305,ROW()-5),"")="Active",IFERROR(INDEX(Register!$Z$6:$Z$305,ROW()-5),"")=1,$BN108=0),1,0))</f>
        <v/>
      </c>
      <c r="BP108" s="31">
        <f>IF(AND(IFERROR(INDEX(Register!$A$6:$A$305,ROW()-5),"")&lt;&gt;"",IFERROR(INDEX(Register!$D$6:$D$305,ROW()-5),"")="Proposed"),$BN108,0)</f>
        <v/>
      </c>
    </row>
    <row r="109">
      <c r="A109" s="29" t="n"/>
      <c r="B109" s="53" t="n"/>
      <c r="C109" s="53" t="n"/>
      <c r="D109" s="48" t="n"/>
      <c r="E109" s="31">
        <f>IF(COUNTA($A109:$D109)=0,"",IF(OR($A109="",AND($A109&lt;&gt;"Everyone",COUNTIF($A$63:$A$102,$A109)=0)),"△ Person not on People",IF(OR(NOT(ISNUMBER($B109)),NOT(ISNUMBER($C109)),NOT(ISNUMBER($D109))),"△ From, To or days missing",IF(OR(WEEKDAY($B109,2)&lt;&gt;1,WEEKDAY($C109,2)&lt;&gt;1,$C109&lt;$B109,$D109&lt;0,$D109&gt;7),"△ Not a Monday, To before From, or days not 0 to 7","○ Clear"))))</f>
        <v/>
      </c>
      <c r="S109" s="31">
        <f>IF(LEFT($E109,1)="△",1,0)</f>
        <v/>
      </c>
      <c r="BN109" s="31">
        <f>IF(IFERROR(INDEX(Register!$A$6:$A$305,ROW()-5),"")="",0,SUMIF($A$139:$A$288,IFERROR(INDEX(Register!$A$6:$A$305,ROW()-5),""),$Z$139:$Z$288))</f>
        <v/>
      </c>
      <c r="BO109" s="31">
        <f>IF(OR(IFERROR(INDEX(Register!$A$6:$A$305,ROW()-5),"")="",SUM($Z$139:$Z$288)=0),0,IF(AND(IFERROR(INDEX(Register!$B$6:$B$305,ROW()-5),"")="Project",IFERROR(INDEX(Register!$D$6:$D$305,ROW()-5),"")="Active",IFERROR(INDEX(Register!$Z$6:$Z$305,ROW()-5),"")=1,$BN109=0),1,0))</f>
        <v/>
      </c>
      <c r="BP109" s="31">
        <f>IF(AND(IFERROR(INDEX(Register!$A$6:$A$305,ROW()-5),"")&lt;&gt;"",IFERROR(INDEX(Register!$D$6:$D$305,ROW()-5),"")="Proposed"),$BN109,0)</f>
        <v/>
      </c>
    </row>
    <row r="110">
      <c r="A110" s="29" t="n"/>
      <c r="B110" s="53" t="n"/>
      <c r="C110" s="53" t="n"/>
      <c r="D110" s="48" t="n"/>
      <c r="E110" s="31">
        <f>IF(COUNTA($A110:$D110)=0,"",IF(OR($A110="",AND($A110&lt;&gt;"Everyone",COUNTIF($A$63:$A$102,$A110)=0)),"△ Person not on People",IF(OR(NOT(ISNUMBER($B110)),NOT(ISNUMBER($C110)),NOT(ISNUMBER($D110))),"△ From, To or days missing",IF(OR(WEEKDAY($B110,2)&lt;&gt;1,WEEKDAY($C110,2)&lt;&gt;1,$C110&lt;$B110,$D110&lt;0,$D110&gt;7),"△ Not a Monday, To before From, or days not 0 to 7","○ Clear"))))</f>
        <v/>
      </c>
      <c r="S110" s="31">
        <f>IF(LEFT($E110,1)="△",1,0)</f>
        <v/>
      </c>
      <c r="BN110" s="31">
        <f>IF(IFERROR(INDEX(Register!$A$6:$A$305,ROW()-5),"")="",0,SUMIF($A$139:$A$288,IFERROR(INDEX(Register!$A$6:$A$305,ROW()-5),""),$Z$139:$Z$288))</f>
        <v/>
      </c>
      <c r="BO110" s="31">
        <f>IF(OR(IFERROR(INDEX(Register!$A$6:$A$305,ROW()-5),"")="",SUM($Z$139:$Z$288)=0),0,IF(AND(IFERROR(INDEX(Register!$B$6:$B$305,ROW()-5),"")="Project",IFERROR(INDEX(Register!$D$6:$D$305,ROW()-5),"")="Active",IFERROR(INDEX(Register!$Z$6:$Z$305,ROW()-5),"")=1,$BN110=0),1,0))</f>
        <v/>
      </c>
      <c r="BP110" s="31">
        <f>IF(AND(IFERROR(INDEX(Register!$A$6:$A$305,ROW()-5),"")&lt;&gt;"",IFERROR(INDEX(Register!$D$6:$D$305,ROW()-5),"")="Proposed"),$BN110,0)</f>
        <v/>
      </c>
    </row>
    <row r="111">
      <c r="A111" s="29" t="n"/>
      <c r="B111" s="53" t="n"/>
      <c r="C111" s="53" t="n"/>
      <c r="D111" s="48" t="n"/>
      <c r="E111" s="31">
        <f>IF(COUNTA($A111:$D111)=0,"",IF(OR($A111="",AND($A111&lt;&gt;"Everyone",COUNTIF($A$63:$A$102,$A111)=0)),"△ Person not on People",IF(OR(NOT(ISNUMBER($B111)),NOT(ISNUMBER($C111)),NOT(ISNUMBER($D111))),"△ From, To or days missing",IF(OR(WEEKDAY($B111,2)&lt;&gt;1,WEEKDAY($C111,2)&lt;&gt;1,$C111&lt;$B111,$D111&lt;0,$D111&gt;7),"△ Not a Monday, To before From, or days not 0 to 7","○ Clear"))))</f>
        <v/>
      </c>
      <c r="S111" s="31">
        <f>IF(LEFT($E111,1)="△",1,0)</f>
        <v/>
      </c>
      <c r="BN111" s="31">
        <f>IF(IFERROR(INDEX(Register!$A$6:$A$305,ROW()-5),"")="",0,SUMIF($A$139:$A$288,IFERROR(INDEX(Register!$A$6:$A$305,ROW()-5),""),$Z$139:$Z$288))</f>
        <v/>
      </c>
      <c r="BO111" s="31">
        <f>IF(OR(IFERROR(INDEX(Register!$A$6:$A$305,ROW()-5),"")="",SUM($Z$139:$Z$288)=0),0,IF(AND(IFERROR(INDEX(Register!$B$6:$B$305,ROW()-5),"")="Project",IFERROR(INDEX(Register!$D$6:$D$305,ROW()-5),"")="Active",IFERROR(INDEX(Register!$Z$6:$Z$305,ROW()-5),"")=1,$BN111=0),1,0))</f>
        <v/>
      </c>
      <c r="BP111" s="31">
        <f>IF(AND(IFERROR(INDEX(Register!$A$6:$A$305,ROW()-5),"")&lt;&gt;"",IFERROR(INDEX(Register!$D$6:$D$305,ROW()-5),"")="Proposed"),$BN111,0)</f>
        <v/>
      </c>
    </row>
    <row r="112">
      <c r="A112" s="29" t="n"/>
      <c r="B112" s="53" t="n"/>
      <c r="C112" s="53" t="n"/>
      <c r="D112" s="48" t="n"/>
      <c r="E112" s="31">
        <f>IF(COUNTA($A112:$D112)=0,"",IF(OR($A112="",AND($A112&lt;&gt;"Everyone",COUNTIF($A$63:$A$102,$A112)=0)),"△ Person not on People",IF(OR(NOT(ISNUMBER($B112)),NOT(ISNUMBER($C112)),NOT(ISNUMBER($D112))),"△ From, To or days missing",IF(OR(WEEKDAY($B112,2)&lt;&gt;1,WEEKDAY($C112,2)&lt;&gt;1,$C112&lt;$B112,$D112&lt;0,$D112&gt;7),"△ Not a Monday, To before From, or days not 0 to 7","○ Clear"))))</f>
        <v/>
      </c>
      <c r="S112" s="31">
        <f>IF(LEFT($E112,1)="△",1,0)</f>
        <v/>
      </c>
      <c r="BN112" s="31">
        <f>IF(IFERROR(INDEX(Register!$A$6:$A$305,ROW()-5),"")="",0,SUMIF($A$139:$A$288,IFERROR(INDEX(Register!$A$6:$A$305,ROW()-5),""),$Z$139:$Z$288))</f>
        <v/>
      </c>
      <c r="BO112" s="31">
        <f>IF(OR(IFERROR(INDEX(Register!$A$6:$A$305,ROW()-5),"")="",SUM($Z$139:$Z$288)=0),0,IF(AND(IFERROR(INDEX(Register!$B$6:$B$305,ROW()-5),"")="Project",IFERROR(INDEX(Register!$D$6:$D$305,ROW()-5),"")="Active",IFERROR(INDEX(Register!$Z$6:$Z$305,ROW()-5),"")=1,$BN112=0),1,0))</f>
        <v/>
      </c>
      <c r="BP112" s="31">
        <f>IF(AND(IFERROR(INDEX(Register!$A$6:$A$305,ROW()-5),"")&lt;&gt;"",IFERROR(INDEX(Register!$D$6:$D$305,ROW()-5),"")="Proposed"),$BN112,0)</f>
        <v/>
      </c>
    </row>
    <row r="113">
      <c r="A113" s="29" t="n"/>
      <c r="B113" s="53" t="n"/>
      <c r="C113" s="53" t="n"/>
      <c r="D113" s="48" t="n"/>
      <c r="E113" s="31">
        <f>IF(COUNTA($A113:$D113)=0,"",IF(OR($A113="",AND($A113&lt;&gt;"Everyone",COUNTIF($A$63:$A$102,$A113)=0)),"△ Person not on People",IF(OR(NOT(ISNUMBER($B113)),NOT(ISNUMBER($C113)),NOT(ISNUMBER($D113))),"△ From, To or days missing",IF(OR(WEEKDAY($B113,2)&lt;&gt;1,WEEKDAY($C113,2)&lt;&gt;1,$C113&lt;$B113,$D113&lt;0,$D113&gt;7),"△ Not a Monday, To before From, or days not 0 to 7","○ Clear"))))</f>
        <v/>
      </c>
      <c r="S113" s="31">
        <f>IF(LEFT($E113,1)="△",1,0)</f>
        <v/>
      </c>
      <c r="BN113" s="31">
        <f>IF(IFERROR(INDEX(Register!$A$6:$A$305,ROW()-5),"")="",0,SUMIF($A$139:$A$288,IFERROR(INDEX(Register!$A$6:$A$305,ROW()-5),""),$Z$139:$Z$288))</f>
        <v/>
      </c>
      <c r="BO113" s="31">
        <f>IF(OR(IFERROR(INDEX(Register!$A$6:$A$305,ROW()-5),"")="",SUM($Z$139:$Z$288)=0),0,IF(AND(IFERROR(INDEX(Register!$B$6:$B$305,ROW()-5),"")="Project",IFERROR(INDEX(Register!$D$6:$D$305,ROW()-5),"")="Active",IFERROR(INDEX(Register!$Z$6:$Z$305,ROW()-5),"")=1,$BN113=0),1,0))</f>
        <v/>
      </c>
      <c r="BP113" s="31">
        <f>IF(AND(IFERROR(INDEX(Register!$A$6:$A$305,ROW()-5),"")&lt;&gt;"",IFERROR(INDEX(Register!$D$6:$D$305,ROW()-5),"")="Proposed"),$BN113,0)</f>
        <v/>
      </c>
    </row>
    <row r="114">
      <c r="A114" s="29" t="n"/>
      <c r="B114" s="53" t="n"/>
      <c r="C114" s="53" t="n"/>
      <c r="D114" s="48" t="n"/>
      <c r="E114" s="31">
        <f>IF(COUNTA($A114:$D114)=0,"",IF(OR($A114="",AND($A114&lt;&gt;"Everyone",COUNTIF($A$63:$A$102,$A114)=0)),"△ Person not on People",IF(OR(NOT(ISNUMBER($B114)),NOT(ISNUMBER($C114)),NOT(ISNUMBER($D114))),"△ From, To or days missing",IF(OR(WEEKDAY($B114,2)&lt;&gt;1,WEEKDAY($C114,2)&lt;&gt;1,$C114&lt;$B114,$D114&lt;0,$D114&gt;7),"△ Not a Monday, To before From, or days not 0 to 7","○ Clear"))))</f>
        <v/>
      </c>
      <c r="S114" s="31">
        <f>IF(LEFT($E114,1)="△",1,0)</f>
        <v/>
      </c>
      <c r="BN114" s="31">
        <f>IF(IFERROR(INDEX(Register!$A$6:$A$305,ROW()-5),"")="",0,SUMIF($A$139:$A$288,IFERROR(INDEX(Register!$A$6:$A$305,ROW()-5),""),$Z$139:$Z$288))</f>
        <v/>
      </c>
      <c r="BO114" s="31">
        <f>IF(OR(IFERROR(INDEX(Register!$A$6:$A$305,ROW()-5),"")="",SUM($Z$139:$Z$288)=0),0,IF(AND(IFERROR(INDEX(Register!$B$6:$B$305,ROW()-5),"")="Project",IFERROR(INDEX(Register!$D$6:$D$305,ROW()-5),"")="Active",IFERROR(INDEX(Register!$Z$6:$Z$305,ROW()-5),"")=1,$BN114=0),1,0))</f>
        <v/>
      </c>
      <c r="BP114" s="31">
        <f>IF(AND(IFERROR(INDEX(Register!$A$6:$A$305,ROW()-5),"")&lt;&gt;"",IFERROR(INDEX(Register!$D$6:$D$305,ROW()-5),"")="Proposed"),$BN114,0)</f>
        <v/>
      </c>
    </row>
    <row r="115">
      <c r="A115" s="29" t="n"/>
      <c r="B115" s="53" t="n"/>
      <c r="C115" s="53" t="n"/>
      <c r="D115" s="48" t="n"/>
      <c r="E115" s="31">
        <f>IF(COUNTA($A115:$D115)=0,"",IF(OR($A115="",AND($A115&lt;&gt;"Everyone",COUNTIF($A$63:$A$102,$A115)=0)),"△ Person not on People",IF(OR(NOT(ISNUMBER($B115)),NOT(ISNUMBER($C115)),NOT(ISNUMBER($D115))),"△ From, To or days missing",IF(OR(WEEKDAY($B115,2)&lt;&gt;1,WEEKDAY($C115,2)&lt;&gt;1,$C115&lt;$B115,$D115&lt;0,$D115&gt;7),"△ Not a Monday, To before From, or days not 0 to 7","○ Clear"))))</f>
        <v/>
      </c>
      <c r="S115" s="31">
        <f>IF(LEFT($E115,1)="△",1,0)</f>
        <v/>
      </c>
      <c r="BN115" s="31">
        <f>IF(IFERROR(INDEX(Register!$A$6:$A$305,ROW()-5),"")="",0,SUMIF($A$139:$A$288,IFERROR(INDEX(Register!$A$6:$A$305,ROW()-5),""),$Z$139:$Z$288))</f>
        <v/>
      </c>
      <c r="BO115" s="31">
        <f>IF(OR(IFERROR(INDEX(Register!$A$6:$A$305,ROW()-5),"")="",SUM($Z$139:$Z$288)=0),0,IF(AND(IFERROR(INDEX(Register!$B$6:$B$305,ROW()-5),"")="Project",IFERROR(INDEX(Register!$D$6:$D$305,ROW()-5),"")="Active",IFERROR(INDEX(Register!$Z$6:$Z$305,ROW()-5),"")=1,$BN115=0),1,0))</f>
        <v/>
      </c>
      <c r="BP115" s="31">
        <f>IF(AND(IFERROR(INDEX(Register!$A$6:$A$305,ROW()-5),"")&lt;&gt;"",IFERROR(INDEX(Register!$D$6:$D$305,ROW()-5),"")="Proposed"),$BN115,0)</f>
        <v/>
      </c>
    </row>
    <row r="116">
      <c r="A116" s="29" t="n"/>
      <c r="B116" s="53" t="n"/>
      <c r="C116" s="53" t="n"/>
      <c r="D116" s="48" t="n"/>
      <c r="E116" s="31">
        <f>IF(COUNTA($A116:$D116)=0,"",IF(OR($A116="",AND($A116&lt;&gt;"Everyone",COUNTIF($A$63:$A$102,$A116)=0)),"△ Person not on People",IF(OR(NOT(ISNUMBER($B116)),NOT(ISNUMBER($C116)),NOT(ISNUMBER($D116))),"△ From, To or days missing",IF(OR(WEEKDAY($B116,2)&lt;&gt;1,WEEKDAY($C116,2)&lt;&gt;1,$C116&lt;$B116,$D116&lt;0,$D116&gt;7),"△ Not a Monday, To before From, or days not 0 to 7","○ Clear"))))</f>
        <v/>
      </c>
      <c r="S116" s="31">
        <f>IF(LEFT($E116,1)="△",1,0)</f>
        <v/>
      </c>
      <c r="BN116" s="31">
        <f>IF(IFERROR(INDEX(Register!$A$6:$A$305,ROW()-5),"")="",0,SUMIF($A$139:$A$288,IFERROR(INDEX(Register!$A$6:$A$305,ROW()-5),""),$Z$139:$Z$288))</f>
        <v/>
      </c>
      <c r="BO116" s="31">
        <f>IF(OR(IFERROR(INDEX(Register!$A$6:$A$305,ROW()-5),"")="",SUM($Z$139:$Z$288)=0),0,IF(AND(IFERROR(INDEX(Register!$B$6:$B$305,ROW()-5),"")="Project",IFERROR(INDEX(Register!$D$6:$D$305,ROW()-5),"")="Active",IFERROR(INDEX(Register!$Z$6:$Z$305,ROW()-5),"")=1,$BN116=0),1,0))</f>
        <v/>
      </c>
      <c r="BP116" s="31">
        <f>IF(AND(IFERROR(INDEX(Register!$A$6:$A$305,ROW()-5),"")&lt;&gt;"",IFERROR(INDEX(Register!$D$6:$D$305,ROW()-5),"")="Proposed"),$BN116,0)</f>
        <v/>
      </c>
    </row>
    <row r="117">
      <c r="A117" s="29" t="n"/>
      <c r="B117" s="53" t="n"/>
      <c r="C117" s="53" t="n"/>
      <c r="D117" s="48" t="n"/>
      <c r="E117" s="31">
        <f>IF(COUNTA($A117:$D117)=0,"",IF(OR($A117="",AND($A117&lt;&gt;"Everyone",COUNTIF($A$63:$A$102,$A117)=0)),"△ Person not on People",IF(OR(NOT(ISNUMBER($B117)),NOT(ISNUMBER($C117)),NOT(ISNUMBER($D117))),"△ From, To or days missing",IF(OR(WEEKDAY($B117,2)&lt;&gt;1,WEEKDAY($C117,2)&lt;&gt;1,$C117&lt;$B117,$D117&lt;0,$D117&gt;7),"△ Not a Monday, To before From, or days not 0 to 7","○ Clear"))))</f>
        <v/>
      </c>
      <c r="S117" s="31">
        <f>IF(LEFT($E117,1)="△",1,0)</f>
        <v/>
      </c>
      <c r="BN117" s="31">
        <f>IF(IFERROR(INDEX(Register!$A$6:$A$305,ROW()-5),"")="",0,SUMIF($A$139:$A$288,IFERROR(INDEX(Register!$A$6:$A$305,ROW()-5),""),$Z$139:$Z$288))</f>
        <v/>
      </c>
      <c r="BO117" s="31">
        <f>IF(OR(IFERROR(INDEX(Register!$A$6:$A$305,ROW()-5),"")="",SUM($Z$139:$Z$288)=0),0,IF(AND(IFERROR(INDEX(Register!$B$6:$B$305,ROW()-5),"")="Project",IFERROR(INDEX(Register!$D$6:$D$305,ROW()-5),"")="Active",IFERROR(INDEX(Register!$Z$6:$Z$305,ROW()-5),"")=1,$BN117=0),1,0))</f>
        <v/>
      </c>
      <c r="BP117" s="31">
        <f>IF(AND(IFERROR(INDEX(Register!$A$6:$A$305,ROW()-5),"")&lt;&gt;"",IFERROR(INDEX(Register!$D$6:$D$305,ROW()-5),"")="Proposed"),$BN117,0)</f>
        <v/>
      </c>
    </row>
    <row r="118">
      <c r="A118" s="29" t="n"/>
      <c r="B118" s="53" t="n"/>
      <c r="C118" s="53" t="n"/>
      <c r="D118" s="48" t="n"/>
      <c r="E118" s="31">
        <f>IF(COUNTA($A118:$D118)=0,"",IF(OR($A118="",AND($A118&lt;&gt;"Everyone",COUNTIF($A$63:$A$102,$A118)=0)),"△ Person not on People",IF(OR(NOT(ISNUMBER($B118)),NOT(ISNUMBER($C118)),NOT(ISNUMBER($D118))),"△ From, To or days missing",IF(OR(WEEKDAY($B118,2)&lt;&gt;1,WEEKDAY($C118,2)&lt;&gt;1,$C118&lt;$B118,$D118&lt;0,$D118&gt;7),"△ Not a Monday, To before From, or days not 0 to 7","○ Clear"))))</f>
        <v/>
      </c>
      <c r="S118" s="31">
        <f>IF(LEFT($E118,1)="△",1,0)</f>
        <v/>
      </c>
      <c r="BN118" s="31">
        <f>IF(IFERROR(INDEX(Register!$A$6:$A$305,ROW()-5),"")="",0,SUMIF($A$139:$A$288,IFERROR(INDEX(Register!$A$6:$A$305,ROW()-5),""),$Z$139:$Z$288))</f>
        <v/>
      </c>
      <c r="BO118" s="31">
        <f>IF(OR(IFERROR(INDEX(Register!$A$6:$A$305,ROW()-5),"")="",SUM($Z$139:$Z$288)=0),0,IF(AND(IFERROR(INDEX(Register!$B$6:$B$305,ROW()-5),"")="Project",IFERROR(INDEX(Register!$D$6:$D$305,ROW()-5),"")="Active",IFERROR(INDEX(Register!$Z$6:$Z$305,ROW()-5),"")=1,$BN118=0),1,0))</f>
        <v/>
      </c>
      <c r="BP118" s="31">
        <f>IF(AND(IFERROR(INDEX(Register!$A$6:$A$305,ROW()-5),"")&lt;&gt;"",IFERROR(INDEX(Register!$D$6:$D$305,ROW()-5),"")="Proposed"),$BN118,0)</f>
        <v/>
      </c>
    </row>
    <row r="119">
      <c r="A119" s="29" t="n"/>
      <c r="B119" s="53" t="n"/>
      <c r="C119" s="53" t="n"/>
      <c r="D119" s="48" t="n"/>
      <c r="E119" s="31">
        <f>IF(COUNTA($A119:$D119)=0,"",IF(OR($A119="",AND($A119&lt;&gt;"Everyone",COUNTIF($A$63:$A$102,$A119)=0)),"△ Person not on People",IF(OR(NOT(ISNUMBER($B119)),NOT(ISNUMBER($C119)),NOT(ISNUMBER($D119))),"△ From, To or days missing",IF(OR(WEEKDAY($B119,2)&lt;&gt;1,WEEKDAY($C119,2)&lt;&gt;1,$C119&lt;$B119,$D119&lt;0,$D119&gt;7),"△ Not a Monday, To before From, or days not 0 to 7","○ Clear"))))</f>
        <v/>
      </c>
      <c r="S119" s="31">
        <f>IF(LEFT($E119,1)="△",1,0)</f>
        <v/>
      </c>
      <c r="BN119" s="31">
        <f>IF(IFERROR(INDEX(Register!$A$6:$A$305,ROW()-5),"")="",0,SUMIF($A$139:$A$288,IFERROR(INDEX(Register!$A$6:$A$305,ROW()-5),""),$Z$139:$Z$288))</f>
        <v/>
      </c>
      <c r="BO119" s="31">
        <f>IF(OR(IFERROR(INDEX(Register!$A$6:$A$305,ROW()-5),"")="",SUM($Z$139:$Z$288)=0),0,IF(AND(IFERROR(INDEX(Register!$B$6:$B$305,ROW()-5),"")="Project",IFERROR(INDEX(Register!$D$6:$D$305,ROW()-5),"")="Active",IFERROR(INDEX(Register!$Z$6:$Z$305,ROW()-5),"")=1,$BN119=0),1,0))</f>
        <v/>
      </c>
      <c r="BP119" s="31">
        <f>IF(AND(IFERROR(INDEX(Register!$A$6:$A$305,ROW()-5),"")&lt;&gt;"",IFERROR(INDEX(Register!$D$6:$D$305,ROW()-5),"")="Proposed"),$BN119,0)</f>
        <v/>
      </c>
    </row>
    <row r="120">
      <c r="A120" s="29" t="n"/>
      <c r="B120" s="53" t="n"/>
      <c r="C120" s="53" t="n"/>
      <c r="D120" s="48" t="n"/>
      <c r="E120" s="31">
        <f>IF(COUNTA($A120:$D120)=0,"",IF(OR($A120="",AND($A120&lt;&gt;"Everyone",COUNTIF($A$63:$A$102,$A120)=0)),"△ Person not on People",IF(OR(NOT(ISNUMBER($B120)),NOT(ISNUMBER($C120)),NOT(ISNUMBER($D120))),"△ From, To or days missing",IF(OR(WEEKDAY($B120,2)&lt;&gt;1,WEEKDAY($C120,2)&lt;&gt;1,$C120&lt;$B120,$D120&lt;0,$D120&gt;7),"△ Not a Monday, To before From, or days not 0 to 7","○ Clear"))))</f>
        <v/>
      </c>
      <c r="S120" s="31">
        <f>IF(LEFT($E120,1)="△",1,0)</f>
        <v/>
      </c>
      <c r="BN120" s="31">
        <f>IF(IFERROR(INDEX(Register!$A$6:$A$305,ROW()-5),"")="",0,SUMIF($A$139:$A$288,IFERROR(INDEX(Register!$A$6:$A$305,ROW()-5),""),$Z$139:$Z$288))</f>
        <v/>
      </c>
      <c r="BO120" s="31">
        <f>IF(OR(IFERROR(INDEX(Register!$A$6:$A$305,ROW()-5),"")="",SUM($Z$139:$Z$288)=0),0,IF(AND(IFERROR(INDEX(Register!$B$6:$B$305,ROW()-5),"")="Project",IFERROR(INDEX(Register!$D$6:$D$305,ROW()-5),"")="Active",IFERROR(INDEX(Register!$Z$6:$Z$305,ROW()-5),"")=1,$BN120=0),1,0))</f>
        <v/>
      </c>
      <c r="BP120" s="31">
        <f>IF(AND(IFERROR(INDEX(Register!$A$6:$A$305,ROW()-5),"")&lt;&gt;"",IFERROR(INDEX(Register!$D$6:$D$305,ROW()-5),"")="Proposed"),$BN120,0)</f>
        <v/>
      </c>
    </row>
    <row r="121">
      <c r="A121" s="29" t="n"/>
      <c r="B121" s="53" t="n"/>
      <c r="C121" s="53" t="n"/>
      <c r="D121" s="48" t="n"/>
      <c r="E121" s="31">
        <f>IF(COUNTA($A121:$D121)=0,"",IF(OR($A121="",AND($A121&lt;&gt;"Everyone",COUNTIF($A$63:$A$102,$A121)=0)),"△ Person not on People",IF(OR(NOT(ISNUMBER($B121)),NOT(ISNUMBER($C121)),NOT(ISNUMBER($D121))),"△ From, To or days missing",IF(OR(WEEKDAY($B121,2)&lt;&gt;1,WEEKDAY($C121,2)&lt;&gt;1,$C121&lt;$B121,$D121&lt;0,$D121&gt;7),"△ Not a Monday, To before From, or days not 0 to 7","○ Clear"))))</f>
        <v/>
      </c>
      <c r="S121" s="31">
        <f>IF(LEFT($E121,1)="△",1,0)</f>
        <v/>
      </c>
      <c r="BN121" s="31">
        <f>IF(IFERROR(INDEX(Register!$A$6:$A$305,ROW()-5),"")="",0,SUMIF($A$139:$A$288,IFERROR(INDEX(Register!$A$6:$A$305,ROW()-5),""),$Z$139:$Z$288))</f>
        <v/>
      </c>
      <c r="BO121" s="31">
        <f>IF(OR(IFERROR(INDEX(Register!$A$6:$A$305,ROW()-5),"")="",SUM($Z$139:$Z$288)=0),0,IF(AND(IFERROR(INDEX(Register!$B$6:$B$305,ROW()-5),"")="Project",IFERROR(INDEX(Register!$D$6:$D$305,ROW()-5),"")="Active",IFERROR(INDEX(Register!$Z$6:$Z$305,ROW()-5),"")=1,$BN121=0),1,0))</f>
        <v/>
      </c>
      <c r="BP121" s="31">
        <f>IF(AND(IFERROR(INDEX(Register!$A$6:$A$305,ROW()-5),"")&lt;&gt;"",IFERROR(INDEX(Register!$D$6:$D$305,ROW()-5),"")="Proposed"),$BN121,0)</f>
        <v/>
      </c>
    </row>
    <row r="122">
      <c r="A122" s="29" t="n"/>
      <c r="B122" s="53" t="n"/>
      <c r="C122" s="53" t="n"/>
      <c r="D122" s="48" t="n"/>
      <c r="E122" s="31">
        <f>IF(COUNTA($A122:$D122)=0,"",IF(OR($A122="",AND($A122&lt;&gt;"Everyone",COUNTIF($A$63:$A$102,$A122)=0)),"△ Person not on People",IF(OR(NOT(ISNUMBER($B122)),NOT(ISNUMBER($C122)),NOT(ISNUMBER($D122))),"△ From, To or days missing",IF(OR(WEEKDAY($B122,2)&lt;&gt;1,WEEKDAY($C122,2)&lt;&gt;1,$C122&lt;$B122,$D122&lt;0,$D122&gt;7),"△ Not a Monday, To before From, or days not 0 to 7","○ Clear"))))</f>
        <v/>
      </c>
      <c r="S122" s="31">
        <f>IF(LEFT($E122,1)="△",1,0)</f>
        <v/>
      </c>
      <c r="BN122" s="31">
        <f>IF(IFERROR(INDEX(Register!$A$6:$A$305,ROW()-5),"")="",0,SUMIF($A$139:$A$288,IFERROR(INDEX(Register!$A$6:$A$305,ROW()-5),""),$Z$139:$Z$288))</f>
        <v/>
      </c>
      <c r="BO122" s="31">
        <f>IF(OR(IFERROR(INDEX(Register!$A$6:$A$305,ROW()-5),"")="",SUM($Z$139:$Z$288)=0),0,IF(AND(IFERROR(INDEX(Register!$B$6:$B$305,ROW()-5),"")="Project",IFERROR(INDEX(Register!$D$6:$D$305,ROW()-5),"")="Active",IFERROR(INDEX(Register!$Z$6:$Z$305,ROW()-5),"")=1,$BN122=0),1,0))</f>
        <v/>
      </c>
      <c r="BP122" s="31">
        <f>IF(AND(IFERROR(INDEX(Register!$A$6:$A$305,ROW()-5),"")&lt;&gt;"",IFERROR(INDEX(Register!$D$6:$D$305,ROW()-5),"")="Proposed"),$BN122,0)</f>
        <v/>
      </c>
    </row>
    <row r="123">
      <c r="A123" s="29" t="n"/>
      <c r="B123" s="53" t="n"/>
      <c r="C123" s="53" t="n"/>
      <c r="D123" s="48" t="n"/>
      <c r="E123" s="31">
        <f>IF(COUNTA($A123:$D123)=0,"",IF(OR($A123="",AND($A123&lt;&gt;"Everyone",COUNTIF($A$63:$A$102,$A123)=0)),"△ Person not on People",IF(OR(NOT(ISNUMBER($B123)),NOT(ISNUMBER($C123)),NOT(ISNUMBER($D123))),"△ From, To or days missing",IF(OR(WEEKDAY($B123,2)&lt;&gt;1,WEEKDAY($C123,2)&lt;&gt;1,$C123&lt;$B123,$D123&lt;0,$D123&gt;7),"△ Not a Monday, To before From, or days not 0 to 7","○ Clear"))))</f>
        <v/>
      </c>
      <c r="S123" s="31">
        <f>IF(LEFT($E123,1)="△",1,0)</f>
        <v/>
      </c>
      <c r="BN123" s="31">
        <f>IF(IFERROR(INDEX(Register!$A$6:$A$305,ROW()-5),"")="",0,SUMIF($A$139:$A$288,IFERROR(INDEX(Register!$A$6:$A$305,ROW()-5),""),$Z$139:$Z$288))</f>
        <v/>
      </c>
      <c r="BO123" s="31">
        <f>IF(OR(IFERROR(INDEX(Register!$A$6:$A$305,ROW()-5),"")="",SUM($Z$139:$Z$288)=0),0,IF(AND(IFERROR(INDEX(Register!$B$6:$B$305,ROW()-5),"")="Project",IFERROR(INDEX(Register!$D$6:$D$305,ROW()-5),"")="Active",IFERROR(INDEX(Register!$Z$6:$Z$305,ROW()-5),"")=1,$BN123=0),1,0))</f>
        <v/>
      </c>
      <c r="BP123" s="31">
        <f>IF(AND(IFERROR(INDEX(Register!$A$6:$A$305,ROW()-5),"")&lt;&gt;"",IFERROR(INDEX(Register!$D$6:$D$305,ROW()-5),"")="Proposed"),$BN123,0)</f>
        <v/>
      </c>
    </row>
    <row r="124">
      <c r="A124" s="29" t="n"/>
      <c r="B124" s="53" t="n"/>
      <c r="C124" s="53" t="n"/>
      <c r="D124" s="48" t="n"/>
      <c r="E124" s="31">
        <f>IF(COUNTA($A124:$D124)=0,"",IF(OR($A124="",AND($A124&lt;&gt;"Everyone",COUNTIF($A$63:$A$102,$A124)=0)),"△ Person not on People",IF(OR(NOT(ISNUMBER($B124)),NOT(ISNUMBER($C124)),NOT(ISNUMBER($D124))),"△ From, To or days missing",IF(OR(WEEKDAY($B124,2)&lt;&gt;1,WEEKDAY($C124,2)&lt;&gt;1,$C124&lt;$B124,$D124&lt;0,$D124&gt;7),"△ Not a Monday, To before From, or days not 0 to 7","○ Clear"))))</f>
        <v/>
      </c>
      <c r="S124" s="31">
        <f>IF(LEFT($E124,1)="△",1,0)</f>
        <v/>
      </c>
      <c r="BN124" s="31">
        <f>IF(IFERROR(INDEX(Register!$A$6:$A$305,ROW()-5),"")="",0,SUMIF($A$139:$A$288,IFERROR(INDEX(Register!$A$6:$A$305,ROW()-5),""),$Z$139:$Z$288))</f>
        <v/>
      </c>
      <c r="BO124" s="31">
        <f>IF(OR(IFERROR(INDEX(Register!$A$6:$A$305,ROW()-5),"")="",SUM($Z$139:$Z$288)=0),0,IF(AND(IFERROR(INDEX(Register!$B$6:$B$305,ROW()-5),"")="Project",IFERROR(INDEX(Register!$D$6:$D$305,ROW()-5),"")="Active",IFERROR(INDEX(Register!$Z$6:$Z$305,ROW()-5),"")=1,$BN124=0),1,0))</f>
        <v/>
      </c>
      <c r="BP124" s="31">
        <f>IF(AND(IFERROR(INDEX(Register!$A$6:$A$305,ROW()-5),"")&lt;&gt;"",IFERROR(INDEX(Register!$D$6:$D$305,ROW()-5),"")="Proposed"),$BN124,0)</f>
        <v/>
      </c>
    </row>
    <row r="125">
      <c r="A125" s="29" t="n"/>
      <c r="B125" s="53" t="n"/>
      <c r="C125" s="53" t="n"/>
      <c r="D125" s="48" t="n"/>
      <c r="E125" s="31">
        <f>IF(COUNTA($A125:$D125)=0,"",IF(OR($A125="",AND($A125&lt;&gt;"Everyone",COUNTIF($A$63:$A$102,$A125)=0)),"△ Person not on People",IF(OR(NOT(ISNUMBER($B125)),NOT(ISNUMBER($C125)),NOT(ISNUMBER($D125))),"△ From, To or days missing",IF(OR(WEEKDAY($B125,2)&lt;&gt;1,WEEKDAY($C125,2)&lt;&gt;1,$C125&lt;$B125,$D125&lt;0,$D125&gt;7),"△ Not a Monday, To before From, or days not 0 to 7","○ Clear"))))</f>
        <v/>
      </c>
      <c r="S125" s="31">
        <f>IF(LEFT($E125,1)="△",1,0)</f>
        <v/>
      </c>
      <c r="BN125" s="31">
        <f>IF(IFERROR(INDEX(Register!$A$6:$A$305,ROW()-5),"")="",0,SUMIF($A$139:$A$288,IFERROR(INDEX(Register!$A$6:$A$305,ROW()-5),""),$Z$139:$Z$288))</f>
        <v/>
      </c>
      <c r="BO125" s="31">
        <f>IF(OR(IFERROR(INDEX(Register!$A$6:$A$305,ROW()-5),"")="",SUM($Z$139:$Z$288)=0),0,IF(AND(IFERROR(INDEX(Register!$B$6:$B$305,ROW()-5),"")="Project",IFERROR(INDEX(Register!$D$6:$D$305,ROW()-5),"")="Active",IFERROR(INDEX(Register!$Z$6:$Z$305,ROW()-5),"")=1,$BN125=0),1,0))</f>
        <v/>
      </c>
      <c r="BP125" s="31">
        <f>IF(AND(IFERROR(INDEX(Register!$A$6:$A$305,ROW()-5),"")&lt;&gt;"",IFERROR(INDEX(Register!$D$6:$D$305,ROW()-5),"")="Proposed"),$BN125,0)</f>
        <v/>
      </c>
    </row>
    <row r="126">
      <c r="A126" s="29" t="n"/>
      <c r="B126" s="53" t="n"/>
      <c r="C126" s="53" t="n"/>
      <c r="D126" s="48" t="n"/>
      <c r="E126" s="31">
        <f>IF(COUNTA($A126:$D126)=0,"",IF(OR($A126="",AND($A126&lt;&gt;"Everyone",COUNTIF($A$63:$A$102,$A126)=0)),"△ Person not on People",IF(OR(NOT(ISNUMBER($B126)),NOT(ISNUMBER($C126)),NOT(ISNUMBER($D126))),"△ From, To or days missing",IF(OR(WEEKDAY($B126,2)&lt;&gt;1,WEEKDAY($C126,2)&lt;&gt;1,$C126&lt;$B126,$D126&lt;0,$D126&gt;7),"△ Not a Monday, To before From, or days not 0 to 7","○ Clear"))))</f>
        <v/>
      </c>
      <c r="S126" s="31">
        <f>IF(LEFT($E126,1)="△",1,0)</f>
        <v/>
      </c>
      <c r="BN126" s="31">
        <f>IF(IFERROR(INDEX(Register!$A$6:$A$305,ROW()-5),"")="",0,SUMIF($A$139:$A$288,IFERROR(INDEX(Register!$A$6:$A$305,ROW()-5),""),$Z$139:$Z$288))</f>
        <v/>
      </c>
      <c r="BO126" s="31">
        <f>IF(OR(IFERROR(INDEX(Register!$A$6:$A$305,ROW()-5),"")="",SUM($Z$139:$Z$288)=0),0,IF(AND(IFERROR(INDEX(Register!$B$6:$B$305,ROW()-5),"")="Project",IFERROR(INDEX(Register!$D$6:$D$305,ROW()-5),"")="Active",IFERROR(INDEX(Register!$Z$6:$Z$305,ROW()-5),"")=1,$BN126=0),1,0))</f>
        <v/>
      </c>
      <c r="BP126" s="31">
        <f>IF(AND(IFERROR(INDEX(Register!$A$6:$A$305,ROW()-5),"")&lt;&gt;"",IFERROR(INDEX(Register!$D$6:$D$305,ROW()-5),"")="Proposed"),$BN126,0)</f>
        <v/>
      </c>
    </row>
    <row r="127">
      <c r="A127" s="29" t="n"/>
      <c r="B127" s="53" t="n"/>
      <c r="C127" s="53" t="n"/>
      <c r="D127" s="48" t="n"/>
      <c r="E127" s="31">
        <f>IF(COUNTA($A127:$D127)=0,"",IF(OR($A127="",AND($A127&lt;&gt;"Everyone",COUNTIF($A$63:$A$102,$A127)=0)),"△ Person not on People",IF(OR(NOT(ISNUMBER($B127)),NOT(ISNUMBER($C127)),NOT(ISNUMBER($D127))),"△ From, To or days missing",IF(OR(WEEKDAY($B127,2)&lt;&gt;1,WEEKDAY($C127,2)&lt;&gt;1,$C127&lt;$B127,$D127&lt;0,$D127&gt;7),"△ Not a Monday, To before From, or days not 0 to 7","○ Clear"))))</f>
        <v/>
      </c>
      <c r="S127" s="31">
        <f>IF(LEFT($E127,1)="△",1,0)</f>
        <v/>
      </c>
      <c r="BN127" s="31">
        <f>IF(IFERROR(INDEX(Register!$A$6:$A$305,ROW()-5),"")="",0,SUMIF($A$139:$A$288,IFERROR(INDEX(Register!$A$6:$A$305,ROW()-5),""),$Z$139:$Z$288))</f>
        <v/>
      </c>
      <c r="BO127" s="31">
        <f>IF(OR(IFERROR(INDEX(Register!$A$6:$A$305,ROW()-5),"")="",SUM($Z$139:$Z$288)=0),0,IF(AND(IFERROR(INDEX(Register!$B$6:$B$305,ROW()-5),"")="Project",IFERROR(INDEX(Register!$D$6:$D$305,ROW()-5),"")="Active",IFERROR(INDEX(Register!$Z$6:$Z$305,ROW()-5),"")=1,$BN127=0),1,0))</f>
        <v/>
      </c>
      <c r="BP127" s="31">
        <f>IF(AND(IFERROR(INDEX(Register!$A$6:$A$305,ROW()-5),"")&lt;&gt;"",IFERROR(INDEX(Register!$D$6:$D$305,ROW()-5),"")="Proposed"),$BN127,0)</f>
        <v/>
      </c>
    </row>
    <row r="128">
      <c r="A128" s="29" t="n"/>
      <c r="B128" s="53" t="n"/>
      <c r="C128" s="53" t="n"/>
      <c r="D128" s="48" t="n"/>
      <c r="E128" s="31">
        <f>IF(COUNTA($A128:$D128)=0,"",IF(OR($A128="",AND($A128&lt;&gt;"Everyone",COUNTIF($A$63:$A$102,$A128)=0)),"△ Person not on People",IF(OR(NOT(ISNUMBER($B128)),NOT(ISNUMBER($C128)),NOT(ISNUMBER($D128))),"△ From, To or days missing",IF(OR(WEEKDAY($B128,2)&lt;&gt;1,WEEKDAY($C128,2)&lt;&gt;1,$C128&lt;$B128,$D128&lt;0,$D128&gt;7),"△ Not a Monday, To before From, or days not 0 to 7","○ Clear"))))</f>
        <v/>
      </c>
      <c r="S128" s="31">
        <f>IF(LEFT($E128,1)="△",1,0)</f>
        <v/>
      </c>
      <c r="BN128" s="31">
        <f>IF(IFERROR(INDEX(Register!$A$6:$A$305,ROW()-5),"")="",0,SUMIF($A$139:$A$288,IFERROR(INDEX(Register!$A$6:$A$305,ROW()-5),""),$Z$139:$Z$288))</f>
        <v/>
      </c>
      <c r="BO128" s="31">
        <f>IF(OR(IFERROR(INDEX(Register!$A$6:$A$305,ROW()-5),"")="",SUM($Z$139:$Z$288)=0),0,IF(AND(IFERROR(INDEX(Register!$B$6:$B$305,ROW()-5),"")="Project",IFERROR(INDEX(Register!$D$6:$D$305,ROW()-5),"")="Active",IFERROR(INDEX(Register!$Z$6:$Z$305,ROW()-5),"")=1,$BN128=0),1,0))</f>
        <v/>
      </c>
      <c r="BP128" s="31">
        <f>IF(AND(IFERROR(INDEX(Register!$A$6:$A$305,ROW()-5),"")&lt;&gt;"",IFERROR(INDEX(Register!$D$6:$D$305,ROW()-5),"")="Proposed"),$BN128,0)</f>
        <v/>
      </c>
    </row>
    <row r="129">
      <c r="A129" s="29" t="n"/>
      <c r="B129" s="53" t="n"/>
      <c r="C129" s="53" t="n"/>
      <c r="D129" s="48" t="n"/>
      <c r="E129" s="31">
        <f>IF(COUNTA($A129:$D129)=0,"",IF(OR($A129="",AND($A129&lt;&gt;"Everyone",COUNTIF($A$63:$A$102,$A129)=0)),"△ Person not on People",IF(OR(NOT(ISNUMBER($B129)),NOT(ISNUMBER($C129)),NOT(ISNUMBER($D129))),"△ From, To or days missing",IF(OR(WEEKDAY($B129,2)&lt;&gt;1,WEEKDAY($C129,2)&lt;&gt;1,$C129&lt;$B129,$D129&lt;0,$D129&gt;7),"△ Not a Monday, To before From, or days not 0 to 7","○ Clear"))))</f>
        <v/>
      </c>
      <c r="S129" s="31">
        <f>IF(LEFT($E129,1)="△",1,0)</f>
        <v/>
      </c>
      <c r="BN129" s="31">
        <f>IF(IFERROR(INDEX(Register!$A$6:$A$305,ROW()-5),"")="",0,SUMIF($A$139:$A$288,IFERROR(INDEX(Register!$A$6:$A$305,ROW()-5),""),$Z$139:$Z$288))</f>
        <v/>
      </c>
      <c r="BO129" s="31">
        <f>IF(OR(IFERROR(INDEX(Register!$A$6:$A$305,ROW()-5),"")="",SUM($Z$139:$Z$288)=0),0,IF(AND(IFERROR(INDEX(Register!$B$6:$B$305,ROW()-5),"")="Project",IFERROR(INDEX(Register!$D$6:$D$305,ROW()-5),"")="Active",IFERROR(INDEX(Register!$Z$6:$Z$305,ROW()-5),"")=1,$BN129=0),1,0))</f>
        <v/>
      </c>
      <c r="BP129" s="31">
        <f>IF(AND(IFERROR(INDEX(Register!$A$6:$A$305,ROW()-5),"")&lt;&gt;"",IFERROR(INDEX(Register!$D$6:$D$305,ROW()-5),"")="Proposed"),$BN129,0)</f>
        <v/>
      </c>
    </row>
    <row r="130">
      <c r="A130" s="29" t="n"/>
      <c r="B130" s="53" t="n"/>
      <c r="C130" s="53" t="n"/>
      <c r="D130" s="48" t="n"/>
      <c r="E130" s="31">
        <f>IF(COUNTA($A130:$D130)=0,"",IF(OR($A130="",AND($A130&lt;&gt;"Everyone",COUNTIF($A$63:$A$102,$A130)=0)),"△ Person not on People",IF(OR(NOT(ISNUMBER($B130)),NOT(ISNUMBER($C130)),NOT(ISNUMBER($D130))),"△ From, To or days missing",IF(OR(WEEKDAY($B130,2)&lt;&gt;1,WEEKDAY($C130,2)&lt;&gt;1,$C130&lt;$B130,$D130&lt;0,$D130&gt;7),"△ Not a Monday, To before From, or days not 0 to 7","○ Clear"))))</f>
        <v/>
      </c>
      <c r="S130" s="31">
        <f>IF(LEFT($E130,1)="△",1,0)</f>
        <v/>
      </c>
      <c r="BN130" s="31">
        <f>IF(IFERROR(INDEX(Register!$A$6:$A$305,ROW()-5),"")="",0,SUMIF($A$139:$A$288,IFERROR(INDEX(Register!$A$6:$A$305,ROW()-5),""),$Z$139:$Z$288))</f>
        <v/>
      </c>
      <c r="BO130" s="31">
        <f>IF(OR(IFERROR(INDEX(Register!$A$6:$A$305,ROW()-5),"")="",SUM($Z$139:$Z$288)=0),0,IF(AND(IFERROR(INDEX(Register!$B$6:$B$305,ROW()-5),"")="Project",IFERROR(INDEX(Register!$D$6:$D$305,ROW()-5),"")="Active",IFERROR(INDEX(Register!$Z$6:$Z$305,ROW()-5),"")=1,$BN130=0),1,0))</f>
        <v/>
      </c>
      <c r="BP130" s="31">
        <f>IF(AND(IFERROR(INDEX(Register!$A$6:$A$305,ROW()-5),"")&lt;&gt;"",IFERROR(INDEX(Register!$D$6:$D$305,ROW()-5),"")="Proposed"),$BN130,0)</f>
        <v/>
      </c>
    </row>
    <row r="131">
      <c r="A131" s="29" t="n"/>
      <c r="B131" s="53" t="n"/>
      <c r="C131" s="53" t="n"/>
      <c r="D131" s="48" t="n"/>
      <c r="E131" s="31">
        <f>IF(COUNTA($A131:$D131)=0,"",IF(OR($A131="",AND($A131&lt;&gt;"Everyone",COUNTIF($A$63:$A$102,$A131)=0)),"△ Person not on People",IF(OR(NOT(ISNUMBER($B131)),NOT(ISNUMBER($C131)),NOT(ISNUMBER($D131))),"△ From, To or days missing",IF(OR(WEEKDAY($B131,2)&lt;&gt;1,WEEKDAY($C131,2)&lt;&gt;1,$C131&lt;$B131,$D131&lt;0,$D131&gt;7),"△ Not a Monday, To before From, or days not 0 to 7","○ Clear"))))</f>
        <v/>
      </c>
      <c r="S131" s="31">
        <f>IF(LEFT($E131,1)="△",1,0)</f>
        <v/>
      </c>
      <c r="BN131" s="31">
        <f>IF(IFERROR(INDEX(Register!$A$6:$A$305,ROW()-5),"")="",0,SUMIF($A$139:$A$288,IFERROR(INDEX(Register!$A$6:$A$305,ROW()-5),""),$Z$139:$Z$288))</f>
        <v/>
      </c>
      <c r="BO131" s="31">
        <f>IF(OR(IFERROR(INDEX(Register!$A$6:$A$305,ROW()-5),"")="",SUM($Z$139:$Z$288)=0),0,IF(AND(IFERROR(INDEX(Register!$B$6:$B$305,ROW()-5),"")="Project",IFERROR(INDEX(Register!$D$6:$D$305,ROW()-5),"")="Active",IFERROR(INDEX(Register!$Z$6:$Z$305,ROW()-5),"")=1,$BN131=0),1,0))</f>
        <v/>
      </c>
      <c r="BP131" s="31">
        <f>IF(AND(IFERROR(INDEX(Register!$A$6:$A$305,ROW()-5),"")&lt;&gt;"",IFERROR(INDEX(Register!$D$6:$D$305,ROW()-5),"")="Proposed"),$BN131,0)</f>
        <v/>
      </c>
    </row>
    <row r="132">
      <c r="A132" s="29" t="n"/>
      <c r="B132" s="53" t="n"/>
      <c r="C132" s="53" t="n"/>
      <c r="D132" s="48" t="n"/>
      <c r="E132" s="31">
        <f>IF(COUNTA($A132:$D132)=0,"",IF(OR($A132="",AND($A132&lt;&gt;"Everyone",COUNTIF($A$63:$A$102,$A132)=0)),"△ Person not on People",IF(OR(NOT(ISNUMBER($B132)),NOT(ISNUMBER($C132)),NOT(ISNUMBER($D132))),"△ From, To or days missing",IF(OR(WEEKDAY($B132,2)&lt;&gt;1,WEEKDAY($C132,2)&lt;&gt;1,$C132&lt;$B132,$D132&lt;0,$D132&gt;7),"△ Not a Monday, To before From, or days not 0 to 7","○ Clear"))))</f>
        <v/>
      </c>
      <c r="S132" s="31">
        <f>IF(LEFT($E132,1)="△",1,0)</f>
        <v/>
      </c>
      <c r="BN132" s="31">
        <f>IF(IFERROR(INDEX(Register!$A$6:$A$305,ROW()-5),"")="",0,SUMIF($A$139:$A$288,IFERROR(INDEX(Register!$A$6:$A$305,ROW()-5),""),$Z$139:$Z$288))</f>
        <v/>
      </c>
      <c r="BO132" s="31">
        <f>IF(OR(IFERROR(INDEX(Register!$A$6:$A$305,ROW()-5),"")="",SUM($Z$139:$Z$288)=0),0,IF(AND(IFERROR(INDEX(Register!$B$6:$B$305,ROW()-5),"")="Project",IFERROR(INDEX(Register!$D$6:$D$305,ROW()-5),"")="Active",IFERROR(INDEX(Register!$Z$6:$Z$305,ROW()-5),"")=1,$BN132=0),1,0))</f>
        <v/>
      </c>
      <c r="BP132" s="31">
        <f>IF(AND(IFERROR(INDEX(Register!$A$6:$A$305,ROW()-5),"")&lt;&gt;"",IFERROR(INDEX(Register!$D$6:$D$305,ROW()-5),"")="Proposed"),$BN132,0)</f>
        <v/>
      </c>
    </row>
    <row r="133">
      <c r="A133" s="29" t="n"/>
      <c r="B133" s="53" t="n"/>
      <c r="C133" s="53" t="n"/>
      <c r="D133" s="48" t="n"/>
      <c r="E133" s="31">
        <f>IF(COUNTA($A133:$D133)=0,"",IF(OR($A133="",AND($A133&lt;&gt;"Everyone",COUNTIF($A$63:$A$102,$A133)=0)),"△ Person not on People",IF(OR(NOT(ISNUMBER($B133)),NOT(ISNUMBER($C133)),NOT(ISNUMBER($D133))),"△ From, To or days missing",IF(OR(WEEKDAY($B133,2)&lt;&gt;1,WEEKDAY($C133,2)&lt;&gt;1,$C133&lt;$B133,$D133&lt;0,$D133&gt;7),"△ Not a Monday, To before From, or days not 0 to 7","○ Clear"))))</f>
        <v/>
      </c>
      <c r="S133" s="31">
        <f>IF(LEFT($E133,1)="△",1,0)</f>
        <v/>
      </c>
      <c r="BN133" s="31">
        <f>IF(IFERROR(INDEX(Register!$A$6:$A$305,ROW()-5),"")="",0,SUMIF($A$139:$A$288,IFERROR(INDEX(Register!$A$6:$A$305,ROW()-5),""),$Z$139:$Z$288))</f>
        <v/>
      </c>
      <c r="BO133" s="31">
        <f>IF(OR(IFERROR(INDEX(Register!$A$6:$A$305,ROW()-5),"")="",SUM($Z$139:$Z$288)=0),0,IF(AND(IFERROR(INDEX(Register!$B$6:$B$305,ROW()-5),"")="Project",IFERROR(INDEX(Register!$D$6:$D$305,ROW()-5),"")="Active",IFERROR(INDEX(Register!$Z$6:$Z$305,ROW()-5),"")=1,$BN133=0),1,0))</f>
        <v/>
      </c>
      <c r="BP133" s="31">
        <f>IF(AND(IFERROR(INDEX(Register!$A$6:$A$305,ROW()-5),"")&lt;&gt;"",IFERROR(INDEX(Register!$D$6:$D$305,ROW()-5),"")="Proposed"),$BN133,0)</f>
        <v/>
      </c>
    </row>
    <row r="134">
      <c r="A134" s="29" t="n"/>
      <c r="B134" s="53" t="n"/>
      <c r="C134" s="53" t="n"/>
      <c r="D134" s="48" t="n"/>
      <c r="E134" s="31">
        <f>IF(COUNTA($A134:$D134)=0,"",IF(OR($A134="",AND($A134&lt;&gt;"Everyone",COUNTIF($A$63:$A$102,$A134)=0)),"△ Person not on People",IF(OR(NOT(ISNUMBER($B134)),NOT(ISNUMBER($C134)),NOT(ISNUMBER($D134))),"△ From, To or days missing",IF(OR(WEEKDAY($B134,2)&lt;&gt;1,WEEKDAY($C134,2)&lt;&gt;1,$C134&lt;$B134,$D134&lt;0,$D134&gt;7),"△ Not a Monday, To before From, or days not 0 to 7","○ Clear"))))</f>
        <v/>
      </c>
      <c r="S134" s="31">
        <f>IF(LEFT($E134,1)="△",1,0)</f>
        <v/>
      </c>
      <c r="BN134" s="31">
        <f>IF(IFERROR(INDEX(Register!$A$6:$A$305,ROW()-5),"")="",0,SUMIF($A$139:$A$288,IFERROR(INDEX(Register!$A$6:$A$305,ROW()-5),""),$Z$139:$Z$288))</f>
        <v/>
      </c>
      <c r="BO134" s="31">
        <f>IF(OR(IFERROR(INDEX(Register!$A$6:$A$305,ROW()-5),"")="",SUM($Z$139:$Z$288)=0),0,IF(AND(IFERROR(INDEX(Register!$B$6:$B$305,ROW()-5),"")="Project",IFERROR(INDEX(Register!$D$6:$D$305,ROW()-5),"")="Active",IFERROR(INDEX(Register!$Z$6:$Z$305,ROW()-5),"")=1,$BN134=0),1,0))</f>
        <v/>
      </c>
      <c r="BP134" s="31">
        <f>IF(AND(IFERROR(INDEX(Register!$A$6:$A$305,ROW()-5),"")&lt;&gt;"",IFERROR(INDEX(Register!$D$6:$D$305,ROW()-5),"")="Proposed"),$BN134,0)</f>
        <v/>
      </c>
    </row>
    <row r="135">
      <c r="A135" s="29" t="n"/>
      <c r="B135" s="53" t="n"/>
      <c r="C135" s="53" t="n"/>
      <c r="D135" s="48" t="n"/>
      <c r="E135" s="31">
        <f>IF(COUNTA($A135:$D135)=0,"",IF(OR($A135="",AND($A135&lt;&gt;"Everyone",COUNTIF($A$63:$A$102,$A135)=0)),"△ Person not on People",IF(OR(NOT(ISNUMBER($B135)),NOT(ISNUMBER($C135)),NOT(ISNUMBER($D135))),"△ From, To or days missing",IF(OR(WEEKDAY($B135,2)&lt;&gt;1,WEEKDAY($C135,2)&lt;&gt;1,$C135&lt;$B135,$D135&lt;0,$D135&gt;7),"△ Not a Monday, To before From, or days not 0 to 7","○ Clear"))))</f>
        <v/>
      </c>
      <c r="S135" s="31">
        <f>IF(LEFT($E135,1)="△",1,0)</f>
        <v/>
      </c>
      <c r="BN135" s="31">
        <f>IF(IFERROR(INDEX(Register!$A$6:$A$305,ROW()-5),"")="",0,SUMIF($A$139:$A$288,IFERROR(INDEX(Register!$A$6:$A$305,ROW()-5),""),$Z$139:$Z$288))</f>
        <v/>
      </c>
      <c r="BO135" s="31">
        <f>IF(OR(IFERROR(INDEX(Register!$A$6:$A$305,ROW()-5),"")="",SUM($Z$139:$Z$288)=0),0,IF(AND(IFERROR(INDEX(Register!$B$6:$B$305,ROW()-5),"")="Project",IFERROR(INDEX(Register!$D$6:$D$305,ROW()-5),"")="Active",IFERROR(INDEX(Register!$Z$6:$Z$305,ROW()-5),"")=1,$BN135=0),1,0))</f>
        <v/>
      </c>
      <c r="BP135" s="31">
        <f>IF(AND(IFERROR(INDEX(Register!$A$6:$A$305,ROW()-5),"")&lt;&gt;"",IFERROR(INDEX(Register!$D$6:$D$305,ROW()-5),"")="Proposed"),$BN135,0)</f>
        <v/>
      </c>
    </row>
    <row r="136" ht="6" customHeight="1">
      <c r="BN136" s="31">
        <f>IF(IFERROR(INDEX(Register!$A$6:$A$305,ROW()-5),"")="",0,SUMIF($A$139:$A$288,IFERROR(INDEX(Register!$A$6:$A$305,ROW()-5),""),$Z$139:$Z$288))</f>
        <v/>
      </c>
      <c r="BO136" s="31">
        <f>IF(OR(IFERROR(INDEX(Register!$A$6:$A$305,ROW()-5),"")="",SUM($Z$139:$Z$288)=0),0,IF(AND(IFERROR(INDEX(Register!$B$6:$B$305,ROW()-5),"")="Project",IFERROR(INDEX(Register!$D$6:$D$305,ROW()-5),"")="Active",IFERROR(INDEX(Register!$Z$6:$Z$305,ROW()-5),"")=1,$BN136=0),1,0))</f>
        <v/>
      </c>
      <c r="BP136" s="31">
        <f>IF(AND(IFERROR(INDEX(Register!$A$6:$A$305,ROW()-5),"")&lt;&gt;"",IFERROR(INDEX(Register!$D$6:$D$305,ROW()-5),"")="Proposed"),$BN136,0)</f>
        <v/>
      </c>
    </row>
    <row r="137" ht="16" customHeight="1">
      <c r="A137" s="11" t="inlineStr">
        <is>
          <t>Bookings. One line per person, Register row and run of weeks. A line on a Proposed row is pencilled in and counts against nobody.</t>
        </is>
      </c>
      <c r="BN137" s="31">
        <f>IF(IFERROR(INDEX(Register!$A$6:$A$305,ROW()-5),"")="",0,SUMIF($A$139:$A$288,IFERROR(INDEX(Register!$A$6:$A$305,ROW()-5),""),$Z$139:$Z$288))</f>
        <v/>
      </c>
      <c r="BO137" s="31">
        <f>IF(OR(IFERROR(INDEX(Register!$A$6:$A$305,ROW()-5),"")="",SUM($Z$139:$Z$288)=0),0,IF(AND(IFERROR(INDEX(Register!$B$6:$B$305,ROW()-5),"")="Project",IFERROR(INDEX(Register!$D$6:$D$305,ROW()-5),"")="Active",IFERROR(INDEX(Register!$Z$6:$Z$305,ROW()-5),"")=1,$BN137=0),1,0))</f>
        <v/>
      </c>
      <c r="BP137" s="31">
        <f>IF(AND(IFERROR(INDEX(Register!$A$6:$A$305,ROW()-5),"")&lt;&gt;"",IFERROR(INDEX(Register!$D$6:$D$305,ROW()-5),"")="Proposed"),$BN137,0)</f>
        <v/>
      </c>
    </row>
    <row r="138" ht="30" customHeight="1">
      <c r="A138" s="25" t="inlineStr">
        <is>
          <t>Register row</t>
        </is>
      </c>
      <c r="B138" s="25" t="inlineStr">
        <is>
          <t>Person</t>
        </is>
      </c>
      <c r="C138" s="25" t="inlineStr">
        <is>
          <t>From</t>
        </is>
      </c>
      <c r="D138" s="25" t="inlineStr">
        <is>
          <t>To</t>
        </is>
      </c>
      <c r="E138" s="25" t="inlineStr">
        <is>
          <t>Days a week</t>
        </is>
      </c>
      <c r="F138" s="28" t="inlineStr">
        <is>
          <t>Line check</t>
        </is>
      </c>
      <c r="S138" s="28" t="inlineStr">
        <is>
          <t>Capacity helper</t>
        </is>
      </c>
      <c r="T138" s="28" t="inlineStr">
        <is>
          <t>Capacity helper</t>
        </is>
      </c>
      <c r="U138" s="28" t="inlineStr">
        <is>
          <t>Capacity helper</t>
        </is>
      </c>
      <c r="V138" s="28" t="inlineStr">
        <is>
          <t>Capacity helper</t>
        </is>
      </c>
      <c r="W138" s="28" t="inlineStr">
        <is>
          <t>Capacity helper</t>
        </is>
      </c>
      <c r="X138" s="28" t="inlineStr">
        <is>
          <t>Capacity helper</t>
        </is>
      </c>
      <c r="Y138" s="28" t="inlineStr">
        <is>
          <t>Capacity helper</t>
        </is>
      </c>
      <c r="Z138" s="28" t="inlineStr">
        <is>
          <t>Capacity helper</t>
        </is>
      </c>
      <c r="AA138" s="28" t="inlineStr">
        <is>
          <t>Capacity helper</t>
        </is>
      </c>
      <c r="BN138" s="31">
        <f>IF(IFERROR(INDEX(Register!$A$6:$A$305,ROW()-5),"")="",0,SUMIF($A$139:$A$288,IFERROR(INDEX(Register!$A$6:$A$305,ROW()-5),""),$Z$139:$Z$288))</f>
        <v/>
      </c>
      <c r="BO138" s="31">
        <f>IF(OR(IFERROR(INDEX(Register!$A$6:$A$305,ROW()-5),"")="",SUM($Z$139:$Z$288)=0),0,IF(AND(IFERROR(INDEX(Register!$B$6:$B$305,ROW()-5),"")="Project",IFERROR(INDEX(Register!$D$6:$D$305,ROW()-5),"")="Active",IFERROR(INDEX(Register!$Z$6:$Z$305,ROW()-5),"")=1,$BN138=0),1,0))</f>
        <v/>
      </c>
      <c r="BP138" s="31">
        <f>IF(AND(IFERROR(INDEX(Register!$A$6:$A$305,ROW()-5),"")&lt;&gt;"",IFERROR(INDEX(Register!$D$6:$D$305,ROW()-5),"")="Proposed"),$BN138,0)</f>
        <v/>
      </c>
    </row>
    <row r="139">
      <c r="A139" s="29" t="n"/>
      <c r="B139" s="29" t="n"/>
      <c r="C139" s="53" t="n"/>
      <c r="D139" s="53" t="n"/>
      <c r="E139" s="48" t="n"/>
      <c r="F139" s="31">
        <f>IF($S139=0,"",IF($V139=0,"△ Person not on People",IF($T139=0,"△ Row not on the Register",IF($U139=0,"△ Register row has no Status",IF($AA139=0,"△ From, To or days missing or not valid",IF($U139=3,"△ Row is Completed or Terminated. Clear the line.",IF($X139=1,"△ Booked past the forecast date",IF($U139=2,"○ Pencilled in","○ Clear"))))))))</f>
        <v/>
      </c>
      <c r="S139" s="31">
        <f>IF(COUNTA($A139:$E139)&gt;0,1,0)</f>
        <v/>
      </c>
      <c r="T139" s="31">
        <f>IF($A139="",0,IFERROR(MATCH($A139,Register!$A$6:$A$305,0),0))</f>
        <v/>
      </c>
      <c r="U139" s="31">
        <f>IF($T139=0,0,IF(INDEX(Register!$Q$6:$Q$305,$T139)=1,1,IF(INDEX(Register!$D$6:$D$305,$T139)="Proposed",2,IF(OR(INDEX(Register!$D$6:$D$305,$T139)="Completed",INDEX(Register!$D$6:$D$305,$T139)="Terminated"),3,0))))</f>
        <v/>
      </c>
      <c r="V139" s="31">
        <f>IF($B139="",0,IF(OR($B139="Outside team",COUNTIF($A$63:$A$102,$B139)&gt;0),1,0))</f>
        <v/>
      </c>
      <c r="W139" s="31">
        <f>IF($S139=0,0,1-$Y139)</f>
        <v/>
      </c>
      <c r="X139" s="31">
        <f>IF(OR($Y139=0,$U139&lt;&gt;1,$D$17=""),0,IF(AND(INDEX(Register!$B$6:$B$305,$T139)="Project",N(INDEX(Register!$U$6:$U$305,$T139))&gt;0,$D139&gt;N(INDEX(Register!$U$6:$U$305,$T139))),1,0))</f>
        <v/>
      </c>
      <c r="Y139" s="31">
        <f>IF($S139=0,0,IF(AND($V139=1,$T139&gt;0,$U139&gt;0,$AA139=1),1,0))</f>
        <v/>
      </c>
      <c r="Z139" s="31">
        <f>IF(OR($Y139=0,$D$17=""),0,$E139*MAX(0,(MIN($D139,$P$17)-MAX($C139,$D$17))/7+1))</f>
        <v/>
      </c>
      <c r="AA139" s="31">
        <f>IF($S139=0,0,IF(AND(ISNUMBER($C139),ISNUMBER($D139),ISNUMBER($E139)),IF(AND(WEEKDAY($C139,2)=1,WEEKDAY($D139,2)=1,$D139&gt;=$C139,$E139&gt;=0,$E139&lt;=7),1,0),0))</f>
        <v/>
      </c>
      <c r="BN139" s="31">
        <f>IF(IFERROR(INDEX(Register!$A$6:$A$305,ROW()-5),"")="",0,SUMIF($A$139:$A$288,IFERROR(INDEX(Register!$A$6:$A$305,ROW()-5),""),$Z$139:$Z$288))</f>
        <v/>
      </c>
      <c r="BO139" s="31">
        <f>IF(OR(IFERROR(INDEX(Register!$A$6:$A$305,ROW()-5),"")="",SUM($Z$139:$Z$288)=0),0,IF(AND(IFERROR(INDEX(Register!$B$6:$B$305,ROW()-5),"")="Project",IFERROR(INDEX(Register!$D$6:$D$305,ROW()-5),"")="Active",IFERROR(INDEX(Register!$Z$6:$Z$305,ROW()-5),"")=1,$BN139=0),1,0))</f>
        <v/>
      </c>
      <c r="BP139" s="31">
        <f>IF(AND(IFERROR(INDEX(Register!$A$6:$A$305,ROW()-5),"")&lt;&gt;"",IFERROR(INDEX(Register!$D$6:$D$305,ROW()-5),"")="Proposed"),$BN139,0)</f>
        <v/>
      </c>
    </row>
    <row r="140">
      <c r="A140" s="29" t="n"/>
      <c r="B140" s="29" t="n"/>
      <c r="C140" s="53" t="n"/>
      <c r="D140" s="53" t="n"/>
      <c r="E140" s="48" t="n"/>
      <c r="F140" s="31">
        <f>IF($S140=0,"",IF($V140=0,"△ Person not on People",IF($T140=0,"△ Row not on the Register",IF($U140=0,"△ Register row has no Status",IF($AA140=0,"△ From, To or days missing or not valid",IF($U140=3,"△ Row is Completed or Terminated. Clear the line.",IF($X140=1,"△ Booked past the forecast date",IF($U140=2,"○ Pencilled in","○ Clear"))))))))</f>
        <v/>
      </c>
      <c r="S140" s="31">
        <f>IF(COUNTA($A140:$E140)&gt;0,1,0)</f>
        <v/>
      </c>
      <c r="T140" s="31">
        <f>IF($A140="",0,IFERROR(MATCH($A140,Register!$A$6:$A$305,0),0))</f>
        <v/>
      </c>
      <c r="U140" s="31">
        <f>IF($T140=0,0,IF(INDEX(Register!$Q$6:$Q$305,$T140)=1,1,IF(INDEX(Register!$D$6:$D$305,$T140)="Proposed",2,IF(OR(INDEX(Register!$D$6:$D$305,$T140)="Completed",INDEX(Register!$D$6:$D$305,$T140)="Terminated"),3,0))))</f>
        <v/>
      </c>
      <c r="V140" s="31">
        <f>IF($B140="",0,IF(OR($B140="Outside team",COUNTIF($A$63:$A$102,$B140)&gt;0),1,0))</f>
        <v/>
      </c>
      <c r="W140" s="31">
        <f>IF($S140=0,0,1-$Y140)</f>
        <v/>
      </c>
      <c r="X140" s="31">
        <f>IF(OR($Y140=0,$U140&lt;&gt;1,$D$17=""),0,IF(AND(INDEX(Register!$B$6:$B$305,$T140)="Project",N(INDEX(Register!$U$6:$U$305,$T140))&gt;0,$D140&gt;N(INDEX(Register!$U$6:$U$305,$T140))),1,0))</f>
        <v/>
      </c>
      <c r="Y140" s="31">
        <f>IF($S140=0,0,IF(AND($V140=1,$T140&gt;0,$U140&gt;0,$AA140=1),1,0))</f>
        <v/>
      </c>
      <c r="Z140" s="31">
        <f>IF(OR($Y140=0,$D$17=""),0,$E140*MAX(0,(MIN($D140,$P$17)-MAX($C140,$D$17))/7+1))</f>
        <v/>
      </c>
      <c r="AA140" s="31">
        <f>IF($S140=0,0,IF(AND(ISNUMBER($C140),ISNUMBER($D140),ISNUMBER($E140)),IF(AND(WEEKDAY($C140,2)=1,WEEKDAY($D140,2)=1,$D140&gt;=$C140,$E140&gt;=0,$E140&lt;=7),1,0),0))</f>
        <v/>
      </c>
      <c r="BN140" s="31">
        <f>IF(IFERROR(INDEX(Register!$A$6:$A$305,ROW()-5),"")="",0,SUMIF($A$139:$A$288,IFERROR(INDEX(Register!$A$6:$A$305,ROW()-5),""),$Z$139:$Z$288))</f>
        <v/>
      </c>
      <c r="BO140" s="31">
        <f>IF(OR(IFERROR(INDEX(Register!$A$6:$A$305,ROW()-5),"")="",SUM($Z$139:$Z$288)=0),0,IF(AND(IFERROR(INDEX(Register!$B$6:$B$305,ROW()-5),"")="Project",IFERROR(INDEX(Register!$D$6:$D$305,ROW()-5),"")="Active",IFERROR(INDEX(Register!$Z$6:$Z$305,ROW()-5),"")=1,$BN140=0),1,0))</f>
        <v/>
      </c>
      <c r="BP140" s="31">
        <f>IF(AND(IFERROR(INDEX(Register!$A$6:$A$305,ROW()-5),"")&lt;&gt;"",IFERROR(INDEX(Register!$D$6:$D$305,ROW()-5),"")="Proposed"),$BN140,0)</f>
        <v/>
      </c>
    </row>
    <row r="141">
      <c r="A141" s="29" t="n"/>
      <c r="B141" s="29" t="n"/>
      <c r="C141" s="53" t="n"/>
      <c r="D141" s="53" t="n"/>
      <c r="E141" s="48" t="n"/>
      <c r="F141" s="31">
        <f>IF($S141=0,"",IF($V141=0,"△ Person not on People",IF($T141=0,"△ Row not on the Register",IF($U141=0,"△ Register row has no Status",IF($AA141=0,"△ From, To or days missing or not valid",IF($U141=3,"△ Row is Completed or Terminated. Clear the line.",IF($X141=1,"△ Booked past the forecast date",IF($U141=2,"○ Pencilled in","○ Clear"))))))))</f>
        <v/>
      </c>
      <c r="S141" s="31">
        <f>IF(COUNTA($A141:$E141)&gt;0,1,0)</f>
        <v/>
      </c>
      <c r="T141" s="31">
        <f>IF($A141="",0,IFERROR(MATCH($A141,Register!$A$6:$A$305,0),0))</f>
        <v/>
      </c>
      <c r="U141" s="31">
        <f>IF($T141=0,0,IF(INDEX(Register!$Q$6:$Q$305,$T141)=1,1,IF(INDEX(Register!$D$6:$D$305,$T141)="Proposed",2,IF(OR(INDEX(Register!$D$6:$D$305,$T141)="Completed",INDEX(Register!$D$6:$D$305,$T141)="Terminated"),3,0))))</f>
        <v/>
      </c>
      <c r="V141" s="31">
        <f>IF($B141="",0,IF(OR($B141="Outside team",COUNTIF($A$63:$A$102,$B141)&gt;0),1,0))</f>
        <v/>
      </c>
      <c r="W141" s="31">
        <f>IF($S141=0,0,1-$Y141)</f>
        <v/>
      </c>
      <c r="X141" s="31">
        <f>IF(OR($Y141=0,$U141&lt;&gt;1,$D$17=""),0,IF(AND(INDEX(Register!$B$6:$B$305,$T141)="Project",N(INDEX(Register!$U$6:$U$305,$T141))&gt;0,$D141&gt;N(INDEX(Register!$U$6:$U$305,$T141))),1,0))</f>
        <v/>
      </c>
      <c r="Y141" s="31">
        <f>IF($S141=0,0,IF(AND($V141=1,$T141&gt;0,$U141&gt;0,$AA141=1),1,0))</f>
        <v/>
      </c>
      <c r="Z141" s="31">
        <f>IF(OR($Y141=0,$D$17=""),0,$E141*MAX(0,(MIN($D141,$P$17)-MAX($C141,$D$17))/7+1))</f>
        <v/>
      </c>
      <c r="AA141" s="31">
        <f>IF($S141=0,0,IF(AND(ISNUMBER($C141),ISNUMBER($D141),ISNUMBER($E141)),IF(AND(WEEKDAY($C141,2)=1,WEEKDAY($D141,2)=1,$D141&gt;=$C141,$E141&gt;=0,$E141&lt;=7),1,0),0))</f>
        <v/>
      </c>
      <c r="BN141" s="31">
        <f>IF(IFERROR(INDEX(Register!$A$6:$A$305,ROW()-5),"")="",0,SUMIF($A$139:$A$288,IFERROR(INDEX(Register!$A$6:$A$305,ROW()-5),""),$Z$139:$Z$288))</f>
        <v/>
      </c>
      <c r="BO141" s="31">
        <f>IF(OR(IFERROR(INDEX(Register!$A$6:$A$305,ROW()-5),"")="",SUM($Z$139:$Z$288)=0),0,IF(AND(IFERROR(INDEX(Register!$B$6:$B$305,ROW()-5),"")="Project",IFERROR(INDEX(Register!$D$6:$D$305,ROW()-5),"")="Active",IFERROR(INDEX(Register!$Z$6:$Z$305,ROW()-5),"")=1,$BN141=0),1,0))</f>
        <v/>
      </c>
      <c r="BP141" s="31">
        <f>IF(AND(IFERROR(INDEX(Register!$A$6:$A$305,ROW()-5),"")&lt;&gt;"",IFERROR(INDEX(Register!$D$6:$D$305,ROW()-5),"")="Proposed"),$BN141,0)</f>
        <v/>
      </c>
    </row>
    <row r="142">
      <c r="A142" s="29" t="n"/>
      <c r="B142" s="29" t="n"/>
      <c r="C142" s="53" t="n"/>
      <c r="D142" s="53" t="n"/>
      <c r="E142" s="48" t="n"/>
      <c r="F142" s="31">
        <f>IF($S142=0,"",IF($V142=0,"△ Person not on People",IF($T142=0,"△ Row not on the Register",IF($U142=0,"△ Register row has no Status",IF($AA142=0,"△ From, To or days missing or not valid",IF($U142=3,"△ Row is Completed or Terminated. Clear the line.",IF($X142=1,"△ Booked past the forecast date",IF($U142=2,"○ Pencilled in","○ Clear"))))))))</f>
        <v/>
      </c>
      <c r="S142" s="31">
        <f>IF(COUNTA($A142:$E142)&gt;0,1,0)</f>
        <v/>
      </c>
      <c r="T142" s="31">
        <f>IF($A142="",0,IFERROR(MATCH($A142,Register!$A$6:$A$305,0),0))</f>
        <v/>
      </c>
      <c r="U142" s="31">
        <f>IF($T142=0,0,IF(INDEX(Register!$Q$6:$Q$305,$T142)=1,1,IF(INDEX(Register!$D$6:$D$305,$T142)="Proposed",2,IF(OR(INDEX(Register!$D$6:$D$305,$T142)="Completed",INDEX(Register!$D$6:$D$305,$T142)="Terminated"),3,0))))</f>
        <v/>
      </c>
      <c r="V142" s="31">
        <f>IF($B142="",0,IF(OR($B142="Outside team",COUNTIF($A$63:$A$102,$B142)&gt;0),1,0))</f>
        <v/>
      </c>
      <c r="W142" s="31">
        <f>IF($S142=0,0,1-$Y142)</f>
        <v/>
      </c>
      <c r="X142" s="31">
        <f>IF(OR($Y142=0,$U142&lt;&gt;1,$D$17=""),0,IF(AND(INDEX(Register!$B$6:$B$305,$T142)="Project",N(INDEX(Register!$U$6:$U$305,$T142))&gt;0,$D142&gt;N(INDEX(Register!$U$6:$U$305,$T142))),1,0))</f>
        <v/>
      </c>
      <c r="Y142" s="31">
        <f>IF($S142=0,0,IF(AND($V142=1,$T142&gt;0,$U142&gt;0,$AA142=1),1,0))</f>
        <v/>
      </c>
      <c r="Z142" s="31">
        <f>IF(OR($Y142=0,$D$17=""),0,$E142*MAX(0,(MIN($D142,$P$17)-MAX($C142,$D$17))/7+1))</f>
        <v/>
      </c>
      <c r="AA142" s="31">
        <f>IF($S142=0,0,IF(AND(ISNUMBER($C142),ISNUMBER($D142),ISNUMBER($E142)),IF(AND(WEEKDAY($C142,2)=1,WEEKDAY($D142,2)=1,$D142&gt;=$C142,$E142&gt;=0,$E142&lt;=7),1,0),0))</f>
        <v/>
      </c>
      <c r="BN142" s="31">
        <f>IF(IFERROR(INDEX(Register!$A$6:$A$305,ROW()-5),"")="",0,SUMIF($A$139:$A$288,IFERROR(INDEX(Register!$A$6:$A$305,ROW()-5),""),$Z$139:$Z$288))</f>
        <v/>
      </c>
      <c r="BO142" s="31">
        <f>IF(OR(IFERROR(INDEX(Register!$A$6:$A$305,ROW()-5),"")="",SUM($Z$139:$Z$288)=0),0,IF(AND(IFERROR(INDEX(Register!$B$6:$B$305,ROW()-5),"")="Project",IFERROR(INDEX(Register!$D$6:$D$305,ROW()-5),"")="Active",IFERROR(INDEX(Register!$Z$6:$Z$305,ROW()-5),"")=1,$BN142=0),1,0))</f>
        <v/>
      </c>
      <c r="BP142" s="31">
        <f>IF(AND(IFERROR(INDEX(Register!$A$6:$A$305,ROW()-5),"")&lt;&gt;"",IFERROR(INDEX(Register!$D$6:$D$305,ROW()-5),"")="Proposed"),$BN142,0)</f>
        <v/>
      </c>
    </row>
    <row r="143">
      <c r="A143" s="29" t="n"/>
      <c r="B143" s="29" t="n"/>
      <c r="C143" s="53" t="n"/>
      <c r="D143" s="53" t="n"/>
      <c r="E143" s="48" t="n"/>
      <c r="F143" s="31">
        <f>IF($S143=0,"",IF($V143=0,"△ Person not on People",IF($T143=0,"△ Row not on the Register",IF($U143=0,"△ Register row has no Status",IF($AA143=0,"△ From, To or days missing or not valid",IF($U143=3,"△ Row is Completed or Terminated. Clear the line.",IF($X143=1,"△ Booked past the forecast date",IF($U143=2,"○ Pencilled in","○ Clear"))))))))</f>
        <v/>
      </c>
      <c r="S143" s="31">
        <f>IF(COUNTA($A143:$E143)&gt;0,1,0)</f>
        <v/>
      </c>
      <c r="T143" s="31">
        <f>IF($A143="",0,IFERROR(MATCH($A143,Register!$A$6:$A$305,0),0))</f>
        <v/>
      </c>
      <c r="U143" s="31">
        <f>IF($T143=0,0,IF(INDEX(Register!$Q$6:$Q$305,$T143)=1,1,IF(INDEX(Register!$D$6:$D$305,$T143)="Proposed",2,IF(OR(INDEX(Register!$D$6:$D$305,$T143)="Completed",INDEX(Register!$D$6:$D$305,$T143)="Terminated"),3,0))))</f>
        <v/>
      </c>
      <c r="V143" s="31">
        <f>IF($B143="",0,IF(OR($B143="Outside team",COUNTIF($A$63:$A$102,$B143)&gt;0),1,0))</f>
        <v/>
      </c>
      <c r="W143" s="31">
        <f>IF($S143=0,0,1-$Y143)</f>
        <v/>
      </c>
      <c r="X143" s="31">
        <f>IF(OR($Y143=0,$U143&lt;&gt;1,$D$17=""),0,IF(AND(INDEX(Register!$B$6:$B$305,$T143)="Project",N(INDEX(Register!$U$6:$U$305,$T143))&gt;0,$D143&gt;N(INDEX(Register!$U$6:$U$305,$T143))),1,0))</f>
        <v/>
      </c>
      <c r="Y143" s="31">
        <f>IF($S143=0,0,IF(AND($V143=1,$T143&gt;0,$U143&gt;0,$AA143=1),1,0))</f>
        <v/>
      </c>
      <c r="Z143" s="31">
        <f>IF(OR($Y143=0,$D$17=""),0,$E143*MAX(0,(MIN($D143,$P$17)-MAX($C143,$D$17))/7+1))</f>
        <v/>
      </c>
      <c r="AA143" s="31">
        <f>IF($S143=0,0,IF(AND(ISNUMBER($C143),ISNUMBER($D143),ISNUMBER($E143)),IF(AND(WEEKDAY($C143,2)=1,WEEKDAY($D143,2)=1,$D143&gt;=$C143,$E143&gt;=0,$E143&lt;=7),1,0),0))</f>
        <v/>
      </c>
      <c r="BN143" s="31">
        <f>IF(IFERROR(INDEX(Register!$A$6:$A$305,ROW()-5),"")="",0,SUMIF($A$139:$A$288,IFERROR(INDEX(Register!$A$6:$A$305,ROW()-5),""),$Z$139:$Z$288))</f>
        <v/>
      </c>
      <c r="BO143" s="31">
        <f>IF(OR(IFERROR(INDEX(Register!$A$6:$A$305,ROW()-5),"")="",SUM($Z$139:$Z$288)=0),0,IF(AND(IFERROR(INDEX(Register!$B$6:$B$305,ROW()-5),"")="Project",IFERROR(INDEX(Register!$D$6:$D$305,ROW()-5),"")="Active",IFERROR(INDEX(Register!$Z$6:$Z$305,ROW()-5),"")=1,$BN143=0),1,0))</f>
        <v/>
      </c>
      <c r="BP143" s="31">
        <f>IF(AND(IFERROR(INDEX(Register!$A$6:$A$305,ROW()-5),"")&lt;&gt;"",IFERROR(INDEX(Register!$D$6:$D$305,ROW()-5),"")="Proposed"),$BN143,0)</f>
        <v/>
      </c>
    </row>
    <row r="144">
      <c r="A144" s="29" t="n"/>
      <c r="B144" s="29" t="n"/>
      <c r="C144" s="53" t="n"/>
      <c r="D144" s="53" t="n"/>
      <c r="E144" s="48" t="n"/>
      <c r="F144" s="31">
        <f>IF($S144=0,"",IF($V144=0,"△ Person not on People",IF($T144=0,"△ Row not on the Register",IF($U144=0,"△ Register row has no Status",IF($AA144=0,"△ From, To or days missing or not valid",IF($U144=3,"△ Row is Completed or Terminated. Clear the line.",IF($X144=1,"△ Booked past the forecast date",IF($U144=2,"○ Pencilled in","○ Clear"))))))))</f>
        <v/>
      </c>
      <c r="S144" s="31">
        <f>IF(COUNTA($A144:$E144)&gt;0,1,0)</f>
        <v/>
      </c>
      <c r="T144" s="31">
        <f>IF($A144="",0,IFERROR(MATCH($A144,Register!$A$6:$A$305,0),0))</f>
        <v/>
      </c>
      <c r="U144" s="31">
        <f>IF($T144=0,0,IF(INDEX(Register!$Q$6:$Q$305,$T144)=1,1,IF(INDEX(Register!$D$6:$D$305,$T144)="Proposed",2,IF(OR(INDEX(Register!$D$6:$D$305,$T144)="Completed",INDEX(Register!$D$6:$D$305,$T144)="Terminated"),3,0))))</f>
        <v/>
      </c>
      <c r="V144" s="31">
        <f>IF($B144="",0,IF(OR($B144="Outside team",COUNTIF($A$63:$A$102,$B144)&gt;0),1,0))</f>
        <v/>
      </c>
      <c r="W144" s="31">
        <f>IF($S144=0,0,1-$Y144)</f>
        <v/>
      </c>
      <c r="X144" s="31">
        <f>IF(OR($Y144=0,$U144&lt;&gt;1,$D$17=""),0,IF(AND(INDEX(Register!$B$6:$B$305,$T144)="Project",N(INDEX(Register!$U$6:$U$305,$T144))&gt;0,$D144&gt;N(INDEX(Register!$U$6:$U$305,$T144))),1,0))</f>
        <v/>
      </c>
      <c r="Y144" s="31">
        <f>IF($S144=0,0,IF(AND($V144=1,$T144&gt;0,$U144&gt;0,$AA144=1),1,0))</f>
        <v/>
      </c>
      <c r="Z144" s="31">
        <f>IF(OR($Y144=0,$D$17=""),0,$E144*MAX(0,(MIN($D144,$P$17)-MAX($C144,$D$17))/7+1))</f>
        <v/>
      </c>
      <c r="AA144" s="31">
        <f>IF($S144=0,0,IF(AND(ISNUMBER($C144),ISNUMBER($D144),ISNUMBER($E144)),IF(AND(WEEKDAY($C144,2)=1,WEEKDAY($D144,2)=1,$D144&gt;=$C144,$E144&gt;=0,$E144&lt;=7),1,0),0))</f>
        <v/>
      </c>
      <c r="BN144" s="31">
        <f>IF(IFERROR(INDEX(Register!$A$6:$A$305,ROW()-5),"")="",0,SUMIF($A$139:$A$288,IFERROR(INDEX(Register!$A$6:$A$305,ROW()-5),""),$Z$139:$Z$288))</f>
        <v/>
      </c>
      <c r="BO144" s="31">
        <f>IF(OR(IFERROR(INDEX(Register!$A$6:$A$305,ROW()-5),"")="",SUM($Z$139:$Z$288)=0),0,IF(AND(IFERROR(INDEX(Register!$B$6:$B$305,ROW()-5),"")="Project",IFERROR(INDEX(Register!$D$6:$D$305,ROW()-5),"")="Active",IFERROR(INDEX(Register!$Z$6:$Z$305,ROW()-5),"")=1,$BN144=0),1,0))</f>
        <v/>
      </c>
      <c r="BP144" s="31">
        <f>IF(AND(IFERROR(INDEX(Register!$A$6:$A$305,ROW()-5),"")&lt;&gt;"",IFERROR(INDEX(Register!$D$6:$D$305,ROW()-5),"")="Proposed"),$BN144,0)</f>
        <v/>
      </c>
    </row>
    <row r="145">
      <c r="A145" s="29" t="n"/>
      <c r="B145" s="29" t="n"/>
      <c r="C145" s="53" t="n"/>
      <c r="D145" s="53" t="n"/>
      <c r="E145" s="48" t="n"/>
      <c r="F145" s="31">
        <f>IF($S145=0,"",IF($V145=0,"△ Person not on People",IF($T145=0,"△ Row not on the Register",IF($U145=0,"△ Register row has no Status",IF($AA145=0,"△ From, To or days missing or not valid",IF($U145=3,"△ Row is Completed or Terminated. Clear the line.",IF($X145=1,"△ Booked past the forecast date",IF($U145=2,"○ Pencilled in","○ Clear"))))))))</f>
        <v/>
      </c>
      <c r="S145" s="31">
        <f>IF(COUNTA($A145:$E145)&gt;0,1,0)</f>
        <v/>
      </c>
      <c r="T145" s="31">
        <f>IF($A145="",0,IFERROR(MATCH($A145,Register!$A$6:$A$305,0),0))</f>
        <v/>
      </c>
      <c r="U145" s="31">
        <f>IF($T145=0,0,IF(INDEX(Register!$Q$6:$Q$305,$T145)=1,1,IF(INDEX(Register!$D$6:$D$305,$T145)="Proposed",2,IF(OR(INDEX(Register!$D$6:$D$305,$T145)="Completed",INDEX(Register!$D$6:$D$305,$T145)="Terminated"),3,0))))</f>
        <v/>
      </c>
      <c r="V145" s="31">
        <f>IF($B145="",0,IF(OR($B145="Outside team",COUNTIF($A$63:$A$102,$B145)&gt;0),1,0))</f>
        <v/>
      </c>
      <c r="W145" s="31">
        <f>IF($S145=0,0,1-$Y145)</f>
        <v/>
      </c>
      <c r="X145" s="31">
        <f>IF(OR($Y145=0,$U145&lt;&gt;1,$D$17=""),0,IF(AND(INDEX(Register!$B$6:$B$305,$T145)="Project",N(INDEX(Register!$U$6:$U$305,$T145))&gt;0,$D145&gt;N(INDEX(Register!$U$6:$U$305,$T145))),1,0))</f>
        <v/>
      </c>
      <c r="Y145" s="31">
        <f>IF($S145=0,0,IF(AND($V145=1,$T145&gt;0,$U145&gt;0,$AA145=1),1,0))</f>
        <v/>
      </c>
      <c r="Z145" s="31">
        <f>IF(OR($Y145=0,$D$17=""),0,$E145*MAX(0,(MIN($D145,$P$17)-MAX($C145,$D$17))/7+1))</f>
        <v/>
      </c>
      <c r="AA145" s="31">
        <f>IF($S145=0,0,IF(AND(ISNUMBER($C145),ISNUMBER($D145),ISNUMBER($E145)),IF(AND(WEEKDAY($C145,2)=1,WEEKDAY($D145,2)=1,$D145&gt;=$C145,$E145&gt;=0,$E145&lt;=7),1,0),0))</f>
        <v/>
      </c>
      <c r="BN145" s="31">
        <f>IF(IFERROR(INDEX(Register!$A$6:$A$305,ROW()-5),"")="",0,SUMIF($A$139:$A$288,IFERROR(INDEX(Register!$A$6:$A$305,ROW()-5),""),$Z$139:$Z$288))</f>
        <v/>
      </c>
      <c r="BO145" s="31">
        <f>IF(OR(IFERROR(INDEX(Register!$A$6:$A$305,ROW()-5),"")="",SUM($Z$139:$Z$288)=0),0,IF(AND(IFERROR(INDEX(Register!$B$6:$B$305,ROW()-5),"")="Project",IFERROR(INDEX(Register!$D$6:$D$305,ROW()-5),"")="Active",IFERROR(INDEX(Register!$Z$6:$Z$305,ROW()-5),"")=1,$BN145=0),1,0))</f>
        <v/>
      </c>
      <c r="BP145" s="31">
        <f>IF(AND(IFERROR(INDEX(Register!$A$6:$A$305,ROW()-5),"")&lt;&gt;"",IFERROR(INDEX(Register!$D$6:$D$305,ROW()-5),"")="Proposed"),$BN145,0)</f>
        <v/>
      </c>
    </row>
    <row r="146">
      <c r="A146" s="29" t="n"/>
      <c r="B146" s="29" t="n"/>
      <c r="C146" s="53" t="n"/>
      <c r="D146" s="53" t="n"/>
      <c r="E146" s="48" t="n"/>
      <c r="F146" s="31">
        <f>IF($S146=0,"",IF($V146=0,"△ Person not on People",IF($T146=0,"△ Row not on the Register",IF($U146=0,"△ Register row has no Status",IF($AA146=0,"△ From, To or days missing or not valid",IF($U146=3,"△ Row is Completed or Terminated. Clear the line.",IF($X146=1,"△ Booked past the forecast date",IF($U146=2,"○ Pencilled in","○ Clear"))))))))</f>
        <v/>
      </c>
      <c r="S146" s="31">
        <f>IF(COUNTA($A146:$E146)&gt;0,1,0)</f>
        <v/>
      </c>
      <c r="T146" s="31">
        <f>IF($A146="",0,IFERROR(MATCH($A146,Register!$A$6:$A$305,0),0))</f>
        <v/>
      </c>
      <c r="U146" s="31">
        <f>IF($T146=0,0,IF(INDEX(Register!$Q$6:$Q$305,$T146)=1,1,IF(INDEX(Register!$D$6:$D$305,$T146)="Proposed",2,IF(OR(INDEX(Register!$D$6:$D$305,$T146)="Completed",INDEX(Register!$D$6:$D$305,$T146)="Terminated"),3,0))))</f>
        <v/>
      </c>
      <c r="V146" s="31">
        <f>IF($B146="",0,IF(OR($B146="Outside team",COUNTIF($A$63:$A$102,$B146)&gt;0),1,0))</f>
        <v/>
      </c>
      <c r="W146" s="31">
        <f>IF($S146=0,0,1-$Y146)</f>
        <v/>
      </c>
      <c r="X146" s="31">
        <f>IF(OR($Y146=0,$U146&lt;&gt;1,$D$17=""),0,IF(AND(INDEX(Register!$B$6:$B$305,$T146)="Project",N(INDEX(Register!$U$6:$U$305,$T146))&gt;0,$D146&gt;N(INDEX(Register!$U$6:$U$305,$T146))),1,0))</f>
        <v/>
      </c>
      <c r="Y146" s="31">
        <f>IF($S146=0,0,IF(AND($V146=1,$T146&gt;0,$U146&gt;0,$AA146=1),1,0))</f>
        <v/>
      </c>
      <c r="Z146" s="31">
        <f>IF(OR($Y146=0,$D$17=""),0,$E146*MAX(0,(MIN($D146,$P$17)-MAX($C146,$D$17))/7+1))</f>
        <v/>
      </c>
      <c r="AA146" s="31">
        <f>IF($S146=0,0,IF(AND(ISNUMBER($C146),ISNUMBER($D146),ISNUMBER($E146)),IF(AND(WEEKDAY($C146,2)=1,WEEKDAY($D146,2)=1,$D146&gt;=$C146,$E146&gt;=0,$E146&lt;=7),1,0),0))</f>
        <v/>
      </c>
      <c r="BN146" s="31">
        <f>IF(IFERROR(INDEX(Register!$A$6:$A$305,ROW()-5),"")="",0,SUMIF($A$139:$A$288,IFERROR(INDEX(Register!$A$6:$A$305,ROW()-5),""),$Z$139:$Z$288))</f>
        <v/>
      </c>
      <c r="BO146" s="31">
        <f>IF(OR(IFERROR(INDEX(Register!$A$6:$A$305,ROW()-5),"")="",SUM($Z$139:$Z$288)=0),0,IF(AND(IFERROR(INDEX(Register!$B$6:$B$305,ROW()-5),"")="Project",IFERROR(INDEX(Register!$D$6:$D$305,ROW()-5),"")="Active",IFERROR(INDEX(Register!$Z$6:$Z$305,ROW()-5),"")=1,$BN146=0),1,0))</f>
        <v/>
      </c>
      <c r="BP146" s="31">
        <f>IF(AND(IFERROR(INDEX(Register!$A$6:$A$305,ROW()-5),"")&lt;&gt;"",IFERROR(INDEX(Register!$D$6:$D$305,ROW()-5),"")="Proposed"),$BN146,0)</f>
        <v/>
      </c>
    </row>
    <row r="147">
      <c r="A147" s="29" t="n"/>
      <c r="B147" s="29" t="n"/>
      <c r="C147" s="53" t="n"/>
      <c r="D147" s="53" t="n"/>
      <c r="E147" s="48" t="n"/>
      <c r="F147" s="31">
        <f>IF($S147=0,"",IF($V147=0,"△ Person not on People",IF($T147=0,"△ Row not on the Register",IF($U147=0,"△ Register row has no Status",IF($AA147=0,"△ From, To or days missing or not valid",IF($U147=3,"△ Row is Completed or Terminated. Clear the line.",IF($X147=1,"△ Booked past the forecast date",IF($U147=2,"○ Pencilled in","○ Clear"))))))))</f>
        <v/>
      </c>
      <c r="S147" s="31">
        <f>IF(COUNTA($A147:$E147)&gt;0,1,0)</f>
        <v/>
      </c>
      <c r="T147" s="31">
        <f>IF($A147="",0,IFERROR(MATCH($A147,Register!$A$6:$A$305,0),0))</f>
        <v/>
      </c>
      <c r="U147" s="31">
        <f>IF($T147=0,0,IF(INDEX(Register!$Q$6:$Q$305,$T147)=1,1,IF(INDEX(Register!$D$6:$D$305,$T147)="Proposed",2,IF(OR(INDEX(Register!$D$6:$D$305,$T147)="Completed",INDEX(Register!$D$6:$D$305,$T147)="Terminated"),3,0))))</f>
        <v/>
      </c>
      <c r="V147" s="31">
        <f>IF($B147="",0,IF(OR($B147="Outside team",COUNTIF($A$63:$A$102,$B147)&gt;0),1,0))</f>
        <v/>
      </c>
      <c r="W147" s="31">
        <f>IF($S147=0,0,1-$Y147)</f>
        <v/>
      </c>
      <c r="X147" s="31">
        <f>IF(OR($Y147=0,$U147&lt;&gt;1,$D$17=""),0,IF(AND(INDEX(Register!$B$6:$B$305,$T147)="Project",N(INDEX(Register!$U$6:$U$305,$T147))&gt;0,$D147&gt;N(INDEX(Register!$U$6:$U$305,$T147))),1,0))</f>
        <v/>
      </c>
      <c r="Y147" s="31">
        <f>IF($S147=0,0,IF(AND($V147=1,$T147&gt;0,$U147&gt;0,$AA147=1),1,0))</f>
        <v/>
      </c>
      <c r="Z147" s="31">
        <f>IF(OR($Y147=0,$D$17=""),0,$E147*MAX(0,(MIN($D147,$P$17)-MAX($C147,$D$17))/7+1))</f>
        <v/>
      </c>
      <c r="AA147" s="31">
        <f>IF($S147=0,0,IF(AND(ISNUMBER($C147),ISNUMBER($D147),ISNUMBER($E147)),IF(AND(WEEKDAY($C147,2)=1,WEEKDAY($D147,2)=1,$D147&gt;=$C147,$E147&gt;=0,$E147&lt;=7),1,0),0))</f>
        <v/>
      </c>
      <c r="BN147" s="31">
        <f>IF(IFERROR(INDEX(Register!$A$6:$A$305,ROW()-5),"")="",0,SUMIF($A$139:$A$288,IFERROR(INDEX(Register!$A$6:$A$305,ROW()-5),""),$Z$139:$Z$288))</f>
        <v/>
      </c>
      <c r="BO147" s="31">
        <f>IF(OR(IFERROR(INDEX(Register!$A$6:$A$305,ROW()-5),"")="",SUM($Z$139:$Z$288)=0),0,IF(AND(IFERROR(INDEX(Register!$B$6:$B$305,ROW()-5),"")="Project",IFERROR(INDEX(Register!$D$6:$D$305,ROW()-5),"")="Active",IFERROR(INDEX(Register!$Z$6:$Z$305,ROW()-5),"")=1,$BN147=0),1,0))</f>
        <v/>
      </c>
      <c r="BP147" s="31">
        <f>IF(AND(IFERROR(INDEX(Register!$A$6:$A$305,ROW()-5),"")&lt;&gt;"",IFERROR(INDEX(Register!$D$6:$D$305,ROW()-5),"")="Proposed"),$BN147,0)</f>
        <v/>
      </c>
    </row>
    <row r="148">
      <c r="A148" s="29" t="n"/>
      <c r="B148" s="29" t="n"/>
      <c r="C148" s="53" t="n"/>
      <c r="D148" s="53" t="n"/>
      <c r="E148" s="48" t="n"/>
      <c r="F148" s="31">
        <f>IF($S148=0,"",IF($V148=0,"△ Person not on People",IF($T148=0,"△ Row not on the Register",IF($U148=0,"△ Register row has no Status",IF($AA148=0,"△ From, To or days missing or not valid",IF($U148=3,"△ Row is Completed or Terminated. Clear the line.",IF($X148=1,"△ Booked past the forecast date",IF($U148=2,"○ Pencilled in","○ Clear"))))))))</f>
        <v/>
      </c>
      <c r="S148" s="31">
        <f>IF(COUNTA($A148:$E148)&gt;0,1,0)</f>
        <v/>
      </c>
      <c r="T148" s="31">
        <f>IF($A148="",0,IFERROR(MATCH($A148,Register!$A$6:$A$305,0),0))</f>
        <v/>
      </c>
      <c r="U148" s="31">
        <f>IF($T148=0,0,IF(INDEX(Register!$Q$6:$Q$305,$T148)=1,1,IF(INDEX(Register!$D$6:$D$305,$T148)="Proposed",2,IF(OR(INDEX(Register!$D$6:$D$305,$T148)="Completed",INDEX(Register!$D$6:$D$305,$T148)="Terminated"),3,0))))</f>
        <v/>
      </c>
      <c r="V148" s="31">
        <f>IF($B148="",0,IF(OR($B148="Outside team",COUNTIF($A$63:$A$102,$B148)&gt;0),1,0))</f>
        <v/>
      </c>
      <c r="W148" s="31">
        <f>IF($S148=0,0,1-$Y148)</f>
        <v/>
      </c>
      <c r="X148" s="31">
        <f>IF(OR($Y148=0,$U148&lt;&gt;1,$D$17=""),0,IF(AND(INDEX(Register!$B$6:$B$305,$T148)="Project",N(INDEX(Register!$U$6:$U$305,$T148))&gt;0,$D148&gt;N(INDEX(Register!$U$6:$U$305,$T148))),1,0))</f>
        <v/>
      </c>
      <c r="Y148" s="31">
        <f>IF($S148=0,0,IF(AND($V148=1,$T148&gt;0,$U148&gt;0,$AA148=1),1,0))</f>
        <v/>
      </c>
      <c r="Z148" s="31">
        <f>IF(OR($Y148=0,$D$17=""),0,$E148*MAX(0,(MIN($D148,$P$17)-MAX($C148,$D$17))/7+1))</f>
        <v/>
      </c>
      <c r="AA148" s="31">
        <f>IF($S148=0,0,IF(AND(ISNUMBER($C148),ISNUMBER($D148),ISNUMBER($E148)),IF(AND(WEEKDAY($C148,2)=1,WEEKDAY($D148,2)=1,$D148&gt;=$C148,$E148&gt;=0,$E148&lt;=7),1,0),0))</f>
        <v/>
      </c>
      <c r="BN148" s="31">
        <f>IF(IFERROR(INDEX(Register!$A$6:$A$305,ROW()-5),"")="",0,SUMIF($A$139:$A$288,IFERROR(INDEX(Register!$A$6:$A$305,ROW()-5),""),$Z$139:$Z$288))</f>
        <v/>
      </c>
      <c r="BO148" s="31">
        <f>IF(OR(IFERROR(INDEX(Register!$A$6:$A$305,ROW()-5),"")="",SUM($Z$139:$Z$288)=0),0,IF(AND(IFERROR(INDEX(Register!$B$6:$B$305,ROW()-5),"")="Project",IFERROR(INDEX(Register!$D$6:$D$305,ROW()-5),"")="Active",IFERROR(INDEX(Register!$Z$6:$Z$305,ROW()-5),"")=1,$BN148=0),1,0))</f>
        <v/>
      </c>
      <c r="BP148" s="31">
        <f>IF(AND(IFERROR(INDEX(Register!$A$6:$A$305,ROW()-5),"")&lt;&gt;"",IFERROR(INDEX(Register!$D$6:$D$305,ROW()-5),"")="Proposed"),$BN148,0)</f>
        <v/>
      </c>
    </row>
    <row r="149">
      <c r="A149" s="29" t="n"/>
      <c r="B149" s="29" t="n"/>
      <c r="C149" s="53" t="n"/>
      <c r="D149" s="53" t="n"/>
      <c r="E149" s="48" t="n"/>
      <c r="F149" s="31">
        <f>IF($S149=0,"",IF($V149=0,"△ Person not on People",IF($T149=0,"△ Row not on the Register",IF($U149=0,"△ Register row has no Status",IF($AA149=0,"△ From, To or days missing or not valid",IF($U149=3,"△ Row is Completed or Terminated. Clear the line.",IF($X149=1,"△ Booked past the forecast date",IF($U149=2,"○ Pencilled in","○ Clear"))))))))</f>
        <v/>
      </c>
      <c r="S149" s="31">
        <f>IF(COUNTA($A149:$E149)&gt;0,1,0)</f>
        <v/>
      </c>
      <c r="T149" s="31">
        <f>IF($A149="",0,IFERROR(MATCH($A149,Register!$A$6:$A$305,0),0))</f>
        <v/>
      </c>
      <c r="U149" s="31">
        <f>IF($T149=0,0,IF(INDEX(Register!$Q$6:$Q$305,$T149)=1,1,IF(INDEX(Register!$D$6:$D$305,$T149)="Proposed",2,IF(OR(INDEX(Register!$D$6:$D$305,$T149)="Completed",INDEX(Register!$D$6:$D$305,$T149)="Terminated"),3,0))))</f>
        <v/>
      </c>
      <c r="V149" s="31">
        <f>IF($B149="",0,IF(OR($B149="Outside team",COUNTIF($A$63:$A$102,$B149)&gt;0),1,0))</f>
        <v/>
      </c>
      <c r="W149" s="31">
        <f>IF($S149=0,0,1-$Y149)</f>
        <v/>
      </c>
      <c r="X149" s="31">
        <f>IF(OR($Y149=0,$U149&lt;&gt;1,$D$17=""),0,IF(AND(INDEX(Register!$B$6:$B$305,$T149)="Project",N(INDEX(Register!$U$6:$U$305,$T149))&gt;0,$D149&gt;N(INDEX(Register!$U$6:$U$305,$T149))),1,0))</f>
        <v/>
      </c>
      <c r="Y149" s="31">
        <f>IF($S149=0,0,IF(AND($V149=1,$T149&gt;0,$U149&gt;0,$AA149=1),1,0))</f>
        <v/>
      </c>
      <c r="Z149" s="31">
        <f>IF(OR($Y149=0,$D$17=""),0,$E149*MAX(0,(MIN($D149,$P$17)-MAX($C149,$D$17))/7+1))</f>
        <v/>
      </c>
      <c r="AA149" s="31">
        <f>IF($S149=0,0,IF(AND(ISNUMBER($C149),ISNUMBER($D149),ISNUMBER($E149)),IF(AND(WEEKDAY($C149,2)=1,WEEKDAY($D149,2)=1,$D149&gt;=$C149,$E149&gt;=0,$E149&lt;=7),1,0),0))</f>
        <v/>
      </c>
      <c r="BN149" s="31">
        <f>IF(IFERROR(INDEX(Register!$A$6:$A$305,ROW()-5),"")="",0,SUMIF($A$139:$A$288,IFERROR(INDEX(Register!$A$6:$A$305,ROW()-5),""),$Z$139:$Z$288))</f>
        <v/>
      </c>
      <c r="BO149" s="31">
        <f>IF(OR(IFERROR(INDEX(Register!$A$6:$A$305,ROW()-5),"")="",SUM($Z$139:$Z$288)=0),0,IF(AND(IFERROR(INDEX(Register!$B$6:$B$305,ROW()-5),"")="Project",IFERROR(INDEX(Register!$D$6:$D$305,ROW()-5),"")="Active",IFERROR(INDEX(Register!$Z$6:$Z$305,ROW()-5),"")=1,$BN149=0),1,0))</f>
        <v/>
      </c>
      <c r="BP149" s="31">
        <f>IF(AND(IFERROR(INDEX(Register!$A$6:$A$305,ROW()-5),"")&lt;&gt;"",IFERROR(INDEX(Register!$D$6:$D$305,ROW()-5),"")="Proposed"),$BN149,0)</f>
        <v/>
      </c>
    </row>
    <row r="150">
      <c r="A150" s="29" t="n"/>
      <c r="B150" s="29" t="n"/>
      <c r="C150" s="53" t="n"/>
      <c r="D150" s="53" t="n"/>
      <c r="E150" s="48" t="n"/>
      <c r="F150" s="31">
        <f>IF($S150=0,"",IF($V150=0,"△ Person not on People",IF($T150=0,"△ Row not on the Register",IF($U150=0,"△ Register row has no Status",IF($AA150=0,"△ From, To or days missing or not valid",IF($U150=3,"△ Row is Completed or Terminated. Clear the line.",IF($X150=1,"△ Booked past the forecast date",IF($U150=2,"○ Pencilled in","○ Clear"))))))))</f>
        <v/>
      </c>
      <c r="S150" s="31">
        <f>IF(COUNTA($A150:$E150)&gt;0,1,0)</f>
        <v/>
      </c>
      <c r="T150" s="31">
        <f>IF($A150="",0,IFERROR(MATCH($A150,Register!$A$6:$A$305,0),0))</f>
        <v/>
      </c>
      <c r="U150" s="31">
        <f>IF($T150=0,0,IF(INDEX(Register!$Q$6:$Q$305,$T150)=1,1,IF(INDEX(Register!$D$6:$D$305,$T150)="Proposed",2,IF(OR(INDEX(Register!$D$6:$D$305,$T150)="Completed",INDEX(Register!$D$6:$D$305,$T150)="Terminated"),3,0))))</f>
        <v/>
      </c>
      <c r="V150" s="31">
        <f>IF($B150="",0,IF(OR($B150="Outside team",COUNTIF($A$63:$A$102,$B150)&gt;0),1,0))</f>
        <v/>
      </c>
      <c r="W150" s="31">
        <f>IF($S150=0,0,1-$Y150)</f>
        <v/>
      </c>
      <c r="X150" s="31">
        <f>IF(OR($Y150=0,$U150&lt;&gt;1,$D$17=""),0,IF(AND(INDEX(Register!$B$6:$B$305,$T150)="Project",N(INDEX(Register!$U$6:$U$305,$T150))&gt;0,$D150&gt;N(INDEX(Register!$U$6:$U$305,$T150))),1,0))</f>
        <v/>
      </c>
      <c r="Y150" s="31">
        <f>IF($S150=0,0,IF(AND($V150=1,$T150&gt;0,$U150&gt;0,$AA150=1),1,0))</f>
        <v/>
      </c>
      <c r="Z150" s="31">
        <f>IF(OR($Y150=0,$D$17=""),0,$E150*MAX(0,(MIN($D150,$P$17)-MAX($C150,$D$17))/7+1))</f>
        <v/>
      </c>
      <c r="AA150" s="31">
        <f>IF($S150=0,0,IF(AND(ISNUMBER($C150),ISNUMBER($D150),ISNUMBER($E150)),IF(AND(WEEKDAY($C150,2)=1,WEEKDAY($D150,2)=1,$D150&gt;=$C150,$E150&gt;=0,$E150&lt;=7),1,0),0))</f>
        <v/>
      </c>
      <c r="BN150" s="31">
        <f>IF(IFERROR(INDEX(Register!$A$6:$A$305,ROW()-5),"")="",0,SUMIF($A$139:$A$288,IFERROR(INDEX(Register!$A$6:$A$305,ROW()-5),""),$Z$139:$Z$288))</f>
        <v/>
      </c>
      <c r="BO150" s="31">
        <f>IF(OR(IFERROR(INDEX(Register!$A$6:$A$305,ROW()-5),"")="",SUM($Z$139:$Z$288)=0),0,IF(AND(IFERROR(INDEX(Register!$B$6:$B$305,ROW()-5),"")="Project",IFERROR(INDEX(Register!$D$6:$D$305,ROW()-5),"")="Active",IFERROR(INDEX(Register!$Z$6:$Z$305,ROW()-5),"")=1,$BN150=0),1,0))</f>
        <v/>
      </c>
      <c r="BP150" s="31">
        <f>IF(AND(IFERROR(INDEX(Register!$A$6:$A$305,ROW()-5),"")&lt;&gt;"",IFERROR(INDEX(Register!$D$6:$D$305,ROW()-5),"")="Proposed"),$BN150,0)</f>
        <v/>
      </c>
    </row>
    <row r="151">
      <c r="A151" s="29" t="n"/>
      <c r="B151" s="29" t="n"/>
      <c r="C151" s="53" t="n"/>
      <c r="D151" s="53" t="n"/>
      <c r="E151" s="48" t="n"/>
      <c r="F151" s="31">
        <f>IF($S151=0,"",IF($V151=0,"△ Person not on People",IF($T151=0,"△ Row not on the Register",IF($U151=0,"△ Register row has no Status",IF($AA151=0,"△ From, To or days missing or not valid",IF($U151=3,"△ Row is Completed or Terminated. Clear the line.",IF($X151=1,"△ Booked past the forecast date",IF($U151=2,"○ Pencilled in","○ Clear"))))))))</f>
        <v/>
      </c>
      <c r="S151" s="31">
        <f>IF(COUNTA($A151:$E151)&gt;0,1,0)</f>
        <v/>
      </c>
      <c r="T151" s="31">
        <f>IF($A151="",0,IFERROR(MATCH($A151,Register!$A$6:$A$305,0),0))</f>
        <v/>
      </c>
      <c r="U151" s="31">
        <f>IF($T151=0,0,IF(INDEX(Register!$Q$6:$Q$305,$T151)=1,1,IF(INDEX(Register!$D$6:$D$305,$T151)="Proposed",2,IF(OR(INDEX(Register!$D$6:$D$305,$T151)="Completed",INDEX(Register!$D$6:$D$305,$T151)="Terminated"),3,0))))</f>
        <v/>
      </c>
      <c r="V151" s="31">
        <f>IF($B151="",0,IF(OR($B151="Outside team",COUNTIF($A$63:$A$102,$B151)&gt;0),1,0))</f>
        <v/>
      </c>
      <c r="W151" s="31">
        <f>IF($S151=0,0,1-$Y151)</f>
        <v/>
      </c>
      <c r="X151" s="31">
        <f>IF(OR($Y151=0,$U151&lt;&gt;1,$D$17=""),0,IF(AND(INDEX(Register!$B$6:$B$305,$T151)="Project",N(INDEX(Register!$U$6:$U$305,$T151))&gt;0,$D151&gt;N(INDEX(Register!$U$6:$U$305,$T151))),1,0))</f>
        <v/>
      </c>
      <c r="Y151" s="31">
        <f>IF($S151=0,0,IF(AND($V151=1,$T151&gt;0,$U151&gt;0,$AA151=1),1,0))</f>
        <v/>
      </c>
      <c r="Z151" s="31">
        <f>IF(OR($Y151=0,$D$17=""),0,$E151*MAX(0,(MIN($D151,$P$17)-MAX($C151,$D$17))/7+1))</f>
        <v/>
      </c>
      <c r="AA151" s="31">
        <f>IF($S151=0,0,IF(AND(ISNUMBER($C151),ISNUMBER($D151),ISNUMBER($E151)),IF(AND(WEEKDAY($C151,2)=1,WEEKDAY($D151,2)=1,$D151&gt;=$C151,$E151&gt;=0,$E151&lt;=7),1,0),0))</f>
        <v/>
      </c>
      <c r="BN151" s="31">
        <f>IF(IFERROR(INDEX(Register!$A$6:$A$305,ROW()-5),"")="",0,SUMIF($A$139:$A$288,IFERROR(INDEX(Register!$A$6:$A$305,ROW()-5),""),$Z$139:$Z$288))</f>
        <v/>
      </c>
      <c r="BO151" s="31">
        <f>IF(OR(IFERROR(INDEX(Register!$A$6:$A$305,ROW()-5),"")="",SUM($Z$139:$Z$288)=0),0,IF(AND(IFERROR(INDEX(Register!$B$6:$B$305,ROW()-5),"")="Project",IFERROR(INDEX(Register!$D$6:$D$305,ROW()-5),"")="Active",IFERROR(INDEX(Register!$Z$6:$Z$305,ROW()-5),"")=1,$BN151=0),1,0))</f>
        <v/>
      </c>
      <c r="BP151" s="31">
        <f>IF(AND(IFERROR(INDEX(Register!$A$6:$A$305,ROW()-5),"")&lt;&gt;"",IFERROR(INDEX(Register!$D$6:$D$305,ROW()-5),"")="Proposed"),$BN151,0)</f>
        <v/>
      </c>
    </row>
    <row r="152">
      <c r="A152" s="29" t="n"/>
      <c r="B152" s="29" t="n"/>
      <c r="C152" s="53" t="n"/>
      <c r="D152" s="53" t="n"/>
      <c r="E152" s="48" t="n"/>
      <c r="F152" s="31">
        <f>IF($S152=0,"",IF($V152=0,"△ Person not on People",IF($T152=0,"△ Row not on the Register",IF($U152=0,"△ Register row has no Status",IF($AA152=0,"△ From, To or days missing or not valid",IF($U152=3,"△ Row is Completed or Terminated. Clear the line.",IF($X152=1,"△ Booked past the forecast date",IF($U152=2,"○ Pencilled in","○ Clear"))))))))</f>
        <v/>
      </c>
      <c r="S152" s="31">
        <f>IF(COUNTA($A152:$E152)&gt;0,1,0)</f>
        <v/>
      </c>
      <c r="T152" s="31">
        <f>IF($A152="",0,IFERROR(MATCH($A152,Register!$A$6:$A$305,0),0))</f>
        <v/>
      </c>
      <c r="U152" s="31">
        <f>IF($T152=0,0,IF(INDEX(Register!$Q$6:$Q$305,$T152)=1,1,IF(INDEX(Register!$D$6:$D$305,$T152)="Proposed",2,IF(OR(INDEX(Register!$D$6:$D$305,$T152)="Completed",INDEX(Register!$D$6:$D$305,$T152)="Terminated"),3,0))))</f>
        <v/>
      </c>
      <c r="V152" s="31">
        <f>IF($B152="",0,IF(OR($B152="Outside team",COUNTIF($A$63:$A$102,$B152)&gt;0),1,0))</f>
        <v/>
      </c>
      <c r="W152" s="31">
        <f>IF($S152=0,0,1-$Y152)</f>
        <v/>
      </c>
      <c r="X152" s="31">
        <f>IF(OR($Y152=0,$U152&lt;&gt;1,$D$17=""),0,IF(AND(INDEX(Register!$B$6:$B$305,$T152)="Project",N(INDEX(Register!$U$6:$U$305,$T152))&gt;0,$D152&gt;N(INDEX(Register!$U$6:$U$305,$T152))),1,0))</f>
        <v/>
      </c>
      <c r="Y152" s="31">
        <f>IF($S152=0,0,IF(AND($V152=1,$T152&gt;0,$U152&gt;0,$AA152=1),1,0))</f>
        <v/>
      </c>
      <c r="Z152" s="31">
        <f>IF(OR($Y152=0,$D$17=""),0,$E152*MAX(0,(MIN($D152,$P$17)-MAX($C152,$D$17))/7+1))</f>
        <v/>
      </c>
      <c r="AA152" s="31">
        <f>IF($S152=0,0,IF(AND(ISNUMBER($C152),ISNUMBER($D152),ISNUMBER($E152)),IF(AND(WEEKDAY($C152,2)=1,WEEKDAY($D152,2)=1,$D152&gt;=$C152,$E152&gt;=0,$E152&lt;=7),1,0),0))</f>
        <v/>
      </c>
      <c r="BN152" s="31">
        <f>IF(IFERROR(INDEX(Register!$A$6:$A$305,ROW()-5),"")="",0,SUMIF($A$139:$A$288,IFERROR(INDEX(Register!$A$6:$A$305,ROW()-5),""),$Z$139:$Z$288))</f>
        <v/>
      </c>
      <c r="BO152" s="31">
        <f>IF(OR(IFERROR(INDEX(Register!$A$6:$A$305,ROW()-5),"")="",SUM($Z$139:$Z$288)=0),0,IF(AND(IFERROR(INDEX(Register!$B$6:$B$305,ROW()-5),"")="Project",IFERROR(INDEX(Register!$D$6:$D$305,ROW()-5),"")="Active",IFERROR(INDEX(Register!$Z$6:$Z$305,ROW()-5),"")=1,$BN152=0),1,0))</f>
        <v/>
      </c>
      <c r="BP152" s="31">
        <f>IF(AND(IFERROR(INDEX(Register!$A$6:$A$305,ROW()-5),"")&lt;&gt;"",IFERROR(INDEX(Register!$D$6:$D$305,ROW()-5),"")="Proposed"),$BN152,0)</f>
        <v/>
      </c>
    </row>
    <row r="153">
      <c r="A153" s="29" t="n"/>
      <c r="B153" s="29" t="n"/>
      <c r="C153" s="53" t="n"/>
      <c r="D153" s="53" t="n"/>
      <c r="E153" s="48" t="n"/>
      <c r="F153" s="31">
        <f>IF($S153=0,"",IF($V153=0,"△ Person not on People",IF($T153=0,"△ Row not on the Register",IF($U153=0,"△ Register row has no Status",IF($AA153=0,"△ From, To or days missing or not valid",IF($U153=3,"△ Row is Completed or Terminated. Clear the line.",IF($X153=1,"△ Booked past the forecast date",IF($U153=2,"○ Pencilled in","○ Clear"))))))))</f>
        <v/>
      </c>
      <c r="S153" s="31">
        <f>IF(COUNTA($A153:$E153)&gt;0,1,0)</f>
        <v/>
      </c>
      <c r="T153" s="31">
        <f>IF($A153="",0,IFERROR(MATCH($A153,Register!$A$6:$A$305,0),0))</f>
        <v/>
      </c>
      <c r="U153" s="31">
        <f>IF($T153=0,0,IF(INDEX(Register!$Q$6:$Q$305,$T153)=1,1,IF(INDEX(Register!$D$6:$D$305,$T153)="Proposed",2,IF(OR(INDEX(Register!$D$6:$D$305,$T153)="Completed",INDEX(Register!$D$6:$D$305,$T153)="Terminated"),3,0))))</f>
        <v/>
      </c>
      <c r="V153" s="31">
        <f>IF($B153="",0,IF(OR($B153="Outside team",COUNTIF($A$63:$A$102,$B153)&gt;0),1,0))</f>
        <v/>
      </c>
      <c r="W153" s="31">
        <f>IF($S153=0,0,1-$Y153)</f>
        <v/>
      </c>
      <c r="X153" s="31">
        <f>IF(OR($Y153=0,$U153&lt;&gt;1,$D$17=""),0,IF(AND(INDEX(Register!$B$6:$B$305,$T153)="Project",N(INDEX(Register!$U$6:$U$305,$T153))&gt;0,$D153&gt;N(INDEX(Register!$U$6:$U$305,$T153))),1,0))</f>
        <v/>
      </c>
      <c r="Y153" s="31">
        <f>IF($S153=0,0,IF(AND($V153=1,$T153&gt;0,$U153&gt;0,$AA153=1),1,0))</f>
        <v/>
      </c>
      <c r="Z153" s="31">
        <f>IF(OR($Y153=0,$D$17=""),0,$E153*MAX(0,(MIN($D153,$P$17)-MAX($C153,$D$17))/7+1))</f>
        <v/>
      </c>
      <c r="AA153" s="31">
        <f>IF($S153=0,0,IF(AND(ISNUMBER($C153),ISNUMBER($D153),ISNUMBER($E153)),IF(AND(WEEKDAY($C153,2)=1,WEEKDAY($D153,2)=1,$D153&gt;=$C153,$E153&gt;=0,$E153&lt;=7),1,0),0))</f>
        <v/>
      </c>
      <c r="BN153" s="31">
        <f>IF(IFERROR(INDEX(Register!$A$6:$A$305,ROW()-5),"")="",0,SUMIF($A$139:$A$288,IFERROR(INDEX(Register!$A$6:$A$305,ROW()-5),""),$Z$139:$Z$288))</f>
        <v/>
      </c>
      <c r="BO153" s="31">
        <f>IF(OR(IFERROR(INDEX(Register!$A$6:$A$305,ROW()-5),"")="",SUM($Z$139:$Z$288)=0),0,IF(AND(IFERROR(INDEX(Register!$B$6:$B$305,ROW()-5),"")="Project",IFERROR(INDEX(Register!$D$6:$D$305,ROW()-5),"")="Active",IFERROR(INDEX(Register!$Z$6:$Z$305,ROW()-5),"")=1,$BN153=0),1,0))</f>
        <v/>
      </c>
      <c r="BP153" s="31">
        <f>IF(AND(IFERROR(INDEX(Register!$A$6:$A$305,ROW()-5),"")&lt;&gt;"",IFERROR(INDEX(Register!$D$6:$D$305,ROW()-5),"")="Proposed"),$BN153,0)</f>
        <v/>
      </c>
    </row>
    <row r="154">
      <c r="A154" s="29" t="n"/>
      <c r="B154" s="29" t="n"/>
      <c r="C154" s="53" t="n"/>
      <c r="D154" s="53" t="n"/>
      <c r="E154" s="48" t="n"/>
      <c r="F154" s="31">
        <f>IF($S154=0,"",IF($V154=0,"△ Person not on People",IF($T154=0,"△ Row not on the Register",IF($U154=0,"△ Register row has no Status",IF($AA154=0,"△ From, To or days missing or not valid",IF($U154=3,"△ Row is Completed or Terminated. Clear the line.",IF($X154=1,"△ Booked past the forecast date",IF($U154=2,"○ Pencilled in","○ Clear"))))))))</f>
        <v/>
      </c>
      <c r="S154" s="31">
        <f>IF(COUNTA($A154:$E154)&gt;0,1,0)</f>
        <v/>
      </c>
      <c r="T154" s="31">
        <f>IF($A154="",0,IFERROR(MATCH($A154,Register!$A$6:$A$305,0),0))</f>
        <v/>
      </c>
      <c r="U154" s="31">
        <f>IF($T154=0,0,IF(INDEX(Register!$Q$6:$Q$305,$T154)=1,1,IF(INDEX(Register!$D$6:$D$305,$T154)="Proposed",2,IF(OR(INDEX(Register!$D$6:$D$305,$T154)="Completed",INDEX(Register!$D$6:$D$305,$T154)="Terminated"),3,0))))</f>
        <v/>
      </c>
      <c r="V154" s="31">
        <f>IF($B154="",0,IF(OR($B154="Outside team",COUNTIF($A$63:$A$102,$B154)&gt;0),1,0))</f>
        <v/>
      </c>
      <c r="W154" s="31">
        <f>IF($S154=0,0,1-$Y154)</f>
        <v/>
      </c>
      <c r="X154" s="31">
        <f>IF(OR($Y154=0,$U154&lt;&gt;1,$D$17=""),0,IF(AND(INDEX(Register!$B$6:$B$305,$T154)="Project",N(INDEX(Register!$U$6:$U$305,$T154))&gt;0,$D154&gt;N(INDEX(Register!$U$6:$U$305,$T154))),1,0))</f>
        <v/>
      </c>
      <c r="Y154" s="31">
        <f>IF($S154=0,0,IF(AND($V154=1,$T154&gt;0,$U154&gt;0,$AA154=1),1,0))</f>
        <v/>
      </c>
      <c r="Z154" s="31">
        <f>IF(OR($Y154=0,$D$17=""),0,$E154*MAX(0,(MIN($D154,$P$17)-MAX($C154,$D$17))/7+1))</f>
        <v/>
      </c>
      <c r="AA154" s="31">
        <f>IF($S154=0,0,IF(AND(ISNUMBER($C154),ISNUMBER($D154),ISNUMBER($E154)),IF(AND(WEEKDAY($C154,2)=1,WEEKDAY($D154,2)=1,$D154&gt;=$C154,$E154&gt;=0,$E154&lt;=7),1,0),0))</f>
        <v/>
      </c>
      <c r="BN154" s="31">
        <f>IF(IFERROR(INDEX(Register!$A$6:$A$305,ROW()-5),"")="",0,SUMIF($A$139:$A$288,IFERROR(INDEX(Register!$A$6:$A$305,ROW()-5),""),$Z$139:$Z$288))</f>
        <v/>
      </c>
      <c r="BO154" s="31">
        <f>IF(OR(IFERROR(INDEX(Register!$A$6:$A$305,ROW()-5),"")="",SUM($Z$139:$Z$288)=0),0,IF(AND(IFERROR(INDEX(Register!$B$6:$B$305,ROW()-5),"")="Project",IFERROR(INDEX(Register!$D$6:$D$305,ROW()-5),"")="Active",IFERROR(INDEX(Register!$Z$6:$Z$305,ROW()-5),"")=1,$BN154=0),1,0))</f>
        <v/>
      </c>
      <c r="BP154" s="31">
        <f>IF(AND(IFERROR(INDEX(Register!$A$6:$A$305,ROW()-5),"")&lt;&gt;"",IFERROR(INDEX(Register!$D$6:$D$305,ROW()-5),"")="Proposed"),$BN154,0)</f>
        <v/>
      </c>
    </row>
    <row r="155">
      <c r="A155" s="29" t="n"/>
      <c r="B155" s="29" t="n"/>
      <c r="C155" s="53" t="n"/>
      <c r="D155" s="53" t="n"/>
      <c r="E155" s="48" t="n"/>
      <c r="F155" s="31">
        <f>IF($S155=0,"",IF($V155=0,"△ Person not on People",IF($T155=0,"△ Row not on the Register",IF($U155=0,"△ Register row has no Status",IF($AA155=0,"△ From, To or days missing or not valid",IF($U155=3,"△ Row is Completed or Terminated. Clear the line.",IF($X155=1,"△ Booked past the forecast date",IF($U155=2,"○ Pencilled in","○ Clear"))))))))</f>
        <v/>
      </c>
      <c r="S155" s="31">
        <f>IF(COUNTA($A155:$E155)&gt;0,1,0)</f>
        <v/>
      </c>
      <c r="T155" s="31">
        <f>IF($A155="",0,IFERROR(MATCH($A155,Register!$A$6:$A$305,0),0))</f>
        <v/>
      </c>
      <c r="U155" s="31">
        <f>IF($T155=0,0,IF(INDEX(Register!$Q$6:$Q$305,$T155)=1,1,IF(INDEX(Register!$D$6:$D$305,$T155)="Proposed",2,IF(OR(INDEX(Register!$D$6:$D$305,$T155)="Completed",INDEX(Register!$D$6:$D$305,$T155)="Terminated"),3,0))))</f>
        <v/>
      </c>
      <c r="V155" s="31">
        <f>IF($B155="",0,IF(OR($B155="Outside team",COUNTIF($A$63:$A$102,$B155)&gt;0),1,0))</f>
        <v/>
      </c>
      <c r="W155" s="31">
        <f>IF($S155=0,0,1-$Y155)</f>
        <v/>
      </c>
      <c r="X155" s="31">
        <f>IF(OR($Y155=0,$U155&lt;&gt;1,$D$17=""),0,IF(AND(INDEX(Register!$B$6:$B$305,$T155)="Project",N(INDEX(Register!$U$6:$U$305,$T155))&gt;0,$D155&gt;N(INDEX(Register!$U$6:$U$305,$T155))),1,0))</f>
        <v/>
      </c>
      <c r="Y155" s="31">
        <f>IF($S155=0,0,IF(AND($V155=1,$T155&gt;0,$U155&gt;0,$AA155=1),1,0))</f>
        <v/>
      </c>
      <c r="Z155" s="31">
        <f>IF(OR($Y155=0,$D$17=""),0,$E155*MAX(0,(MIN($D155,$P$17)-MAX($C155,$D$17))/7+1))</f>
        <v/>
      </c>
      <c r="AA155" s="31">
        <f>IF($S155=0,0,IF(AND(ISNUMBER($C155),ISNUMBER($D155),ISNUMBER($E155)),IF(AND(WEEKDAY($C155,2)=1,WEEKDAY($D155,2)=1,$D155&gt;=$C155,$E155&gt;=0,$E155&lt;=7),1,0),0))</f>
        <v/>
      </c>
      <c r="BN155" s="31">
        <f>IF(IFERROR(INDEX(Register!$A$6:$A$305,ROW()-5),"")="",0,SUMIF($A$139:$A$288,IFERROR(INDEX(Register!$A$6:$A$305,ROW()-5),""),$Z$139:$Z$288))</f>
        <v/>
      </c>
      <c r="BO155" s="31">
        <f>IF(OR(IFERROR(INDEX(Register!$A$6:$A$305,ROW()-5),"")="",SUM($Z$139:$Z$288)=0),0,IF(AND(IFERROR(INDEX(Register!$B$6:$B$305,ROW()-5),"")="Project",IFERROR(INDEX(Register!$D$6:$D$305,ROW()-5),"")="Active",IFERROR(INDEX(Register!$Z$6:$Z$305,ROW()-5),"")=1,$BN155=0),1,0))</f>
        <v/>
      </c>
      <c r="BP155" s="31">
        <f>IF(AND(IFERROR(INDEX(Register!$A$6:$A$305,ROW()-5),"")&lt;&gt;"",IFERROR(INDEX(Register!$D$6:$D$305,ROW()-5),"")="Proposed"),$BN155,0)</f>
        <v/>
      </c>
    </row>
    <row r="156">
      <c r="A156" s="29" t="n"/>
      <c r="B156" s="29" t="n"/>
      <c r="C156" s="53" t="n"/>
      <c r="D156" s="53" t="n"/>
      <c r="E156" s="48" t="n"/>
      <c r="F156" s="31">
        <f>IF($S156=0,"",IF($V156=0,"△ Person not on People",IF($T156=0,"△ Row not on the Register",IF($U156=0,"△ Register row has no Status",IF($AA156=0,"△ From, To or days missing or not valid",IF($U156=3,"△ Row is Completed or Terminated. Clear the line.",IF($X156=1,"△ Booked past the forecast date",IF($U156=2,"○ Pencilled in","○ Clear"))))))))</f>
        <v/>
      </c>
      <c r="S156" s="31">
        <f>IF(COUNTA($A156:$E156)&gt;0,1,0)</f>
        <v/>
      </c>
      <c r="T156" s="31">
        <f>IF($A156="",0,IFERROR(MATCH($A156,Register!$A$6:$A$305,0),0))</f>
        <v/>
      </c>
      <c r="U156" s="31">
        <f>IF($T156=0,0,IF(INDEX(Register!$Q$6:$Q$305,$T156)=1,1,IF(INDEX(Register!$D$6:$D$305,$T156)="Proposed",2,IF(OR(INDEX(Register!$D$6:$D$305,$T156)="Completed",INDEX(Register!$D$6:$D$305,$T156)="Terminated"),3,0))))</f>
        <v/>
      </c>
      <c r="V156" s="31">
        <f>IF($B156="",0,IF(OR($B156="Outside team",COUNTIF($A$63:$A$102,$B156)&gt;0),1,0))</f>
        <v/>
      </c>
      <c r="W156" s="31">
        <f>IF($S156=0,0,1-$Y156)</f>
        <v/>
      </c>
      <c r="X156" s="31">
        <f>IF(OR($Y156=0,$U156&lt;&gt;1,$D$17=""),0,IF(AND(INDEX(Register!$B$6:$B$305,$T156)="Project",N(INDEX(Register!$U$6:$U$305,$T156))&gt;0,$D156&gt;N(INDEX(Register!$U$6:$U$305,$T156))),1,0))</f>
        <v/>
      </c>
      <c r="Y156" s="31">
        <f>IF($S156=0,0,IF(AND($V156=1,$T156&gt;0,$U156&gt;0,$AA156=1),1,0))</f>
        <v/>
      </c>
      <c r="Z156" s="31">
        <f>IF(OR($Y156=0,$D$17=""),0,$E156*MAX(0,(MIN($D156,$P$17)-MAX($C156,$D$17))/7+1))</f>
        <v/>
      </c>
      <c r="AA156" s="31">
        <f>IF($S156=0,0,IF(AND(ISNUMBER($C156),ISNUMBER($D156),ISNUMBER($E156)),IF(AND(WEEKDAY($C156,2)=1,WEEKDAY($D156,2)=1,$D156&gt;=$C156,$E156&gt;=0,$E156&lt;=7),1,0),0))</f>
        <v/>
      </c>
      <c r="BN156" s="31">
        <f>IF(IFERROR(INDEX(Register!$A$6:$A$305,ROW()-5),"")="",0,SUMIF($A$139:$A$288,IFERROR(INDEX(Register!$A$6:$A$305,ROW()-5),""),$Z$139:$Z$288))</f>
        <v/>
      </c>
      <c r="BO156" s="31">
        <f>IF(OR(IFERROR(INDEX(Register!$A$6:$A$305,ROW()-5),"")="",SUM($Z$139:$Z$288)=0),0,IF(AND(IFERROR(INDEX(Register!$B$6:$B$305,ROW()-5),"")="Project",IFERROR(INDEX(Register!$D$6:$D$305,ROW()-5),"")="Active",IFERROR(INDEX(Register!$Z$6:$Z$305,ROW()-5),"")=1,$BN156=0),1,0))</f>
        <v/>
      </c>
      <c r="BP156" s="31">
        <f>IF(AND(IFERROR(INDEX(Register!$A$6:$A$305,ROW()-5),"")&lt;&gt;"",IFERROR(INDEX(Register!$D$6:$D$305,ROW()-5),"")="Proposed"),$BN156,0)</f>
        <v/>
      </c>
    </row>
    <row r="157">
      <c r="A157" s="29" t="n"/>
      <c r="B157" s="29" t="n"/>
      <c r="C157" s="53" t="n"/>
      <c r="D157" s="53" t="n"/>
      <c r="E157" s="48" t="n"/>
      <c r="F157" s="31">
        <f>IF($S157=0,"",IF($V157=0,"△ Person not on People",IF($T157=0,"△ Row not on the Register",IF($U157=0,"△ Register row has no Status",IF($AA157=0,"△ From, To or days missing or not valid",IF($U157=3,"△ Row is Completed or Terminated. Clear the line.",IF($X157=1,"△ Booked past the forecast date",IF($U157=2,"○ Pencilled in","○ Clear"))))))))</f>
        <v/>
      </c>
      <c r="S157" s="31">
        <f>IF(COUNTA($A157:$E157)&gt;0,1,0)</f>
        <v/>
      </c>
      <c r="T157" s="31">
        <f>IF($A157="",0,IFERROR(MATCH($A157,Register!$A$6:$A$305,0),0))</f>
        <v/>
      </c>
      <c r="U157" s="31">
        <f>IF($T157=0,0,IF(INDEX(Register!$Q$6:$Q$305,$T157)=1,1,IF(INDEX(Register!$D$6:$D$305,$T157)="Proposed",2,IF(OR(INDEX(Register!$D$6:$D$305,$T157)="Completed",INDEX(Register!$D$6:$D$305,$T157)="Terminated"),3,0))))</f>
        <v/>
      </c>
      <c r="V157" s="31">
        <f>IF($B157="",0,IF(OR($B157="Outside team",COUNTIF($A$63:$A$102,$B157)&gt;0),1,0))</f>
        <v/>
      </c>
      <c r="W157" s="31">
        <f>IF($S157=0,0,1-$Y157)</f>
        <v/>
      </c>
      <c r="X157" s="31">
        <f>IF(OR($Y157=0,$U157&lt;&gt;1,$D$17=""),0,IF(AND(INDEX(Register!$B$6:$B$305,$T157)="Project",N(INDEX(Register!$U$6:$U$305,$T157))&gt;0,$D157&gt;N(INDEX(Register!$U$6:$U$305,$T157))),1,0))</f>
        <v/>
      </c>
      <c r="Y157" s="31">
        <f>IF($S157=0,0,IF(AND($V157=1,$T157&gt;0,$U157&gt;0,$AA157=1),1,0))</f>
        <v/>
      </c>
      <c r="Z157" s="31">
        <f>IF(OR($Y157=0,$D$17=""),0,$E157*MAX(0,(MIN($D157,$P$17)-MAX($C157,$D$17))/7+1))</f>
        <v/>
      </c>
      <c r="AA157" s="31">
        <f>IF($S157=0,0,IF(AND(ISNUMBER($C157),ISNUMBER($D157),ISNUMBER($E157)),IF(AND(WEEKDAY($C157,2)=1,WEEKDAY($D157,2)=1,$D157&gt;=$C157,$E157&gt;=0,$E157&lt;=7),1,0),0))</f>
        <v/>
      </c>
      <c r="BN157" s="31">
        <f>IF(IFERROR(INDEX(Register!$A$6:$A$305,ROW()-5),"")="",0,SUMIF($A$139:$A$288,IFERROR(INDEX(Register!$A$6:$A$305,ROW()-5),""),$Z$139:$Z$288))</f>
        <v/>
      </c>
      <c r="BO157" s="31">
        <f>IF(OR(IFERROR(INDEX(Register!$A$6:$A$305,ROW()-5),"")="",SUM($Z$139:$Z$288)=0),0,IF(AND(IFERROR(INDEX(Register!$B$6:$B$305,ROW()-5),"")="Project",IFERROR(INDEX(Register!$D$6:$D$305,ROW()-5),"")="Active",IFERROR(INDEX(Register!$Z$6:$Z$305,ROW()-5),"")=1,$BN157=0),1,0))</f>
        <v/>
      </c>
      <c r="BP157" s="31">
        <f>IF(AND(IFERROR(INDEX(Register!$A$6:$A$305,ROW()-5),"")&lt;&gt;"",IFERROR(INDEX(Register!$D$6:$D$305,ROW()-5),"")="Proposed"),$BN157,0)</f>
        <v/>
      </c>
    </row>
    <row r="158">
      <c r="A158" s="29" t="n"/>
      <c r="B158" s="29" t="n"/>
      <c r="C158" s="53" t="n"/>
      <c r="D158" s="53" t="n"/>
      <c r="E158" s="48" t="n"/>
      <c r="F158" s="31">
        <f>IF($S158=0,"",IF($V158=0,"△ Person not on People",IF($T158=0,"△ Row not on the Register",IF($U158=0,"△ Register row has no Status",IF($AA158=0,"△ From, To or days missing or not valid",IF($U158=3,"△ Row is Completed or Terminated. Clear the line.",IF($X158=1,"△ Booked past the forecast date",IF($U158=2,"○ Pencilled in","○ Clear"))))))))</f>
        <v/>
      </c>
      <c r="S158" s="31">
        <f>IF(COUNTA($A158:$E158)&gt;0,1,0)</f>
        <v/>
      </c>
      <c r="T158" s="31">
        <f>IF($A158="",0,IFERROR(MATCH($A158,Register!$A$6:$A$305,0),0))</f>
        <v/>
      </c>
      <c r="U158" s="31">
        <f>IF($T158=0,0,IF(INDEX(Register!$Q$6:$Q$305,$T158)=1,1,IF(INDEX(Register!$D$6:$D$305,$T158)="Proposed",2,IF(OR(INDEX(Register!$D$6:$D$305,$T158)="Completed",INDEX(Register!$D$6:$D$305,$T158)="Terminated"),3,0))))</f>
        <v/>
      </c>
      <c r="V158" s="31">
        <f>IF($B158="",0,IF(OR($B158="Outside team",COUNTIF($A$63:$A$102,$B158)&gt;0),1,0))</f>
        <v/>
      </c>
      <c r="W158" s="31">
        <f>IF($S158=0,0,1-$Y158)</f>
        <v/>
      </c>
      <c r="X158" s="31">
        <f>IF(OR($Y158=0,$U158&lt;&gt;1,$D$17=""),0,IF(AND(INDEX(Register!$B$6:$B$305,$T158)="Project",N(INDEX(Register!$U$6:$U$305,$T158))&gt;0,$D158&gt;N(INDEX(Register!$U$6:$U$305,$T158))),1,0))</f>
        <v/>
      </c>
      <c r="Y158" s="31">
        <f>IF($S158=0,0,IF(AND($V158=1,$T158&gt;0,$U158&gt;0,$AA158=1),1,0))</f>
        <v/>
      </c>
      <c r="Z158" s="31">
        <f>IF(OR($Y158=0,$D$17=""),0,$E158*MAX(0,(MIN($D158,$P$17)-MAX($C158,$D$17))/7+1))</f>
        <v/>
      </c>
      <c r="AA158" s="31">
        <f>IF($S158=0,0,IF(AND(ISNUMBER($C158),ISNUMBER($D158),ISNUMBER($E158)),IF(AND(WEEKDAY($C158,2)=1,WEEKDAY($D158,2)=1,$D158&gt;=$C158,$E158&gt;=0,$E158&lt;=7),1,0),0))</f>
        <v/>
      </c>
      <c r="BN158" s="31">
        <f>IF(IFERROR(INDEX(Register!$A$6:$A$305,ROW()-5),"")="",0,SUMIF($A$139:$A$288,IFERROR(INDEX(Register!$A$6:$A$305,ROW()-5),""),$Z$139:$Z$288))</f>
        <v/>
      </c>
      <c r="BO158" s="31">
        <f>IF(OR(IFERROR(INDEX(Register!$A$6:$A$305,ROW()-5),"")="",SUM($Z$139:$Z$288)=0),0,IF(AND(IFERROR(INDEX(Register!$B$6:$B$305,ROW()-5),"")="Project",IFERROR(INDEX(Register!$D$6:$D$305,ROW()-5),"")="Active",IFERROR(INDEX(Register!$Z$6:$Z$305,ROW()-5),"")=1,$BN158=0),1,0))</f>
        <v/>
      </c>
      <c r="BP158" s="31">
        <f>IF(AND(IFERROR(INDEX(Register!$A$6:$A$305,ROW()-5),"")&lt;&gt;"",IFERROR(INDEX(Register!$D$6:$D$305,ROW()-5),"")="Proposed"),$BN158,0)</f>
        <v/>
      </c>
    </row>
    <row r="159">
      <c r="A159" s="29" t="n"/>
      <c r="B159" s="29" t="n"/>
      <c r="C159" s="53" t="n"/>
      <c r="D159" s="53" t="n"/>
      <c r="E159" s="48" t="n"/>
      <c r="F159" s="31">
        <f>IF($S159=0,"",IF($V159=0,"△ Person not on People",IF($T159=0,"△ Row not on the Register",IF($U159=0,"△ Register row has no Status",IF($AA159=0,"△ From, To or days missing or not valid",IF($U159=3,"△ Row is Completed or Terminated. Clear the line.",IF($X159=1,"△ Booked past the forecast date",IF($U159=2,"○ Pencilled in","○ Clear"))))))))</f>
        <v/>
      </c>
      <c r="S159" s="31">
        <f>IF(COUNTA($A159:$E159)&gt;0,1,0)</f>
        <v/>
      </c>
      <c r="T159" s="31">
        <f>IF($A159="",0,IFERROR(MATCH($A159,Register!$A$6:$A$305,0),0))</f>
        <v/>
      </c>
      <c r="U159" s="31">
        <f>IF($T159=0,0,IF(INDEX(Register!$Q$6:$Q$305,$T159)=1,1,IF(INDEX(Register!$D$6:$D$305,$T159)="Proposed",2,IF(OR(INDEX(Register!$D$6:$D$305,$T159)="Completed",INDEX(Register!$D$6:$D$305,$T159)="Terminated"),3,0))))</f>
        <v/>
      </c>
      <c r="V159" s="31">
        <f>IF($B159="",0,IF(OR($B159="Outside team",COUNTIF($A$63:$A$102,$B159)&gt;0),1,0))</f>
        <v/>
      </c>
      <c r="W159" s="31">
        <f>IF($S159=0,0,1-$Y159)</f>
        <v/>
      </c>
      <c r="X159" s="31">
        <f>IF(OR($Y159=0,$U159&lt;&gt;1,$D$17=""),0,IF(AND(INDEX(Register!$B$6:$B$305,$T159)="Project",N(INDEX(Register!$U$6:$U$305,$T159))&gt;0,$D159&gt;N(INDEX(Register!$U$6:$U$305,$T159))),1,0))</f>
        <v/>
      </c>
      <c r="Y159" s="31">
        <f>IF($S159=0,0,IF(AND($V159=1,$T159&gt;0,$U159&gt;0,$AA159=1),1,0))</f>
        <v/>
      </c>
      <c r="Z159" s="31">
        <f>IF(OR($Y159=0,$D$17=""),0,$E159*MAX(0,(MIN($D159,$P$17)-MAX($C159,$D$17))/7+1))</f>
        <v/>
      </c>
      <c r="AA159" s="31">
        <f>IF($S159=0,0,IF(AND(ISNUMBER($C159),ISNUMBER($D159),ISNUMBER($E159)),IF(AND(WEEKDAY($C159,2)=1,WEEKDAY($D159,2)=1,$D159&gt;=$C159,$E159&gt;=0,$E159&lt;=7),1,0),0))</f>
        <v/>
      </c>
      <c r="BN159" s="31">
        <f>IF(IFERROR(INDEX(Register!$A$6:$A$305,ROW()-5),"")="",0,SUMIF($A$139:$A$288,IFERROR(INDEX(Register!$A$6:$A$305,ROW()-5),""),$Z$139:$Z$288))</f>
        <v/>
      </c>
      <c r="BO159" s="31">
        <f>IF(OR(IFERROR(INDEX(Register!$A$6:$A$305,ROW()-5),"")="",SUM($Z$139:$Z$288)=0),0,IF(AND(IFERROR(INDEX(Register!$B$6:$B$305,ROW()-5),"")="Project",IFERROR(INDEX(Register!$D$6:$D$305,ROW()-5),"")="Active",IFERROR(INDEX(Register!$Z$6:$Z$305,ROW()-5),"")=1,$BN159=0),1,0))</f>
        <v/>
      </c>
      <c r="BP159" s="31">
        <f>IF(AND(IFERROR(INDEX(Register!$A$6:$A$305,ROW()-5),"")&lt;&gt;"",IFERROR(INDEX(Register!$D$6:$D$305,ROW()-5),"")="Proposed"),$BN159,0)</f>
        <v/>
      </c>
    </row>
    <row r="160">
      <c r="A160" s="29" t="n"/>
      <c r="B160" s="29" t="n"/>
      <c r="C160" s="53" t="n"/>
      <c r="D160" s="53" t="n"/>
      <c r="E160" s="48" t="n"/>
      <c r="F160" s="31">
        <f>IF($S160=0,"",IF($V160=0,"△ Person not on People",IF($T160=0,"△ Row not on the Register",IF($U160=0,"△ Register row has no Status",IF($AA160=0,"△ From, To or days missing or not valid",IF($U160=3,"△ Row is Completed or Terminated. Clear the line.",IF($X160=1,"△ Booked past the forecast date",IF($U160=2,"○ Pencilled in","○ Clear"))))))))</f>
        <v/>
      </c>
      <c r="S160" s="31">
        <f>IF(COUNTA($A160:$E160)&gt;0,1,0)</f>
        <v/>
      </c>
      <c r="T160" s="31">
        <f>IF($A160="",0,IFERROR(MATCH($A160,Register!$A$6:$A$305,0),0))</f>
        <v/>
      </c>
      <c r="U160" s="31">
        <f>IF($T160=0,0,IF(INDEX(Register!$Q$6:$Q$305,$T160)=1,1,IF(INDEX(Register!$D$6:$D$305,$T160)="Proposed",2,IF(OR(INDEX(Register!$D$6:$D$305,$T160)="Completed",INDEX(Register!$D$6:$D$305,$T160)="Terminated"),3,0))))</f>
        <v/>
      </c>
      <c r="V160" s="31">
        <f>IF($B160="",0,IF(OR($B160="Outside team",COUNTIF($A$63:$A$102,$B160)&gt;0),1,0))</f>
        <v/>
      </c>
      <c r="W160" s="31">
        <f>IF($S160=0,0,1-$Y160)</f>
        <v/>
      </c>
      <c r="X160" s="31">
        <f>IF(OR($Y160=0,$U160&lt;&gt;1,$D$17=""),0,IF(AND(INDEX(Register!$B$6:$B$305,$T160)="Project",N(INDEX(Register!$U$6:$U$305,$T160))&gt;0,$D160&gt;N(INDEX(Register!$U$6:$U$305,$T160))),1,0))</f>
        <v/>
      </c>
      <c r="Y160" s="31">
        <f>IF($S160=0,0,IF(AND($V160=1,$T160&gt;0,$U160&gt;0,$AA160=1),1,0))</f>
        <v/>
      </c>
      <c r="Z160" s="31">
        <f>IF(OR($Y160=0,$D$17=""),0,$E160*MAX(0,(MIN($D160,$P$17)-MAX($C160,$D$17))/7+1))</f>
        <v/>
      </c>
      <c r="AA160" s="31">
        <f>IF($S160=0,0,IF(AND(ISNUMBER($C160),ISNUMBER($D160),ISNUMBER($E160)),IF(AND(WEEKDAY($C160,2)=1,WEEKDAY($D160,2)=1,$D160&gt;=$C160,$E160&gt;=0,$E160&lt;=7),1,0),0))</f>
        <v/>
      </c>
      <c r="BN160" s="31">
        <f>IF(IFERROR(INDEX(Register!$A$6:$A$305,ROW()-5),"")="",0,SUMIF($A$139:$A$288,IFERROR(INDEX(Register!$A$6:$A$305,ROW()-5),""),$Z$139:$Z$288))</f>
        <v/>
      </c>
      <c r="BO160" s="31">
        <f>IF(OR(IFERROR(INDEX(Register!$A$6:$A$305,ROW()-5),"")="",SUM($Z$139:$Z$288)=0),0,IF(AND(IFERROR(INDEX(Register!$B$6:$B$305,ROW()-5),"")="Project",IFERROR(INDEX(Register!$D$6:$D$305,ROW()-5),"")="Active",IFERROR(INDEX(Register!$Z$6:$Z$305,ROW()-5),"")=1,$BN160=0),1,0))</f>
        <v/>
      </c>
      <c r="BP160" s="31">
        <f>IF(AND(IFERROR(INDEX(Register!$A$6:$A$305,ROW()-5),"")&lt;&gt;"",IFERROR(INDEX(Register!$D$6:$D$305,ROW()-5),"")="Proposed"),$BN160,0)</f>
        <v/>
      </c>
    </row>
    <row r="161">
      <c r="A161" s="29" t="n"/>
      <c r="B161" s="29" t="n"/>
      <c r="C161" s="53" t="n"/>
      <c r="D161" s="53" t="n"/>
      <c r="E161" s="48" t="n"/>
      <c r="F161" s="31">
        <f>IF($S161=0,"",IF($V161=0,"△ Person not on People",IF($T161=0,"△ Row not on the Register",IF($U161=0,"△ Register row has no Status",IF($AA161=0,"△ From, To or days missing or not valid",IF($U161=3,"△ Row is Completed or Terminated. Clear the line.",IF($X161=1,"△ Booked past the forecast date",IF($U161=2,"○ Pencilled in","○ Clear"))))))))</f>
        <v/>
      </c>
      <c r="S161" s="31">
        <f>IF(COUNTA($A161:$E161)&gt;0,1,0)</f>
        <v/>
      </c>
      <c r="T161" s="31">
        <f>IF($A161="",0,IFERROR(MATCH($A161,Register!$A$6:$A$305,0),0))</f>
        <v/>
      </c>
      <c r="U161" s="31">
        <f>IF($T161=0,0,IF(INDEX(Register!$Q$6:$Q$305,$T161)=1,1,IF(INDEX(Register!$D$6:$D$305,$T161)="Proposed",2,IF(OR(INDEX(Register!$D$6:$D$305,$T161)="Completed",INDEX(Register!$D$6:$D$305,$T161)="Terminated"),3,0))))</f>
        <v/>
      </c>
      <c r="V161" s="31">
        <f>IF($B161="",0,IF(OR($B161="Outside team",COUNTIF($A$63:$A$102,$B161)&gt;0),1,0))</f>
        <v/>
      </c>
      <c r="W161" s="31">
        <f>IF($S161=0,0,1-$Y161)</f>
        <v/>
      </c>
      <c r="X161" s="31">
        <f>IF(OR($Y161=0,$U161&lt;&gt;1,$D$17=""),0,IF(AND(INDEX(Register!$B$6:$B$305,$T161)="Project",N(INDEX(Register!$U$6:$U$305,$T161))&gt;0,$D161&gt;N(INDEX(Register!$U$6:$U$305,$T161))),1,0))</f>
        <v/>
      </c>
      <c r="Y161" s="31">
        <f>IF($S161=0,0,IF(AND($V161=1,$T161&gt;0,$U161&gt;0,$AA161=1),1,0))</f>
        <v/>
      </c>
      <c r="Z161" s="31">
        <f>IF(OR($Y161=0,$D$17=""),0,$E161*MAX(0,(MIN($D161,$P$17)-MAX($C161,$D$17))/7+1))</f>
        <v/>
      </c>
      <c r="AA161" s="31">
        <f>IF($S161=0,0,IF(AND(ISNUMBER($C161),ISNUMBER($D161),ISNUMBER($E161)),IF(AND(WEEKDAY($C161,2)=1,WEEKDAY($D161,2)=1,$D161&gt;=$C161,$E161&gt;=0,$E161&lt;=7),1,0),0))</f>
        <v/>
      </c>
      <c r="BN161" s="31">
        <f>IF(IFERROR(INDEX(Register!$A$6:$A$305,ROW()-5),"")="",0,SUMIF($A$139:$A$288,IFERROR(INDEX(Register!$A$6:$A$305,ROW()-5),""),$Z$139:$Z$288))</f>
        <v/>
      </c>
      <c r="BO161" s="31">
        <f>IF(OR(IFERROR(INDEX(Register!$A$6:$A$305,ROW()-5),"")="",SUM($Z$139:$Z$288)=0),0,IF(AND(IFERROR(INDEX(Register!$B$6:$B$305,ROW()-5),"")="Project",IFERROR(INDEX(Register!$D$6:$D$305,ROW()-5),"")="Active",IFERROR(INDEX(Register!$Z$6:$Z$305,ROW()-5),"")=1,$BN161=0),1,0))</f>
        <v/>
      </c>
      <c r="BP161" s="31">
        <f>IF(AND(IFERROR(INDEX(Register!$A$6:$A$305,ROW()-5),"")&lt;&gt;"",IFERROR(INDEX(Register!$D$6:$D$305,ROW()-5),"")="Proposed"),$BN161,0)</f>
        <v/>
      </c>
    </row>
    <row r="162">
      <c r="A162" s="29" t="n"/>
      <c r="B162" s="29" t="n"/>
      <c r="C162" s="53" t="n"/>
      <c r="D162" s="53" t="n"/>
      <c r="E162" s="48" t="n"/>
      <c r="F162" s="31">
        <f>IF($S162=0,"",IF($V162=0,"△ Person not on People",IF($T162=0,"△ Row not on the Register",IF($U162=0,"△ Register row has no Status",IF($AA162=0,"△ From, To or days missing or not valid",IF($U162=3,"△ Row is Completed or Terminated. Clear the line.",IF($X162=1,"△ Booked past the forecast date",IF($U162=2,"○ Pencilled in","○ Clear"))))))))</f>
        <v/>
      </c>
      <c r="S162" s="31">
        <f>IF(COUNTA($A162:$E162)&gt;0,1,0)</f>
        <v/>
      </c>
      <c r="T162" s="31">
        <f>IF($A162="",0,IFERROR(MATCH($A162,Register!$A$6:$A$305,0),0))</f>
        <v/>
      </c>
      <c r="U162" s="31">
        <f>IF($T162=0,0,IF(INDEX(Register!$Q$6:$Q$305,$T162)=1,1,IF(INDEX(Register!$D$6:$D$305,$T162)="Proposed",2,IF(OR(INDEX(Register!$D$6:$D$305,$T162)="Completed",INDEX(Register!$D$6:$D$305,$T162)="Terminated"),3,0))))</f>
        <v/>
      </c>
      <c r="V162" s="31">
        <f>IF($B162="",0,IF(OR($B162="Outside team",COUNTIF($A$63:$A$102,$B162)&gt;0),1,0))</f>
        <v/>
      </c>
      <c r="W162" s="31">
        <f>IF($S162=0,0,1-$Y162)</f>
        <v/>
      </c>
      <c r="X162" s="31">
        <f>IF(OR($Y162=0,$U162&lt;&gt;1,$D$17=""),0,IF(AND(INDEX(Register!$B$6:$B$305,$T162)="Project",N(INDEX(Register!$U$6:$U$305,$T162))&gt;0,$D162&gt;N(INDEX(Register!$U$6:$U$305,$T162))),1,0))</f>
        <v/>
      </c>
      <c r="Y162" s="31">
        <f>IF($S162=0,0,IF(AND($V162=1,$T162&gt;0,$U162&gt;0,$AA162=1),1,0))</f>
        <v/>
      </c>
      <c r="Z162" s="31">
        <f>IF(OR($Y162=0,$D$17=""),0,$E162*MAX(0,(MIN($D162,$P$17)-MAX($C162,$D$17))/7+1))</f>
        <v/>
      </c>
      <c r="AA162" s="31">
        <f>IF($S162=0,0,IF(AND(ISNUMBER($C162),ISNUMBER($D162),ISNUMBER($E162)),IF(AND(WEEKDAY($C162,2)=1,WEEKDAY($D162,2)=1,$D162&gt;=$C162,$E162&gt;=0,$E162&lt;=7),1,0),0))</f>
        <v/>
      </c>
      <c r="BN162" s="31">
        <f>IF(IFERROR(INDEX(Register!$A$6:$A$305,ROW()-5),"")="",0,SUMIF($A$139:$A$288,IFERROR(INDEX(Register!$A$6:$A$305,ROW()-5),""),$Z$139:$Z$288))</f>
        <v/>
      </c>
      <c r="BO162" s="31">
        <f>IF(OR(IFERROR(INDEX(Register!$A$6:$A$305,ROW()-5),"")="",SUM($Z$139:$Z$288)=0),0,IF(AND(IFERROR(INDEX(Register!$B$6:$B$305,ROW()-5),"")="Project",IFERROR(INDEX(Register!$D$6:$D$305,ROW()-5),"")="Active",IFERROR(INDEX(Register!$Z$6:$Z$305,ROW()-5),"")=1,$BN162=0),1,0))</f>
        <v/>
      </c>
      <c r="BP162" s="31">
        <f>IF(AND(IFERROR(INDEX(Register!$A$6:$A$305,ROW()-5),"")&lt;&gt;"",IFERROR(INDEX(Register!$D$6:$D$305,ROW()-5),"")="Proposed"),$BN162,0)</f>
        <v/>
      </c>
    </row>
    <row r="163">
      <c r="A163" s="29" t="n"/>
      <c r="B163" s="29" t="n"/>
      <c r="C163" s="53" t="n"/>
      <c r="D163" s="53" t="n"/>
      <c r="E163" s="48" t="n"/>
      <c r="F163" s="31">
        <f>IF($S163=0,"",IF($V163=0,"△ Person not on People",IF($T163=0,"△ Row not on the Register",IF($U163=0,"△ Register row has no Status",IF($AA163=0,"△ From, To or days missing or not valid",IF($U163=3,"△ Row is Completed or Terminated. Clear the line.",IF($X163=1,"△ Booked past the forecast date",IF($U163=2,"○ Pencilled in","○ Clear"))))))))</f>
        <v/>
      </c>
      <c r="S163" s="31">
        <f>IF(COUNTA($A163:$E163)&gt;0,1,0)</f>
        <v/>
      </c>
      <c r="T163" s="31">
        <f>IF($A163="",0,IFERROR(MATCH($A163,Register!$A$6:$A$305,0),0))</f>
        <v/>
      </c>
      <c r="U163" s="31">
        <f>IF($T163=0,0,IF(INDEX(Register!$Q$6:$Q$305,$T163)=1,1,IF(INDEX(Register!$D$6:$D$305,$T163)="Proposed",2,IF(OR(INDEX(Register!$D$6:$D$305,$T163)="Completed",INDEX(Register!$D$6:$D$305,$T163)="Terminated"),3,0))))</f>
        <v/>
      </c>
      <c r="V163" s="31">
        <f>IF($B163="",0,IF(OR($B163="Outside team",COUNTIF($A$63:$A$102,$B163)&gt;0),1,0))</f>
        <v/>
      </c>
      <c r="W163" s="31">
        <f>IF($S163=0,0,1-$Y163)</f>
        <v/>
      </c>
      <c r="X163" s="31">
        <f>IF(OR($Y163=0,$U163&lt;&gt;1,$D$17=""),0,IF(AND(INDEX(Register!$B$6:$B$305,$T163)="Project",N(INDEX(Register!$U$6:$U$305,$T163))&gt;0,$D163&gt;N(INDEX(Register!$U$6:$U$305,$T163))),1,0))</f>
        <v/>
      </c>
      <c r="Y163" s="31">
        <f>IF($S163=0,0,IF(AND($V163=1,$T163&gt;0,$U163&gt;0,$AA163=1),1,0))</f>
        <v/>
      </c>
      <c r="Z163" s="31">
        <f>IF(OR($Y163=0,$D$17=""),0,$E163*MAX(0,(MIN($D163,$P$17)-MAX($C163,$D$17))/7+1))</f>
        <v/>
      </c>
      <c r="AA163" s="31">
        <f>IF($S163=0,0,IF(AND(ISNUMBER($C163),ISNUMBER($D163),ISNUMBER($E163)),IF(AND(WEEKDAY($C163,2)=1,WEEKDAY($D163,2)=1,$D163&gt;=$C163,$E163&gt;=0,$E163&lt;=7),1,0),0))</f>
        <v/>
      </c>
      <c r="BN163" s="31">
        <f>IF(IFERROR(INDEX(Register!$A$6:$A$305,ROW()-5),"")="",0,SUMIF($A$139:$A$288,IFERROR(INDEX(Register!$A$6:$A$305,ROW()-5),""),$Z$139:$Z$288))</f>
        <v/>
      </c>
      <c r="BO163" s="31">
        <f>IF(OR(IFERROR(INDEX(Register!$A$6:$A$305,ROW()-5),"")="",SUM($Z$139:$Z$288)=0),0,IF(AND(IFERROR(INDEX(Register!$B$6:$B$305,ROW()-5),"")="Project",IFERROR(INDEX(Register!$D$6:$D$305,ROW()-5),"")="Active",IFERROR(INDEX(Register!$Z$6:$Z$305,ROW()-5),"")=1,$BN163=0),1,0))</f>
        <v/>
      </c>
      <c r="BP163" s="31">
        <f>IF(AND(IFERROR(INDEX(Register!$A$6:$A$305,ROW()-5),"")&lt;&gt;"",IFERROR(INDEX(Register!$D$6:$D$305,ROW()-5),"")="Proposed"),$BN163,0)</f>
        <v/>
      </c>
    </row>
    <row r="164">
      <c r="A164" s="29" t="n"/>
      <c r="B164" s="29" t="n"/>
      <c r="C164" s="53" t="n"/>
      <c r="D164" s="53" t="n"/>
      <c r="E164" s="48" t="n"/>
      <c r="F164" s="31">
        <f>IF($S164=0,"",IF($V164=0,"△ Person not on People",IF($T164=0,"△ Row not on the Register",IF($U164=0,"△ Register row has no Status",IF($AA164=0,"△ From, To or days missing or not valid",IF($U164=3,"△ Row is Completed or Terminated. Clear the line.",IF($X164=1,"△ Booked past the forecast date",IF($U164=2,"○ Pencilled in","○ Clear"))))))))</f>
        <v/>
      </c>
      <c r="S164" s="31">
        <f>IF(COUNTA($A164:$E164)&gt;0,1,0)</f>
        <v/>
      </c>
      <c r="T164" s="31">
        <f>IF($A164="",0,IFERROR(MATCH($A164,Register!$A$6:$A$305,0),0))</f>
        <v/>
      </c>
      <c r="U164" s="31">
        <f>IF($T164=0,0,IF(INDEX(Register!$Q$6:$Q$305,$T164)=1,1,IF(INDEX(Register!$D$6:$D$305,$T164)="Proposed",2,IF(OR(INDEX(Register!$D$6:$D$305,$T164)="Completed",INDEX(Register!$D$6:$D$305,$T164)="Terminated"),3,0))))</f>
        <v/>
      </c>
      <c r="V164" s="31">
        <f>IF($B164="",0,IF(OR($B164="Outside team",COUNTIF($A$63:$A$102,$B164)&gt;0),1,0))</f>
        <v/>
      </c>
      <c r="W164" s="31">
        <f>IF($S164=0,0,1-$Y164)</f>
        <v/>
      </c>
      <c r="X164" s="31">
        <f>IF(OR($Y164=0,$U164&lt;&gt;1,$D$17=""),0,IF(AND(INDEX(Register!$B$6:$B$305,$T164)="Project",N(INDEX(Register!$U$6:$U$305,$T164))&gt;0,$D164&gt;N(INDEX(Register!$U$6:$U$305,$T164))),1,0))</f>
        <v/>
      </c>
      <c r="Y164" s="31">
        <f>IF($S164=0,0,IF(AND($V164=1,$T164&gt;0,$U164&gt;0,$AA164=1),1,0))</f>
        <v/>
      </c>
      <c r="Z164" s="31">
        <f>IF(OR($Y164=0,$D$17=""),0,$E164*MAX(0,(MIN($D164,$P$17)-MAX($C164,$D$17))/7+1))</f>
        <v/>
      </c>
      <c r="AA164" s="31">
        <f>IF($S164=0,0,IF(AND(ISNUMBER($C164),ISNUMBER($D164),ISNUMBER($E164)),IF(AND(WEEKDAY($C164,2)=1,WEEKDAY($D164,2)=1,$D164&gt;=$C164,$E164&gt;=0,$E164&lt;=7),1,0),0))</f>
        <v/>
      </c>
      <c r="BN164" s="31">
        <f>IF(IFERROR(INDEX(Register!$A$6:$A$305,ROW()-5),"")="",0,SUMIF($A$139:$A$288,IFERROR(INDEX(Register!$A$6:$A$305,ROW()-5),""),$Z$139:$Z$288))</f>
        <v/>
      </c>
      <c r="BO164" s="31">
        <f>IF(OR(IFERROR(INDEX(Register!$A$6:$A$305,ROW()-5),"")="",SUM($Z$139:$Z$288)=0),0,IF(AND(IFERROR(INDEX(Register!$B$6:$B$305,ROW()-5),"")="Project",IFERROR(INDEX(Register!$D$6:$D$305,ROW()-5),"")="Active",IFERROR(INDEX(Register!$Z$6:$Z$305,ROW()-5),"")=1,$BN164=0),1,0))</f>
        <v/>
      </c>
      <c r="BP164" s="31">
        <f>IF(AND(IFERROR(INDEX(Register!$A$6:$A$305,ROW()-5),"")&lt;&gt;"",IFERROR(INDEX(Register!$D$6:$D$305,ROW()-5),"")="Proposed"),$BN164,0)</f>
        <v/>
      </c>
    </row>
    <row r="165">
      <c r="A165" s="29" t="n"/>
      <c r="B165" s="29" t="n"/>
      <c r="C165" s="53" t="n"/>
      <c r="D165" s="53" t="n"/>
      <c r="E165" s="48" t="n"/>
      <c r="F165" s="31">
        <f>IF($S165=0,"",IF($V165=0,"△ Person not on People",IF($T165=0,"△ Row not on the Register",IF($U165=0,"△ Register row has no Status",IF($AA165=0,"△ From, To or days missing or not valid",IF($U165=3,"△ Row is Completed or Terminated. Clear the line.",IF($X165=1,"△ Booked past the forecast date",IF($U165=2,"○ Pencilled in","○ Clear"))))))))</f>
        <v/>
      </c>
      <c r="S165" s="31">
        <f>IF(COUNTA($A165:$E165)&gt;0,1,0)</f>
        <v/>
      </c>
      <c r="T165" s="31">
        <f>IF($A165="",0,IFERROR(MATCH($A165,Register!$A$6:$A$305,0),0))</f>
        <v/>
      </c>
      <c r="U165" s="31">
        <f>IF($T165=0,0,IF(INDEX(Register!$Q$6:$Q$305,$T165)=1,1,IF(INDEX(Register!$D$6:$D$305,$T165)="Proposed",2,IF(OR(INDEX(Register!$D$6:$D$305,$T165)="Completed",INDEX(Register!$D$6:$D$305,$T165)="Terminated"),3,0))))</f>
        <v/>
      </c>
      <c r="V165" s="31">
        <f>IF($B165="",0,IF(OR($B165="Outside team",COUNTIF($A$63:$A$102,$B165)&gt;0),1,0))</f>
        <v/>
      </c>
      <c r="W165" s="31">
        <f>IF($S165=0,0,1-$Y165)</f>
        <v/>
      </c>
      <c r="X165" s="31">
        <f>IF(OR($Y165=0,$U165&lt;&gt;1,$D$17=""),0,IF(AND(INDEX(Register!$B$6:$B$305,$T165)="Project",N(INDEX(Register!$U$6:$U$305,$T165))&gt;0,$D165&gt;N(INDEX(Register!$U$6:$U$305,$T165))),1,0))</f>
        <v/>
      </c>
      <c r="Y165" s="31">
        <f>IF($S165=0,0,IF(AND($V165=1,$T165&gt;0,$U165&gt;0,$AA165=1),1,0))</f>
        <v/>
      </c>
      <c r="Z165" s="31">
        <f>IF(OR($Y165=0,$D$17=""),0,$E165*MAX(0,(MIN($D165,$P$17)-MAX($C165,$D$17))/7+1))</f>
        <v/>
      </c>
      <c r="AA165" s="31">
        <f>IF($S165=0,0,IF(AND(ISNUMBER($C165),ISNUMBER($D165),ISNUMBER($E165)),IF(AND(WEEKDAY($C165,2)=1,WEEKDAY($D165,2)=1,$D165&gt;=$C165,$E165&gt;=0,$E165&lt;=7),1,0),0))</f>
        <v/>
      </c>
      <c r="BN165" s="31">
        <f>IF(IFERROR(INDEX(Register!$A$6:$A$305,ROW()-5),"")="",0,SUMIF($A$139:$A$288,IFERROR(INDEX(Register!$A$6:$A$305,ROW()-5),""),$Z$139:$Z$288))</f>
        <v/>
      </c>
      <c r="BO165" s="31">
        <f>IF(OR(IFERROR(INDEX(Register!$A$6:$A$305,ROW()-5),"")="",SUM($Z$139:$Z$288)=0),0,IF(AND(IFERROR(INDEX(Register!$B$6:$B$305,ROW()-5),"")="Project",IFERROR(INDEX(Register!$D$6:$D$305,ROW()-5),"")="Active",IFERROR(INDEX(Register!$Z$6:$Z$305,ROW()-5),"")=1,$BN165=0),1,0))</f>
        <v/>
      </c>
      <c r="BP165" s="31">
        <f>IF(AND(IFERROR(INDEX(Register!$A$6:$A$305,ROW()-5),"")&lt;&gt;"",IFERROR(INDEX(Register!$D$6:$D$305,ROW()-5),"")="Proposed"),$BN165,0)</f>
        <v/>
      </c>
    </row>
    <row r="166">
      <c r="A166" s="29" t="n"/>
      <c r="B166" s="29" t="n"/>
      <c r="C166" s="53" t="n"/>
      <c r="D166" s="53" t="n"/>
      <c r="E166" s="48" t="n"/>
      <c r="F166" s="31">
        <f>IF($S166=0,"",IF($V166=0,"△ Person not on People",IF($T166=0,"△ Row not on the Register",IF($U166=0,"△ Register row has no Status",IF($AA166=0,"△ From, To or days missing or not valid",IF($U166=3,"△ Row is Completed or Terminated. Clear the line.",IF($X166=1,"△ Booked past the forecast date",IF($U166=2,"○ Pencilled in","○ Clear"))))))))</f>
        <v/>
      </c>
      <c r="S166" s="31">
        <f>IF(COUNTA($A166:$E166)&gt;0,1,0)</f>
        <v/>
      </c>
      <c r="T166" s="31">
        <f>IF($A166="",0,IFERROR(MATCH($A166,Register!$A$6:$A$305,0),0))</f>
        <v/>
      </c>
      <c r="U166" s="31">
        <f>IF($T166=0,0,IF(INDEX(Register!$Q$6:$Q$305,$T166)=1,1,IF(INDEX(Register!$D$6:$D$305,$T166)="Proposed",2,IF(OR(INDEX(Register!$D$6:$D$305,$T166)="Completed",INDEX(Register!$D$6:$D$305,$T166)="Terminated"),3,0))))</f>
        <v/>
      </c>
      <c r="V166" s="31">
        <f>IF($B166="",0,IF(OR($B166="Outside team",COUNTIF($A$63:$A$102,$B166)&gt;0),1,0))</f>
        <v/>
      </c>
      <c r="W166" s="31">
        <f>IF($S166=0,0,1-$Y166)</f>
        <v/>
      </c>
      <c r="X166" s="31">
        <f>IF(OR($Y166=0,$U166&lt;&gt;1,$D$17=""),0,IF(AND(INDEX(Register!$B$6:$B$305,$T166)="Project",N(INDEX(Register!$U$6:$U$305,$T166))&gt;0,$D166&gt;N(INDEX(Register!$U$6:$U$305,$T166))),1,0))</f>
        <v/>
      </c>
      <c r="Y166" s="31">
        <f>IF($S166=0,0,IF(AND($V166=1,$T166&gt;0,$U166&gt;0,$AA166=1),1,0))</f>
        <v/>
      </c>
      <c r="Z166" s="31">
        <f>IF(OR($Y166=0,$D$17=""),0,$E166*MAX(0,(MIN($D166,$P$17)-MAX($C166,$D$17))/7+1))</f>
        <v/>
      </c>
      <c r="AA166" s="31">
        <f>IF($S166=0,0,IF(AND(ISNUMBER($C166),ISNUMBER($D166),ISNUMBER($E166)),IF(AND(WEEKDAY($C166,2)=1,WEEKDAY($D166,2)=1,$D166&gt;=$C166,$E166&gt;=0,$E166&lt;=7),1,0),0))</f>
        <v/>
      </c>
      <c r="BN166" s="31">
        <f>IF(IFERROR(INDEX(Register!$A$6:$A$305,ROW()-5),"")="",0,SUMIF($A$139:$A$288,IFERROR(INDEX(Register!$A$6:$A$305,ROW()-5),""),$Z$139:$Z$288))</f>
        <v/>
      </c>
      <c r="BO166" s="31">
        <f>IF(OR(IFERROR(INDEX(Register!$A$6:$A$305,ROW()-5),"")="",SUM($Z$139:$Z$288)=0),0,IF(AND(IFERROR(INDEX(Register!$B$6:$B$305,ROW()-5),"")="Project",IFERROR(INDEX(Register!$D$6:$D$305,ROW()-5),"")="Active",IFERROR(INDEX(Register!$Z$6:$Z$305,ROW()-5),"")=1,$BN166=0),1,0))</f>
        <v/>
      </c>
      <c r="BP166" s="31">
        <f>IF(AND(IFERROR(INDEX(Register!$A$6:$A$305,ROW()-5),"")&lt;&gt;"",IFERROR(INDEX(Register!$D$6:$D$305,ROW()-5),"")="Proposed"),$BN166,0)</f>
        <v/>
      </c>
    </row>
    <row r="167">
      <c r="A167" s="29" t="n"/>
      <c r="B167" s="29" t="n"/>
      <c r="C167" s="53" t="n"/>
      <c r="D167" s="53" t="n"/>
      <c r="E167" s="48" t="n"/>
      <c r="F167" s="31">
        <f>IF($S167=0,"",IF($V167=0,"△ Person not on People",IF($T167=0,"△ Row not on the Register",IF($U167=0,"△ Register row has no Status",IF($AA167=0,"△ From, To or days missing or not valid",IF($U167=3,"△ Row is Completed or Terminated. Clear the line.",IF($X167=1,"△ Booked past the forecast date",IF($U167=2,"○ Pencilled in","○ Clear"))))))))</f>
        <v/>
      </c>
      <c r="S167" s="31">
        <f>IF(COUNTA($A167:$E167)&gt;0,1,0)</f>
        <v/>
      </c>
      <c r="T167" s="31">
        <f>IF($A167="",0,IFERROR(MATCH($A167,Register!$A$6:$A$305,0),0))</f>
        <v/>
      </c>
      <c r="U167" s="31">
        <f>IF($T167=0,0,IF(INDEX(Register!$Q$6:$Q$305,$T167)=1,1,IF(INDEX(Register!$D$6:$D$305,$T167)="Proposed",2,IF(OR(INDEX(Register!$D$6:$D$305,$T167)="Completed",INDEX(Register!$D$6:$D$305,$T167)="Terminated"),3,0))))</f>
        <v/>
      </c>
      <c r="V167" s="31">
        <f>IF($B167="",0,IF(OR($B167="Outside team",COUNTIF($A$63:$A$102,$B167)&gt;0),1,0))</f>
        <v/>
      </c>
      <c r="W167" s="31">
        <f>IF($S167=0,0,1-$Y167)</f>
        <v/>
      </c>
      <c r="X167" s="31">
        <f>IF(OR($Y167=0,$U167&lt;&gt;1,$D$17=""),0,IF(AND(INDEX(Register!$B$6:$B$305,$T167)="Project",N(INDEX(Register!$U$6:$U$305,$T167))&gt;0,$D167&gt;N(INDEX(Register!$U$6:$U$305,$T167))),1,0))</f>
        <v/>
      </c>
      <c r="Y167" s="31">
        <f>IF($S167=0,0,IF(AND($V167=1,$T167&gt;0,$U167&gt;0,$AA167=1),1,0))</f>
        <v/>
      </c>
      <c r="Z167" s="31">
        <f>IF(OR($Y167=0,$D$17=""),0,$E167*MAX(0,(MIN($D167,$P$17)-MAX($C167,$D$17))/7+1))</f>
        <v/>
      </c>
      <c r="AA167" s="31">
        <f>IF($S167=0,0,IF(AND(ISNUMBER($C167),ISNUMBER($D167),ISNUMBER($E167)),IF(AND(WEEKDAY($C167,2)=1,WEEKDAY($D167,2)=1,$D167&gt;=$C167,$E167&gt;=0,$E167&lt;=7),1,0),0))</f>
        <v/>
      </c>
      <c r="BN167" s="31">
        <f>IF(IFERROR(INDEX(Register!$A$6:$A$305,ROW()-5),"")="",0,SUMIF($A$139:$A$288,IFERROR(INDEX(Register!$A$6:$A$305,ROW()-5),""),$Z$139:$Z$288))</f>
        <v/>
      </c>
      <c r="BO167" s="31">
        <f>IF(OR(IFERROR(INDEX(Register!$A$6:$A$305,ROW()-5),"")="",SUM($Z$139:$Z$288)=0),0,IF(AND(IFERROR(INDEX(Register!$B$6:$B$305,ROW()-5),"")="Project",IFERROR(INDEX(Register!$D$6:$D$305,ROW()-5),"")="Active",IFERROR(INDEX(Register!$Z$6:$Z$305,ROW()-5),"")=1,$BN167=0),1,0))</f>
        <v/>
      </c>
      <c r="BP167" s="31">
        <f>IF(AND(IFERROR(INDEX(Register!$A$6:$A$305,ROW()-5),"")&lt;&gt;"",IFERROR(INDEX(Register!$D$6:$D$305,ROW()-5),"")="Proposed"),$BN167,0)</f>
        <v/>
      </c>
    </row>
    <row r="168">
      <c r="A168" s="29" t="n"/>
      <c r="B168" s="29" t="n"/>
      <c r="C168" s="53" t="n"/>
      <c r="D168" s="53" t="n"/>
      <c r="E168" s="48" t="n"/>
      <c r="F168" s="31">
        <f>IF($S168=0,"",IF($V168=0,"△ Person not on People",IF($T168=0,"△ Row not on the Register",IF($U168=0,"△ Register row has no Status",IF($AA168=0,"△ From, To or days missing or not valid",IF($U168=3,"△ Row is Completed or Terminated. Clear the line.",IF($X168=1,"△ Booked past the forecast date",IF($U168=2,"○ Pencilled in","○ Clear"))))))))</f>
        <v/>
      </c>
      <c r="S168" s="31">
        <f>IF(COUNTA($A168:$E168)&gt;0,1,0)</f>
        <v/>
      </c>
      <c r="T168" s="31">
        <f>IF($A168="",0,IFERROR(MATCH($A168,Register!$A$6:$A$305,0),0))</f>
        <v/>
      </c>
      <c r="U168" s="31">
        <f>IF($T168=0,0,IF(INDEX(Register!$Q$6:$Q$305,$T168)=1,1,IF(INDEX(Register!$D$6:$D$305,$T168)="Proposed",2,IF(OR(INDEX(Register!$D$6:$D$305,$T168)="Completed",INDEX(Register!$D$6:$D$305,$T168)="Terminated"),3,0))))</f>
        <v/>
      </c>
      <c r="V168" s="31">
        <f>IF($B168="",0,IF(OR($B168="Outside team",COUNTIF($A$63:$A$102,$B168)&gt;0),1,0))</f>
        <v/>
      </c>
      <c r="W168" s="31">
        <f>IF($S168=0,0,1-$Y168)</f>
        <v/>
      </c>
      <c r="X168" s="31">
        <f>IF(OR($Y168=0,$U168&lt;&gt;1,$D$17=""),0,IF(AND(INDEX(Register!$B$6:$B$305,$T168)="Project",N(INDEX(Register!$U$6:$U$305,$T168))&gt;0,$D168&gt;N(INDEX(Register!$U$6:$U$305,$T168))),1,0))</f>
        <v/>
      </c>
      <c r="Y168" s="31">
        <f>IF($S168=0,0,IF(AND($V168=1,$T168&gt;0,$U168&gt;0,$AA168=1),1,0))</f>
        <v/>
      </c>
      <c r="Z168" s="31">
        <f>IF(OR($Y168=0,$D$17=""),0,$E168*MAX(0,(MIN($D168,$P$17)-MAX($C168,$D$17))/7+1))</f>
        <v/>
      </c>
      <c r="AA168" s="31">
        <f>IF($S168=0,0,IF(AND(ISNUMBER($C168),ISNUMBER($D168),ISNUMBER($E168)),IF(AND(WEEKDAY($C168,2)=1,WEEKDAY($D168,2)=1,$D168&gt;=$C168,$E168&gt;=0,$E168&lt;=7),1,0),0))</f>
        <v/>
      </c>
      <c r="BN168" s="31">
        <f>IF(IFERROR(INDEX(Register!$A$6:$A$305,ROW()-5),"")="",0,SUMIF($A$139:$A$288,IFERROR(INDEX(Register!$A$6:$A$305,ROW()-5),""),$Z$139:$Z$288))</f>
        <v/>
      </c>
      <c r="BO168" s="31">
        <f>IF(OR(IFERROR(INDEX(Register!$A$6:$A$305,ROW()-5),"")="",SUM($Z$139:$Z$288)=0),0,IF(AND(IFERROR(INDEX(Register!$B$6:$B$305,ROW()-5),"")="Project",IFERROR(INDEX(Register!$D$6:$D$305,ROW()-5),"")="Active",IFERROR(INDEX(Register!$Z$6:$Z$305,ROW()-5),"")=1,$BN168=0),1,0))</f>
        <v/>
      </c>
      <c r="BP168" s="31">
        <f>IF(AND(IFERROR(INDEX(Register!$A$6:$A$305,ROW()-5),"")&lt;&gt;"",IFERROR(INDEX(Register!$D$6:$D$305,ROW()-5),"")="Proposed"),$BN168,0)</f>
        <v/>
      </c>
    </row>
    <row r="169">
      <c r="A169" s="29" t="n"/>
      <c r="B169" s="29" t="n"/>
      <c r="C169" s="53" t="n"/>
      <c r="D169" s="53" t="n"/>
      <c r="E169" s="48" t="n"/>
      <c r="F169" s="31">
        <f>IF($S169=0,"",IF($V169=0,"△ Person not on People",IF($T169=0,"△ Row not on the Register",IF($U169=0,"△ Register row has no Status",IF($AA169=0,"△ From, To or days missing or not valid",IF($U169=3,"△ Row is Completed or Terminated. Clear the line.",IF($X169=1,"△ Booked past the forecast date",IF($U169=2,"○ Pencilled in","○ Clear"))))))))</f>
        <v/>
      </c>
      <c r="S169" s="31">
        <f>IF(COUNTA($A169:$E169)&gt;0,1,0)</f>
        <v/>
      </c>
      <c r="T169" s="31">
        <f>IF($A169="",0,IFERROR(MATCH($A169,Register!$A$6:$A$305,0),0))</f>
        <v/>
      </c>
      <c r="U169" s="31">
        <f>IF($T169=0,0,IF(INDEX(Register!$Q$6:$Q$305,$T169)=1,1,IF(INDEX(Register!$D$6:$D$305,$T169)="Proposed",2,IF(OR(INDEX(Register!$D$6:$D$305,$T169)="Completed",INDEX(Register!$D$6:$D$305,$T169)="Terminated"),3,0))))</f>
        <v/>
      </c>
      <c r="V169" s="31">
        <f>IF($B169="",0,IF(OR($B169="Outside team",COUNTIF($A$63:$A$102,$B169)&gt;0),1,0))</f>
        <v/>
      </c>
      <c r="W169" s="31">
        <f>IF($S169=0,0,1-$Y169)</f>
        <v/>
      </c>
      <c r="X169" s="31">
        <f>IF(OR($Y169=0,$U169&lt;&gt;1,$D$17=""),0,IF(AND(INDEX(Register!$B$6:$B$305,$T169)="Project",N(INDEX(Register!$U$6:$U$305,$T169))&gt;0,$D169&gt;N(INDEX(Register!$U$6:$U$305,$T169))),1,0))</f>
        <v/>
      </c>
      <c r="Y169" s="31">
        <f>IF($S169=0,0,IF(AND($V169=1,$T169&gt;0,$U169&gt;0,$AA169=1),1,0))</f>
        <v/>
      </c>
      <c r="Z169" s="31">
        <f>IF(OR($Y169=0,$D$17=""),0,$E169*MAX(0,(MIN($D169,$P$17)-MAX($C169,$D$17))/7+1))</f>
        <v/>
      </c>
      <c r="AA169" s="31">
        <f>IF($S169=0,0,IF(AND(ISNUMBER($C169),ISNUMBER($D169),ISNUMBER($E169)),IF(AND(WEEKDAY($C169,2)=1,WEEKDAY($D169,2)=1,$D169&gt;=$C169,$E169&gt;=0,$E169&lt;=7),1,0),0))</f>
        <v/>
      </c>
      <c r="BN169" s="31">
        <f>IF(IFERROR(INDEX(Register!$A$6:$A$305,ROW()-5),"")="",0,SUMIF($A$139:$A$288,IFERROR(INDEX(Register!$A$6:$A$305,ROW()-5),""),$Z$139:$Z$288))</f>
        <v/>
      </c>
      <c r="BO169" s="31">
        <f>IF(OR(IFERROR(INDEX(Register!$A$6:$A$305,ROW()-5),"")="",SUM($Z$139:$Z$288)=0),0,IF(AND(IFERROR(INDEX(Register!$B$6:$B$305,ROW()-5),"")="Project",IFERROR(INDEX(Register!$D$6:$D$305,ROW()-5),"")="Active",IFERROR(INDEX(Register!$Z$6:$Z$305,ROW()-5),"")=1,$BN169=0),1,0))</f>
        <v/>
      </c>
      <c r="BP169" s="31">
        <f>IF(AND(IFERROR(INDEX(Register!$A$6:$A$305,ROW()-5),"")&lt;&gt;"",IFERROR(INDEX(Register!$D$6:$D$305,ROW()-5),"")="Proposed"),$BN169,0)</f>
        <v/>
      </c>
    </row>
    <row r="170">
      <c r="A170" s="29" t="n"/>
      <c r="B170" s="29" t="n"/>
      <c r="C170" s="53" t="n"/>
      <c r="D170" s="53" t="n"/>
      <c r="E170" s="48" t="n"/>
      <c r="F170" s="31">
        <f>IF($S170=0,"",IF($V170=0,"△ Person not on People",IF($T170=0,"△ Row not on the Register",IF($U170=0,"△ Register row has no Status",IF($AA170=0,"△ From, To or days missing or not valid",IF($U170=3,"△ Row is Completed or Terminated. Clear the line.",IF($X170=1,"△ Booked past the forecast date",IF($U170=2,"○ Pencilled in","○ Clear"))))))))</f>
        <v/>
      </c>
      <c r="S170" s="31">
        <f>IF(COUNTA($A170:$E170)&gt;0,1,0)</f>
        <v/>
      </c>
      <c r="T170" s="31">
        <f>IF($A170="",0,IFERROR(MATCH($A170,Register!$A$6:$A$305,0),0))</f>
        <v/>
      </c>
      <c r="U170" s="31">
        <f>IF($T170=0,0,IF(INDEX(Register!$Q$6:$Q$305,$T170)=1,1,IF(INDEX(Register!$D$6:$D$305,$T170)="Proposed",2,IF(OR(INDEX(Register!$D$6:$D$305,$T170)="Completed",INDEX(Register!$D$6:$D$305,$T170)="Terminated"),3,0))))</f>
        <v/>
      </c>
      <c r="V170" s="31">
        <f>IF($B170="",0,IF(OR($B170="Outside team",COUNTIF($A$63:$A$102,$B170)&gt;0),1,0))</f>
        <v/>
      </c>
      <c r="W170" s="31">
        <f>IF($S170=0,0,1-$Y170)</f>
        <v/>
      </c>
      <c r="X170" s="31">
        <f>IF(OR($Y170=0,$U170&lt;&gt;1,$D$17=""),0,IF(AND(INDEX(Register!$B$6:$B$305,$T170)="Project",N(INDEX(Register!$U$6:$U$305,$T170))&gt;0,$D170&gt;N(INDEX(Register!$U$6:$U$305,$T170))),1,0))</f>
        <v/>
      </c>
      <c r="Y170" s="31">
        <f>IF($S170=0,0,IF(AND($V170=1,$T170&gt;0,$U170&gt;0,$AA170=1),1,0))</f>
        <v/>
      </c>
      <c r="Z170" s="31">
        <f>IF(OR($Y170=0,$D$17=""),0,$E170*MAX(0,(MIN($D170,$P$17)-MAX($C170,$D$17))/7+1))</f>
        <v/>
      </c>
      <c r="AA170" s="31">
        <f>IF($S170=0,0,IF(AND(ISNUMBER($C170),ISNUMBER($D170),ISNUMBER($E170)),IF(AND(WEEKDAY($C170,2)=1,WEEKDAY($D170,2)=1,$D170&gt;=$C170,$E170&gt;=0,$E170&lt;=7),1,0),0))</f>
        <v/>
      </c>
      <c r="BN170" s="31">
        <f>IF(IFERROR(INDEX(Register!$A$6:$A$305,ROW()-5),"")="",0,SUMIF($A$139:$A$288,IFERROR(INDEX(Register!$A$6:$A$305,ROW()-5),""),$Z$139:$Z$288))</f>
        <v/>
      </c>
      <c r="BO170" s="31">
        <f>IF(OR(IFERROR(INDEX(Register!$A$6:$A$305,ROW()-5),"")="",SUM($Z$139:$Z$288)=0),0,IF(AND(IFERROR(INDEX(Register!$B$6:$B$305,ROW()-5),"")="Project",IFERROR(INDEX(Register!$D$6:$D$305,ROW()-5),"")="Active",IFERROR(INDEX(Register!$Z$6:$Z$305,ROW()-5),"")=1,$BN170=0),1,0))</f>
        <v/>
      </c>
      <c r="BP170" s="31">
        <f>IF(AND(IFERROR(INDEX(Register!$A$6:$A$305,ROW()-5),"")&lt;&gt;"",IFERROR(INDEX(Register!$D$6:$D$305,ROW()-5),"")="Proposed"),$BN170,0)</f>
        <v/>
      </c>
    </row>
    <row r="171">
      <c r="A171" s="29" t="n"/>
      <c r="B171" s="29" t="n"/>
      <c r="C171" s="53" t="n"/>
      <c r="D171" s="53" t="n"/>
      <c r="E171" s="48" t="n"/>
      <c r="F171" s="31">
        <f>IF($S171=0,"",IF($V171=0,"△ Person not on People",IF($T171=0,"△ Row not on the Register",IF($U171=0,"△ Register row has no Status",IF($AA171=0,"△ From, To or days missing or not valid",IF($U171=3,"△ Row is Completed or Terminated. Clear the line.",IF($X171=1,"△ Booked past the forecast date",IF($U171=2,"○ Pencilled in","○ Clear"))))))))</f>
        <v/>
      </c>
      <c r="S171" s="31">
        <f>IF(COUNTA($A171:$E171)&gt;0,1,0)</f>
        <v/>
      </c>
      <c r="T171" s="31">
        <f>IF($A171="",0,IFERROR(MATCH($A171,Register!$A$6:$A$305,0),0))</f>
        <v/>
      </c>
      <c r="U171" s="31">
        <f>IF($T171=0,0,IF(INDEX(Register!$Q$6:$Q$305,$T171)=1,1,IF(INDEX(Register!$D$6:$D$305,$T171)="Proposed",2,IF(OR(INDEX(Register!$D$6:$D$305,$T171)="Completed",INDEX(Register!$D$6:$D$305,$T171)="Terminated"),3,0))))</f>
        <v/>
      </c>
      <c r="V171" s="31">
        <f>IF($B171="",0,IF(OR($B171="Outside team",COUNTIF($A$63:$A$102,$B171)&gt;0),1,0))</f>
        <v/>
      </c>
      <c r="W171" s="31">
        <f>IF($S171=0,0,1-$Y171)</f>
        <v/>
      </c>
      <c r="X171" s="31">
        <f>IF(OR($Y171=0,$U171&lt;&gt;1,$D$17=""),0,IF(AND(INDEX(Register!$B$6:$B$305,$T171)="Project",N(INDEX(Register!$U$6:$U$305,$T171))&gt;0,$D171&gt;N(INDEX(Register!$U$6:$U$305,$T171))),1,0))</f>
        <v/>
      </c>
      <c r="Y171" s="31">
        <f>IF($S171=0,0,IF(AND($V171=1,$T171&gt;0,$U171&gt;0,$AA171=1),1,0))</f>
        <v/>
      </c>
      <c r="Z171" s="31">
        <f>IF(OR($Y171=0,$D$17=""),0,$E171*MAX(0,(MIN($D171,$P$17)-MAX($C171,$D$17))/7+1))</f>
        <v/>
      </c>
      <c r="AA171" s="31">
        <f>IF($S171=0,0,IF(AND(ISNUMBER($C171),ISNUMBER($D171),ISNUMBER($E171)),IF(AND(WEEKDAY($C171,2)=1,WEEKDAY($D171,2)=1,$D171&gt;=$C171,$E171&gt;=0,$E171&lt;=7),1,0),0))</f>
        <v/>
      </c>
      <c r="BN171" s="31">
        <f>IF(IFERROR(INDEX(Register!$A$6:$A$305,ROW()-5),"")="",0,SUMIF($A$139:$A$288,IFERROR(INDEX(Register!$A$6:$A$305,ROW()-5),""),$Z$139:$Z$288))</f>
        <v/>
      </c>
      <c r="BO171" s="31">
        <f>IF(OR(IFERROR(INDEX(Register!$A$6:$A$305,ROW()-5),"")="",SUM($Z$139:$Z$288)=0),0,IF(AND(IFERROR(INDEX(Register!$B$6:$B$305,ROW()-5),"")="Project",IFERROR(INDEX(Register!$D$6:$D$305,ROW()-5),"")="Active",IFERROR(INDEX(Register!$Z$6:$Z$305,ROW()-5),"")=1,$BN171=0),1,0))</f>
        <v/>
      </c>
      <c r="BP171" s="31">
        <f>IF(AND(IFERROR(INDEX(Register!$A$6:$A$305,ROW()-5),"")&lt;&gt;"",IFERROR(INDEX(Register!$D$6:$D$305,ROW()-5),"")="Proposed"),$BN171,0)</f>
        <v/>
      </c>
    </row>
    <row r="172">
      <c r="A172" s="29" t="n"/>
      <c r="B172" s="29" t="n"/>
      <c r="C172" s="53" t="n"/>
      <c r="D172" s="53" t="n"/>
      <c r="E172" s="48" t="n"/>
      <c r="F172" s="31">
        <f>IF($S172=0,"",IF($V172=0,"△ Person not on People",IF($T172=0,"△ Row not on the Register",IF($U172=0,"△ Register row has no Status",IF($AA172=0,"△ From, To or days missing or not valid",IF($U172=3,"△ Row is Completed or Terminated. Clear the line.",IF($X172=1,"△ Booked past the forecast date",IF($U172=2,"○ Pencilled in","○ Clear"))))))))</f>
        <v/>
      </c>
      <c r="S172" s="31">
        <f>IF(COUNTA($A172:$E172)&gt;0,1,0)</f>
        <v/>
      </c>
      <c r="T172" s="31">
        <f>IF($A172="",0,IFERROR(MATCH($A172,Register!$A$6:$A$305,0),0))</f>
        <v/>
      </c>
      <c r="U172" s="31">
        <f>IF($T172=0,0,IF(INDEX(Register!$Q$6:$Q$305,$T172)=1,1,IF(INDEX(Register!$D$6:$D$305,$T172)="Proposed",2,IF(OR(INDEX(Register!$D$6:$D$305,$T172)="Completed",INDEX(Register!$D$6:$D$305,$T172)="Terminated"),3,0))))</f>
        <v/>
      </c>
      <c r="V172" s="31">
        <f>IF($B172="",0,IF(OR($B172="Outside team",COUNTIF($A$63:$A$102,$B172)&gt;0),1,0))</f>
        <v/>
      </c>
      <c r="W172" s="31">
        <f>IF($S172=0,0,1-$Y172)</f>
        <v/>
      </c>
      <c r="X172" s="31">
        <f>IF(OR($Y172=0,$U172&lt;&gt;1,$D$17=""),0,IF(AND(INDEX(Register!$B$6:$B$305,$T172)="Project",N(INDEX(Register!$U$6:$U$305,$T172))&gt;0,$D172&gt;N(INDEX(Register!$U$6:$U$305,$T172))),1,0))</f>
        <v/>
      </c>
      <c r="Y172" s="31">
        <f>IF($S172=0,0,IF(AND($V172=1,$T172&gt;0,$U172&gt;0,$AA172=1),1,0))</f>
        <v/>
      </c>
      <c r="Z172" s="31">
        <f>IF(OR($Y172=0,$D$17=""),0,$E172*MAX(0,(MIN($D172,$P$17)-MAX($C172,$D$17))/7+1))</f>
        <v/>
      </c>
      <c r="AA172" s="31">
        <f>IF($S172=0,0,IF(AND(ISNUMBER($C172),ISNUMBER($D172),ISNUMBER($E172)),IF(AND(WEEKDAY($C172,2)=1,WEEKDAY($D172,2)=1,$D172&gt;=$C172,$E172&gt;=0,$E172&lt;=7),1,0),0))</f>
        <v/>
      </c>
      <c r="BN172" s="31">
        <f>IF(IFERROR(INDEX(Register!$A$6:$A$305,ROW()-5),"")="",0,SUMIF($A$139:$A$288,IFERROR(INDEX(Register!$A$6:$A$305,ROW()-5),""),$Z$139:$Z$288))</f>
        <v/>
      </c>
      <c r="BO172" s="31">
        <f>IF(OR(IFERROR(INDEX(Register!$A$6:$A$305,ROW()-5),"")="",SUM($Z$139:$Z$288)=0),0,IF(AND(IFERROR(INDEX(Register!$B$6:$B$305,ROW()-5),"")="Project",IFERROR(INDEX(Register!$D$6:$D$305,ROW()-5),"")="Active",IFERROR(INDEX(Register!$Z$6:$Z$305,ROW()-5),"")=1,$BN172=0),1,0))</f>
        <v/>
      </c>
      <c r="BP172" s="31">
        <f>IF(AND(IFERROR(INDEX(Register!$A$6:$A$305,ROW()-5),"")&lt;&gt;"",IFERROR(INDEX(Register!$D$6:$D$305,ROW()-5),"")="Proposed"),$BN172,0)</f>
        <v/>
      </c>
    </row>
    <row r="173">
      <c r="A173" s="29" t="n"/>
      <c r="B173" s="29" t="n"/>
      <c r="C173" s="53" t="n"/>
      <c r="D173" s="53" t="n"/>
      <c r="E173" s="48" t="n"/>
      <c r="F173" s="31">
        <f>IF($S173=0,"",IF($V173=0,"△ Person not on People",IF($T173=0,"△ Row not on the Register",IF($U173=0,"△ Register row has no Status",IF($AA173=0,"△ From, To or days missing or not valid",IF($U173=3,"△ Row is Completed or Terminated. Clear the line.",IF($X173=1,"△ Booked past the forecast date",IF($U173=2,"○ Pencilled in","○ Clear"))))))))</f>
        <v/>
      </c>
      <c r="S173" s="31">
        <f>IF(COUNTA($A173:$E173)&gt;0,1,0)</f>
        <v/>
      </c>
      <c r="T173" s="31">
        <f>IF($A173="",0,IFERROR(MATCH($A173,Register!$A$6:$A$305,0),0))</f>
        <v/>
      </c>
      <c r="U173" s="31">
        <f>IF($T173=0,0,IF(INDEX(Register!$Q$6:$Q$305,$T173)=1,1,IF(INDEX(Register!$D$6:$D$305,$T173)="Proposed",2,IF(OR(INDEX(Register!$D$6:$D$305,$T173)="Completed",INDEX(Register!$D$6:$D$305,$T173)="Terminated"),3,0))))</f>
        <v/>
      </c>
      <c r="V173" s="31">
        <f>IF($B173="",0,IF(OR($B173="Outside team",COUNTIF($A$63:$A$102,$B173)&gt;0),1,0))</f>
        <v/>
      </c>
      <c r="W173" s="31">
        <f>IF($S173=0,0,1-$Y173)</f>
        <v/>
      </c>
      <c r="X173" s="31">
        <f>IF(OR($Y173=0,$U173&lt;&gt;1,$D$17=""),0,IF(AND(INDEX(Register!$B$6:$B$305,$T173)="Project",N(INDEX(Register!$U$6:$U$305,$T173))&gt;0,$D173&gt;N(INDEX(Register!$U$6:$U$305,$T173))),1,0))</f>
        <v/>
      </c>
      <c r="Y173" s="31">
        <f>IF($S173=0,0,IF(AND($V173=1,$T173&gt;0,$U173&gt;0,$AA173=1),1,0))</f>
        <v/>
      </c>
      <c r="Z173" s="31">
        <f>IF(OR($Y173=0,$D$17=""),0,$E173*MAX(0,(MIN($D173,$P$17)-MAX($C173,$D$17))/7+1))</f>
        <v/>
      </c>
      <c r="AA173" s="31">
        <f>IF($S173=0,0,IF(AND(ISNUMBER($C173),ISNUMBER($D173),ISNUMBER($E173)),IF(AND(WEEKDAY($C173,2)=1,WEEKDAY($D173,2)=1,$D173&gt;=$C173,$E173&gt;=0,$E173&lt;=7),1,0),0))</f>
        <v/>
      </c>
      <c r="BN173" s="31">
        <f>IF(IFERROR(INDEX(Register!$A$6:$A$305,ROW()-5),"")="",0,SUMIF($A$139:$A$288,IFERROR(INDEX(Register!$A$6:$A$305,ROW()-5),""),$Z$139:$Z$288))</f>
        <v/>
      </c>
      <c r="BO173" s="31">
        <f>IF(OR(IFERROR(INDEX(Register!$A$6:$A$305,ROW()-5),"")="",SUM($Z$139:$Z$288)=0),0,IF(AND(IFERROR(INDEX(Register!$B$6:$B$305,ROW()-5),"")="Project",IFERROR(INDEX(Register!$D$6:$D$305,ROW()-5),"")="Active",IFERROR(INDEX(Register!$Z$6:$Z$305,ROW()-5),"")=1,$BN173=0),1,0))</f>
        <v/>
      </c>
      <c r="BP173" s="31">
        <f>IF(AND(IFERROR(INDEX(Register!$A$6:$A$305,ROW()-5),"")&lt;&gt;"",IFERROR(INDEX(Register!$D$6:$D$305,ROW()-5),"")="Proposed"),$BN173,0)</f>
        <v/>
      </c>
    </row>
    <row r="174">
      <c r="A174" s="29" t="n"/>
      <c r="B174" s="29" t="n"/>
      <c r="C174" s="53" t="n"/>
      <c r="D174" s="53" t="n"/>
      <c r="E174" s="48" t="n"/>
      <c r="F174" s="31">
        <f>IF($S174=0,"",IF($V174=0,"△ Person not on People",IF($T174=0,"△ Row not on the Register",IF($U174=0,"△ Register row has no Status",IF($AA174=0,"△ From, To or days missing or not valid",IF($U174=3,"△ Row is Completed or Terminated. Clear the line.",IF($X174=1,"△ Booked past the forecast date",IF($U174=2,"○ Pencilled in","○ Clear"))))))))</f>
        <v/>
      </c>
      <c r="S174" s="31">
        <f>IF(COUNTA($A174:$E174)&gt;0,1,0)</f>
        <v/>
      </c>
      <c r="T174" s="31">
        <f>IF($A174="",0,IFERROR(MATCH($A174,Register!$A$6:$A$305,0),0))</f>
        <v/>
      </c>
      <c r="U174" s="31">
        <f>IF($T174=0,0,IF(INDEX(Register!$Q$6:$Q$305,$T174)=1,1,IF(INDEX(Register!$D$6:$D$305,$T174)="Proposed",2,IF(OR(INDEX(Register!$D$6:$D$305,$T174)="Completed",INDEX(Register!$D$6:$D$305,$T174)="Terminated"),3,0))))</f>
        <v/>
      </c>
      <c r="V174" s="31">
        <f>IF($B174="",0,IF(OR($B174="Outside team",COUNTIF($A$63:$A$102,$B174)&gt;0),1,0))</f>
        <v/>
      </c>
      <c r="W174" s="31">
        <f>IF($S174=0,0,1-$Y174)</f>
        <v/>
      </c>
      <c r="X174" s="31">
        <f>IF(OR($Y174=0,$U174&lt;&gt;1,$D$17=""),0,IF(AND(INDEX(Register!$B$6:$B$305,$T174)="Project",N(INDEX(Register!$U$6:$U$305,$T174))&gt;0,$D174&gt;N(INDEX(Register!$U$6:$U$305,$T174))),1,0))</f>
        <v/>
      </c>
      <c r="Y174" s="31">
        <f>IF($S174=0,0,IF(AND($V174=1,$T174&gt;0,$U174&gt;0,$AA174=1),1,0))</f>
        <v/>
      </c>
      <c r="Z174" s="31">
        <f>IF(OR($Y174=0,$D$17=""),0,$E174*MAX(0,(MIN($D174,$P$17)-MAX($C174,$D$17))/7+1))</f>
        <v/>
      </c>
      <c r="AA174" s="31">
        <f>IF($S174=0,0,IF(AND(ISNUMBER($C174),ISNUMBER($D174),ISNUMBER($E174)),IF(AND(WEEKDAY($C174,2)=1,WEEKDAY($D174,2)=1,$D174&gt;=$C174,$E174&gt;=0,$E174&lt;=7),1,0),0))</f>
        <v/>
      </c>
      <c r="BN174" s="31">
        <f>IF(IFERROR(INDEX(Register!$A$6:$A$305,ROW()-5),"")="",0,SUMIF($A$139:$A$288,IFERROR(INDEX(Register!$A$6:$A$305,ROW()-5),""),$Z$139:$Z$288))</f>
        <v/>
      </c>
      <c r="BO174" s="31">
        <f>IF(OR(IFERROR(INDEX(Register!$A$6:$A$305,ROW()-5),"")="",SUM($Z$139:$Z$288)=0),0,IF(AND(IFERROR(INDEX(Register!$B$6:$B$305,ROW()-5),"")="Project",IFERROR(INDEX(Register!$D$6:$D$305,ROW()-5),"")="Active",IFERROR(INDEX(Register!$Z$6:$Z$305,ROW()-5),"")=1,$BN174=0),1,0))</f>
        <v/>
      </c>
      <c r="BP174" s="31">
        <f>IF(AND(IFERROR(INDEX(Register!$A$6:$A$305,ROW()-5),"")&lt;&gt;"",IFERROR(INDEX(Register!$D$6:$D$305,ROW()-5),"")="Proposed"),$BN174,0)</f>
        <v/>
      </c>
    </row>
    <row r="175">
      <c r="A175" s="29" t="n"/>
      <c r="B175" s="29" t="n"/>
      <c r="C175" s="53" t="n"/>
      <c r="D175" s="53" t="n"/>
      <c r="E175" s="48" t="n"/>
      <c r="F175" s="31">
        <f>IF($S175=0,"",IF($V175=0,"△ Person not on People",IF($T175=0,"△ Row not on the Register",IF($U175=0,"△ Register row has no Status",IF($AA175=0,"△ From, To or days missing or not valid",IF($U175=3,"△ Row is Completed or Terminated. Clear the line.",IF($X175=1,"△ Booked past the forecast date",IF($U175=2,"○ Pencilled in","○ Clear"))))))))</f>
        <v/>
      </c>
      <c r="S175" s="31">
        <f>IF(COUNTA($A175:$E175)&gt;0,1,0)</f>
        <v/>
      </c>
      <c r="T175" s="31">
        <f>IF($A175="",0,IFERROR(MATCH($A175,Register!$A$6:$A$305,0),0))</f>
        <v/>
      </c>
      <c r="U175" s="31">
        <f>IF($T175=0,0,IF(INDEX(Register!$Q$6:$Q$305,$T175)=1,1,IF(INDEX(Register!$D$6:$D$305,$T175)="Proposed",2,IF(OR(INDEX(Register!$D$6:$D$305,$T175)="Completed",INDEX(Register!$D$6:$D$305,$T175)="Terminated"),3,0))))</f>
        <v/>
      </c>
      <c r="V175" s="31">
        <f>IF($B175="",0,IF(OR($B175="Outside team",COUNTIF($A$63:$A$102,$B175)&gt;0),1,0))</f>
        <v/>
      </c>
      <c r="W175" s="31">
        <f>IF($S175=0,0,1-$Y175)</f>
        <v/>
      </c>
      <c r="X175" s="31">
        <f>IF(OR($Y175=0,$U175&lt;&gt;1,$D$17=""),0,IF(AND(INDEX(Register!$B$6:$B$305,$T175)="Project",N(INDEX(Register!$U$6:$U$305,$T175))&gt;0,$D175&gt;N(INDEX(Register!$U$6:$U$305,$T175))),1,0))</f>
        <v/>
      </c>
      <c r="Y175" s="31">
        <f>IF($S175=0,0,IF(AND($V175=1,$T175&gt;0,$U175&gt;0,$AA175=1),1,0))</f>
        <v/>
      </c>
      <c r="Z175" s="31">
        <f>IF(OR($Y175=0,$D$17=""),0,$E175*MAX(0,(MIN($D175,$P$17)-MAX($C175,$D$17))/7+1))</f>
        <v/>
      </c>
      <c r="AA175" s="31">
        <f>IF($S175=0,0,IF(AND(ISNUMBER($C175),ISNUMBER($D175),ISNUMBER($E175)),IF(AND(WEEKDAY($C175,2)=1,WEEKDAY($D175,2)=1,$D175&gt;=$C175,$E175&gt;=0,$E175&lt;=7),1,0),0))</f>
        <v/>
      </c>
      <c r="BN175" s="31">
        <f>IF(IFERROR(INDEX(Register!$A$6:$A$305,ROW()-5),"")="",0,SUMIF($A$139:$A$288,IFERROR(INDEX(Register!$A$6:$A$305,ROW()-5),""),$Z$139:$Z$288))</f>
        <v/>
      </c>
      <c r="BO175" s="31">
        <f>IF(OR(IFERROR(INDEX(Register!$A$6:$A$305,ROW()-5),"")="",SUM($Z$139:$Z$288)=0),0,IF(AND(IFERROR(INDEX(Register!$B$6:$B$305,ROW()-5),"")="Project",IFERROR(INDEX(Register!$D$6:$D$305,ROW()-5),"")="Active",IFERROR(INDEX(Register!$Z$6:$Z$305,ROW()-5),"")=1,$BN175=0),1,0))</f>
        <v/>
      </c>
      <c r="BP175" s="31">
        <f>IF(AND(IFERROR(INDEX(Register!$A$6:$A$305,ROW()-5),"")&lt;&gt;"",IFERROR(INDEX(Register!$D$6:$D$305,ROW()-5),"")="Proposed"),$BN175,0)</f>
        <v/>
      </c>
    </row>
    <row r="176">
      <c r="A176" s="29" t="n"/>
      <c r="B176" s="29" t="n"/>
      <c r="C176" s="53" t="n"/>
      <c r="D176" s="53" t="n"/>
      <c r="E176" s="48" t="n"/>
      <c r="F176" s="31">
        <f>IF($S176=0,"",IF($V176=0,"△ Person not on People",IF($T176=0,"△ Row not on the Register",IF($U176=0,"△ Register row has no Status",IF($AA176=0,"△ From, To or days missing or not valid",IF($U176=3,"△ Row is Completed or Terminated. Clear the line.",IF($X176=1,"△ Booked past the forecast date",IF($U176=2,"○ Pencilled in","○ Clear"))))))))</f>
        <v/>
      </c>
      <c r="S176" s="31">
        <f>IF(COUNTA($A176:$E176)&gt;0,1,0)</f>
        <v/>
      </c>
      <c r="T176" s="31">
        <f>IF($A176="",0,IFERROR(MATCH($A176,Register!$A$6:$A$305,0),0))</f>
        <v/>
      </c>
      <c r="U176" s="31">
        <f>IF($T176=0,0,IF(INDEX(Register!$Q$6:$Q$305,$T176)=1,1,IF(INDEX(Register!$D$6:$D$305,$T176)="Proposed",2,IF(OR(INDEX(Register!$D$6:$D$305,$T176)="Completed",INDEX(Register!$D$6:$D$305,$T176)="Terminated"),3,0))))</f>
        <v/>
      </c>
      <c r="V176" s="31">
        <f>IF($B176="",0,IF(OR($B176="Outside team",COUNTIF($A$63:$A$102,$B176)&gt;0),1,0))</f>
        <v/>
      </c>
      <c r="W176" s="31">
        <f>IF($S176=0,0,1-$Y176)</f>
        <v/>
      </c>
      <c r="X176" s="31">
        <f>IF(OR($Y176=0,$U176&lt;&gt;1,$D$17=""),0,IF(AND(INDEX(Register!$B$6:$B$305,$T176)="Project",N(INDEX(Register!$U$6:$U$305,$T176))&gt;0,$D176&gt;N(INDEX(Register!$U$6:$U$305,$T176))),1,0))</f>
        <v/>
      </c>
      <c r="Y176" s="31">
        <f>IF($S176=0,0,IF(AND($V176=1,$T176&gt;0,$U176&gt;0,$AA176=1),1,0))</f>
        <v/>
      </c>
      <c r="Z176" s="31">
        <f>IF(OR($Y176=0,$D$17=""),0,$E176*MAX(0,(MIN($D176,$P$17)-MAX($C176,$D$17))/7+1))</f>
        <v/>
      </c>
      <c r="AA176" s="31">
        <f>IF($S176=0,0,IF(AND(ISNUMBER($C176),ISNUMBER($D176),ISNUMBER($E176)),IF(AND(WEEKDAY($C176,2)=1,WEEKDAY($D176,2)=1,$D176&gt;=$C176,$E176&gt;=0,$E176&lt;=7),1,0),0))</f>
        <v/>
      </c>
      <c r="BN176" s="31">
        <f>IF(IFERROR(INDEX(Register!$A$6:$A$305,ROW()-5),"")="",0,SUMIF($A$139:$A$288,IFERROR(INDEX(Register!$A$6:$A$305,ROW()-5),""),$Z$139:$Z$288))</f>
        <v/>
      </c>
      <c r="BO176" s="31">
        <f>IF(OR(IFERROR(INDEX(Register!$A$6:$A$305,ROW()-5),"")="",SUM($Z$139:$Z$288)=0),0,IF(AND(IFERROR(INDEX(Register!$B$6:$B$305,ROW()-5),"")="Project",IFERROR(INDEX(Register!$D$6:$D$305,ROW()-5),"")="Active",IFERROR(INDEX(Register!$Z$6:$Z$305,ROW()-5),"")=1,$BN176=0),1,0))</f>
        <v/>
      </c>
      <c r="BP176" s="31">
        <f>IF(AND(IFERROR(INDEX(Register!$A$6:$A$305,ROW()-5),"")&lt;&gt;"",IFERROR(INDEX(Register!$D$6:$D$305,ROW()-5),"")="Proposed"),$BN176,0)</f>
        <v/>
      </c>
    </row>
    <row r="177">
      <c r="A177" s="29" t="n"/>
      <c r="B177" s="29" t="n"/>
      <c r="C177" s="53" t="n"/>
      <c r="D177" s="53" t="n"/>
      <c r="E177" s="48" t="n"/>
      <c r="F177" s="31">
        <f>IF($S177=0,"",IF($V177=0,"△ Person not on People",IF($T177=0,"△ Row not on the Register",IF($U177=0,"△ Register row has no Status",IF($AA177=0,"△ From, To or days missing or not valid",IF($U177=3,"△ Row is Completed or Terminated. Clear the line.",IF($X177=1,"△ Booked past the forecast date",IF($U177=2,"○ Pencilled in","○ Clear"))))))))</f>
        <v/>
      </c>
      <c r="S177" s="31">
        <f>IF(COUNTA($A177:$E177)&gt;0,1,0)</f>
        <v/>
      </c>
      <c r="T177" s="31">
        <f>IF($A177="",0,IFERROR(MATCH($A177,Register!$A$6:$A$305,0),0))</f>
        <v/>
      </c>
      <c r="U177" s="31">
        <f>IF($T177=0,0,IF(INDEX(Register!$Q$6:$Q$305,$T177)=1,1,IF(INDEX(Register!$D$6:$D$305,$T177)="Proposed",2,IF(OR(INDEX(Register!$D$6:$D$305,$T177)="Completed",INDEX(Register!$D$6:$D$305,$T177)="Terminated"),3,0))))</f>
        <v/>
      </c>
      <c r="V177" s="31">
        <f>IF($B177="",0,IF(OR($B177="Outside team",COUNTIF($A$63:$A$102,$B177)&gt;0),1,0))</f>
        <v/>
      </c>
      <c r="W177" s="31">
        <f>IF($S177=0,0,1-$Y177)</f>
        <v/>
      </c>
      <c r="X177" s="31">
        <f>IF(OR($Y177=0,$U177&lt;&gt;1,$D$17=""),0,IF(AND(INDEX(Register!$B$6:$B$305,$T177)="Project",N(INDEX(Register!$U$6:$U$305,$T177))&gt;0,$D177&gt;N(INDEX(Register!$U$6:$U$305,$T177))),1,0))</f>
        <v/>
      </c>
      <c r="Y177" s="31">
        <f>IF($S177=0,0,IF(AND($V177=1,$T177&gt;0,$U177&gt;0,$AA177=1),1,0))</f>
        <v/>
      </c>
      <c r="Z177" s="31">
        <f>IF(OR($Y177=0,$D$17=""),0,$E177*MAX(0,(MIN($D177,$P$17)-MAX($C177,$D$17))/7+1))</f>
        <v/>
      </c>
      <c r="AA177" s="31">
        <f>IF($S177=0,0,IF(AND(ISNUMBER($C177),ISNUMBER($D177),ISNUMBER($E177)),IF(AND(WEEKDAY($C177,2)=1,WEEKDAY($D177,2)=1,$D177&gt;=$C177,$E177&gt;=0,$E177&lt;=7),1,0),0))</f>
        <v/>
      </c>
      <c r="BN177" s="31">
        <f>IF(IFERROR(INDEX(Register!$A$6:$A$305,ROW()-5),"")="",0,SUMIF($A$139:$A$288,IFERROR(INDEX(Register!$A$6:$A$305,ROW()-5),""),$Z$139:$Z$288))</f>
        <v/>
      </c>
      <c r="BO177" s="31">
        <f>IF(OR(IFERROR(INDEX(Register!$A$6:$A$305,ROW()-5),"")="",SUM($Z$139:$Z$288)=0),0,IF(AND(IFERROR(INDEX(Register!$B$6:$B$305,ROW()-5),"")="Project",IFERROR(INDEX(Register!$D$6:$D$305,ROW()-5),"")="Active",IFERROR(INDEX(Register!$Z$6:$Z$305,ROW()-5),"")=1,$BN177=0),1,0))</f>
        <v/>
      </c>
      <c r="BP177" s="31">
        <f>IF(AND(IFERROR(INDEX(Register!$A$6:$A$305,ROW()-5),"")&lt;&gt;"",IFERROR(INDEX(Register!$D$6:$D$305,ROW()-5),"")="Proposed"),$BN177,0)</f>
        <v/>
      </c>
    </row>
    <row r="178">
      <c r="A178" s="29" t="n"/>
      <c r="B178" s="29" t="n"/>
      <c r="C178" s="53" t="n"/>
      <c r="D178" s="53" t="n"/>
      <c r="E178" s="48" t="n"/>
      <c r="F178" s="31">
        <f>IF($S178=0,"",IF($V178=0,"△ Person not on People",IF($T178=0,"△ Row not on the Register",IF($U178=0,"△ Register row has no Status",IF($AA178=0,"△ From, To or days missing or not valid",IF($U178=3,"△ Row is Completed or Terminated. Clear the line.",IF($X178=1,"△ Booked past the forecast date",IF($U178=2,"○ Pencilled in","○ Clear"))))))))</f>
        <v/>
      </c>
      <c r="S178" s="31">
        <f>IF(COUNTA($A178:$E178)&gt;0,1,0)</f>
        <v/>
      </c>
      <c r="T178" s="31">
        <f>IF($A178="",0,IFERROR(MATCH($A178,Register!$A$6:$A$305,0),0))</f>
        <v/>
      </c>
      <c r="U178" s="31">
        <f>IF($T178=0,0,IF(INDEX(Register!$Q$6:$Q$305,$T178)=1,1,IF(INDEX(Register!$D$6:$D$305,$T178)="Proposed",2,IF(OR(INDEX(Register!$D$6:$D$305,$T178)="Completed",INDEX(Register!$D$6:$D$305,$T178)="Terminated"),3,0))))</f>
        <v/>
      </c>
      <c r="V178" s="31">
        <f>IF($B178="",0,IF(OR($B178="Outside team",COUNTIF($A$63:$A$102,$B178)&gt;0),1,0))</f>
        <v/>
      </c>
      <c r="W178" s="31">
        <f>IF($S178=0,0,1-$Y178)</f>
        <v/>
      </c>
      <c r="X178" s="31">
        <f>IF(OR($Y178=0,$U178&lt;&gt;1,$D$17=""),0,IF(AND(INDEX(Register!$B$6:$B$305,$T178)="Project",N(INDEX(Register!$U$6:$U$305,$T178))&gt;0,$D178&gt;N(INDEX(Register!$U$6:$U$305,$T178))),1,0))</f>
        <v/>
      </c>
      <c r="Y178" s="31">
        <f>IF($S178=0,0,IF(AND($V178=1,$T178&gt;0,$U178&gt;0,$AA178=1),1,0))</f>
        <v/>
      </c>
      <c r="Z178" s="31">
        <f>IF(OR($Y178=0,$D$17=""),0,$E178*MAX(0,(MIN($D178,$P$17)-MAX($C178,$D$17))/7+1))</f>
        <v/>
      </c>
      <c r="AA178" s="31">
        <f>IF($S178=0,0,IF(AND(ISNUMBER($C178),ISNUMBER($D178),ISNUMBER($E178)),IF(AND(WEEKDAY($C178,2)=1,WEEKDAY($D178,2)=1,$D178&gt;=$C178,$E178&gt;=0,$E178&lt;=7),1,0),0))</f>
        <v/>
      </c>
      <c r="BN178" s="31">
        <f>IF(IFERROR(INDEX(Register!$A$6:$A$305,ROW()-5),"")="",0,SUMIF($A$139:$A$288,IFERROR(INDEX(Register!$A$6:$A$305,ROW()-5),""),$Z$139:$Z$288))</f>
        <v/>
      </c>
      <c r="BO178" s="31">
        <f>IF(OR(IFERROR(INDEX(Register!$A$6:$A$305,ROW()-5),"")="",SUM($Z$139:$Z$288)=0),0,IF(AND(IFERROR(INDEX(Register!$B$6:$B$305,ROW()-5),"")="Project",IFERROR(INDEX(Register!$D$6:$D$305,ROW()-5),"")="Active",IFERROR(INDEX(Register!$Z$6:$Z$305,ROW()-5),"")=1,$BN178=0),1,0))</f>
        <v/>
      </c>
      <c r="BP178" s="31">
        <f>IF(AND(IFERROR(INDEX(Register!$A$6:$A$305,ROW()-5),"")&lt;&gt;"",IFERROR(INDEX(Register!$D$6:$D$305,ROW()-5),"")="Proposed"),$BN178,0)</f>
        <v/>
      </c>
    </row>
    <row r="179">
      <c r="A179" s="29" t="n"/>
      <c r="B179" s="29" t="n"/>
      <c r="C179" s="53" t="n"/>
      <c r="D179" s="53" t="n"/>
      <c r="E179" s="48" t="n"/>
      <c r="F179" s="31">
        <f>IF($S179=0,"",IF($V179=0,"△ Person not on People",IF($T179=0,"△ Row not on the Register",IF($U179=0,"△ Register row has no Status",IF($AA179=0,"△ From, To or days missing or not valid",IF($U179=3,"△ Row is Completed or Terminated. Clear the line.",IF($X179=1,"△ Booked past the forecast date",IF($U179=2,"○ Pencilled in","○ Clear"))))))))</f>
        <v/>
      </c>
      <c r="S179" s="31">
        <f>IF(COUNTA($A179:$E179)&gt;0,1,0)</f>
        <v/>
      </c>
      <c r="T179" s="31">
        <f>IF($A179="",0,IFERROR(MATCH($A179,Register!$A$6:$A$305,0),0))</f>
        <v/>
      </c>
      <c r="U179" s="31">
        <f>IF($T179=0,0,IF(INDEX(Register!$Q$6:$Q$305,$T179)=1,1,IF(INDEX(Register!$D$6:$D$305,$T179)="Proposed",2,IF(OR(INDEX(Register!$D$6:$D$305,$T179)="Completed",INDEX(Register!$D$6:$D$305,$T179)="Terminated"),3,0))))</f>
        <v/>
      </c>
      <c r="V179" s="31">
        <f>IF($B179="",0,IF(OR($B179="Outside team",COUNTIF($A$63:$A$102,$B179)&gt;0),1,0))</f>
        <v/>
      </c>
      <c r="W179" s="31">
        <f>IF($S179=0,0,1-$Y179)</f>
        <v/>
      </c>
      <c r="X179" s="31">
        <f>IF(OR($Y179=0,$U179&lt;&gt;1,$D$17=""),0,IF(AND(INDEX(Register!$B$6:$B$305,$T179)="Project",N(INDEX(Register!$U$6:$U$305,$T179))&gt;0,$D179&gt;N(INDEX(Register!$U$6:$U$305,$T179))),1,0))</f>
        <v/>
      </c>
      <c r="Y179" s="31">
        <f>IF($S179=0,0,IF(AND($V179=1,$T179&gt;0,$U179&gt;0,$AA179=1),1,0))</f>
        <v/>
      </c>
      <c r="Z179" s="31">
        <f>IF(OR($Y179=0,$D$17=""),0,$E179*MAX(0,(MIN($D179,$P$17)-MAX($C179,$D$17))/7+1))</f>
        <v/>
      </c>
      <c r="AA179" s="31">
        <f>IF($S179=0,0,IF(AND(ISNUMBER($C179),ISNUMBER($D179),ISNUMBER($E179)),IF(AND(WEEKDAY($C179,2)=1,WEEKDAY($D179,2)=1,$D179&gt;=$C179,$E179&gt;=0,$E179&lt;=7),1,0),0))</f>
        <v/>
      </c>
      <c r="BN179" s="31">
        <f>IF(IFERROR(INDEX(Register!$A$6:$A$305,ROW()-5),"")="",0,SUMIF($A$139:$A$288,IFERROR(INDEX(Register!$A$6:$A$305,ROW()-5),""),$Z$139:$Z$288))</f>
        <v/>
      </c>
      <c r="BO179" s="31">
        <f>IF(OR(IFERROR(INDEX(Register!$A$6:$A$305,ROW()-5),"")="",SUM($Z$139:$Z$288)=0),0,IF(AND(IFERROR(INDEX(Register!$B$6:$B$305,ROW()-5),"")="Project",IFERROR(INDEX(Register!$D$6:$D$305,ROW()-5),"")="Active",IFERROR(INDEX(Register!$Z$6:$Z$305,ROW()-5),"")=1,$BN179=0),1,0))</f>
        <v/>
      </c>
      <c r="BP179" s="31">
        <f>IF(AND(IFERROR(INDEX(Register!$A$6:$A$305,ROW()-5),"")&lt;&gt;"",IFERROR(INDEX(Register!$D$6:$D$305,ROW()-5),"")="Proposed"),$BN179,0)</f>
        <v/>
      </c>
    </row>
    <row r="180">
      <c r="A180" s="29" t="n"/>
      <c r="B180" s="29" t="n"/>
      <c r="C180" s="53" t="n"/>
      <c r="D180" s="53" t="n"/>
      <c r="E180" s="48" t="n"/>
      <c r="F180" s="31">
        <f>IF($S180=0,"",IF($V180=0,"△ Person not on People",IF($T180=0,"△ Row not on the Register",IF($U180=0,"△ Register row has no Status",IF($AA180=0,"△ From, To or days missing or not valid",IF($U180=3,"△ Row is Completed or Terminated. Clear the line.",IF($X180=1,"△ Booked past the forecast date",IF($U180=2,"○ Pencilled in","○ Clear"))))))))</f>
        <v/>
      </c>
      <c r="S180" s="31">
        <f>IF(COUNTA($A180:$E180)&gt;0,1,0)</f>
        <v/>
      </c>
      <c r="T180" s="31">
        <f>IF($A180="",0,IFERROR(MATCH($A180,Register!$A$6:$A$305,0),0))</f>
        <v/>
      </c>
      <c r="U180" s="31">
        <f>IF($T180=0,0,IF(INDEX(Register!$Q$6:$Q$305,$T180)=1,1,IF(INDEX(Register!$D$6:$D$305,$T180)="Proposed",2,IF(OR(INDEX(Register!$D$6:$D$305,$T180)="Completed",INDEX(Register!$D$6:$D$305,$T180)="Terminated"),3,0))))</f>
        <v/>
      </c>
      <c r="V180" s="31">
        <f>IF($B180="",0,IF(OR($B180="Outside team",COUNTIF($A$63:$A$102,$B180)&gt;0),1,0))</f>
        <v/>
      </c>
      <c r="W180" s="31">
        <f>IF($S180=0,0,1-$Y180)</f>
        <v/>
      </c>
      <c r="X180" s="31">
        <f>IF(OR($Y180=0,$U180&lt;&gt;1,$D$17=""),0,IF(AND(INDEX(Register!$B$6:$B$305,$T180)="Project",N(INDEX(Register!$U$6:$U$305,$T180))&gt;0,$D180&gt;N(INDEX(Register!$U$6:$U$305,$T180))),1,0))</f>
        <v/>
      </c>
      <c r="Y180" s="31">
        <f>IF($S180=0,0,IF(AND($V180=1,$T180&gt;0,$U180&gt;0,$AA180=1),1,0))</f>
        <v/>
      </c>
      <c r="Z180" s="31">
        <f>IF(OR($Y180=0,$D$17=""),0,$E180*MAX(0,(MIN($D180,$P$17)-MAX($C180,$D$17))/7+1))</f>
        <v/>
      </c>
      <c r="AA180" s="31">
        <f>IF($S180=0,0,IF(AND(ISNUMBER($C180),ISNUMBER($D180),ISNUMBER($E180)),IF(AND(WEEKDAY($C180,2)=1,WEEKDAY($D180,2)=1,$D180&gt;=$C180,$E180&gt;=0,$E180&lt;=7),1,0),0))</f>
        <v/>
      </c>
      <c r="BN180" s="31">
        <f>IF(IFERROR(INDEX(Register!$A$6:$A$305,ROW()-5),"")="",0,SUMIF($A$139:$A$288,IFERROR(INDEX(Register!$A$6:$A$305,ROW()-5),""),$Z$139:$Z$288))</f>
        <v/>
      </c>
      <c r="BO180" s="31">
        <f>IF(OR(IFERROR(INDEX(Register!$A$6:$A$305,ROW()-5),"")="",SUM($Z$139:$Z$288)=0),0,IF(AND(IFERROR(INDEX(Register!$B$6:$B$305,ROW()-5),"")="Project",IFERROR(INDEX(Register!$D$6:$D$305,ROW()-5),"")="Active",IFERROR(INDEX(Register!$Z$6:$Z$305,ROW()-5),"")=1,$BN180=0),1,0))</f>
        <v/>
      </c>
      <c r="BP180" s="31">
        <f>IF(AND(IFERROR(INDEX(Register!$A$6:$A$305,ROW()-5),"")&lt;&gt;"",IFERROR(INDEX(Register!$D$6:$D$305,ROW()-5),"")="Proposed"),$BN180,0)</f>
        <v/>
      </c>
    </row>
    <row r="181">
      <c r="A181" s="29" t="n"/>
      <c r="B181" s="29" t="n"/>
      <c r="C181" s="53" t="n"/>
      <c r="D181" s="53" t="n"/>
      <c r="E181" s="48" t="n"/>
      <c r="F181" s="31">
        <f>IF($S181=0,"",IF($V181=0,"△ Person not on People",IF($T181=0,"△ Row not on the Register",IF($U181=0,"△ Register row has no Status",IF($AA181=0,"△ From, To or days missing or not valid",IF($U181=3,"△ Row is Completed or Terminated. Clear the line.",IF($X181=1,"△ Booked past the forecast date",IF($U181=2,"○ Pencilled in","○ Clear"))))))))</f>
        <v/>
      </c>
      <c r="S181" s="31">
        <f>IF(COUNTA($A181:$E181)&gt;0,1,0)</f>
        <v/>
      </c>
      <c r="T181" s="31">
        <f>IF($A181="",0,IFERROR(MATCH($A181,Register!$A$6:$A$305,0),0))</f>
        <v/>
      </c>
      <c r="U181" s="31">
        <f>IF($T181=0,0,IF(INDEX(Register!$Q$6:$Q$305,$T181)=1,1,IF(INDEX(Register!$D$6:$D$305,$T181)="Proposed",2,IF(OR(INDEX(Register!$D$6:$D$305,$T181)="Completed",INDEX(Register!$D$6:$D$305,$T181)="Terminated"),3,0))))</f>
        <v/>
      </c>
      <c r="V181" s="31">
        <f>IF($B181="",0,IF(OR($B181="Outside team",COUNTIF($A$63:$A$102,$B181)&gt;0),1,0))</f>
        <v/>
      </c>
      <c r="W181" s="31">
        <f>IF($S181=0,0,1-$Y181)</f>
        <v/>
      </c>
      <c r="X181" s="31">
        <f>IF(OR($Y181=0,$U181&lt;&gt;1,$D$17=""),0,IF(AND(INDEX(Register!$B$6:$B$305,$T181)="Project",N(INDEX(Register!$U$6:$U$305,$T181))&gt;0,$D181&gt;N(INDEX(Register!$U$6:$U$305,$T181))),1,0))</f>
        <v/>
      </c>
      <c r="Y181" s="31">
        <f>IF($S181=0,0,IF(AND($V181=1,$T181&gt;0,$U181&gt;0,$AA181=1),1,0))</f>
        <v/>
      </c>
      <c r="Z181" s="31">
        <f>IF(OR($Y181=0,$D$17=""),0,$E181*MAX(0,(MIN($D181,$P$17)-MAX($C181,$D$17))/7+1))</f>
        <v/>
      </c>
      <c r="AA181" s="31">
        <f>IF($S181=0,0,IF(AND(ISNUMBER($C181),ISNUMBER($D181),ISNUMBER($E181)),IF(AND(WEEKDAY($C181,2)=1,WEEKDAY($D181,2)=1,$D181&gt;=$C181,$E181&gt;=0,$E181&lt;=7),1,0),0))</f>
        <v/>
      </c>
      <c r="BN181" s="31">
        <f>IF(IFERROR(INDEX(Register!$A$6:$A$305,ROW()-5),"")="",0,SUMIF($A$139:$A$288,IFERROR(INDEX(Register!$A$6:$A$305,ROW()-5),""),$Z$139:$Z$288))</f>
        <v/>
      </c>
      <c r="BO181" s="31">
        <f>IF(OR(IFERROR(INDEX(Register!$A$6:$A$305,ROW()-5),"")="",SUM($Z$139:$Z$288)=0),0,IF(AND(IFERROR(INDEX(Register!$B$6:$B$305,ROW()-5),"")="Project",IFERROR(INDEX(Register!$D$6:$D$305,ROW()-5),"")="Active",IFERROR(INDEX(Register!$Z$6:$Z$305,ROW()-5),"")=1,$BN181=0),1,0))</f>
        <v/>
      </c>
      <c r="BP181" s="31">
        <f>IF(AND(IFERROR(INDEX(Register!$A$6:$A$305,ROW()-5),"")&lt;&gt;"",IFERROR(INDEX(Register!$D$6:$D$305,ROW()-5),"")="Proposed"),$BN181,0)</f>
        <v/>
      </c>
    </row>
    <row r="182">
      <c r="A182" s="29" t="n"/>
      <c r="B182" s="29" t="n"/>
      <c r="C182" s="53" t="n"/>
      <c r="D182" s="53" t="n"/>
      <c r="E182" s="48" t="n"/>
      <c r="F182" s="31">
        <f>IF($S182=0,"",IF($V182=0,"△ Person not on People",IF($T182=0,"△ Row not on the Register",IF($U182=0,"△ Register row has no Status",IF($AA182=0,"△ From, To or days missing or not valid",IF($U182=3,"△ Row is Completed or Terminated. Clear the line.",IF($X182=1,"△ Booked past the forecast date",IF($U182=2,"○ Pencilled in","○ Clear"))))))))</f>
        <v/>
      </c>
      <c r="S182" s="31">
        <f>IF(COUNTA($A182:$E182)&gt;0,1,0)</f>
        <v/>
      </c>
      <c r="T182" s="31">
        <f>IF($A182="",0,IFERROR(MATCH($A182,Register!$A$6:$A$305,0),0))</f>
        <v/>
      </c>
      <c r="U182" s="31">
        <f>IF($T182=0,0,IF(INDEX(Register!$Q$6:$Q$305,$T182)=1,1,IF(INDEX(Register!$D$6:$D$305,$T182)="Proposed",2,IF(OR(INDEX(Register!$D$6:$D$305,$T182)="Completed",INDEX(Register!$D$6:$D$305,$T182)="Terminated"),3,0))))</f>
        <v/>
      </c>
      <c r="V182" s="31">
        <f>IF($B182="",0,IF(OR($B182="Outside team",COUNTIF($A$63:$A$102,$B182)&gt;0),1,0))</f>
        <v/>
      </c>
      <c r="W182" s="31">
        <f>IF($S182=0,0,1-$Y182)</f>
        <v/>
      </c>
      <c r="X182" s="31">
        <f>IF(OR($Y182=0,$U182&lt;&gt;1,$D$17=""),0,IF(AND(INDEX(Register!$B$6:$B$305,$T182)="Project",N(INDEX(Register!$U$6:$U$305,$T182))&gt;0,$D182&gt;N(INDEX(Register!$U$6:$U$305,$T182))),1,0))</f>
        <v/>
      </c>
      <c r="Y182" s="31">
        <f>IF($S182=0,0,IF(AND($V182=1,$T182&gt;0,$U182&gt;0,$AA182=1),1,0))</f>
        <v/>
      </c>
      <c r="Z182" s="31">
        <f>IF(OR($Y182=0,$D$17=""),0,$E182*MAX(0,(MIN($D182,$P$17)-MAX($C182,$D$17))/7+1))</f>
        <v/>
      </c>
      <c r="AA182" s="31">
        <f>IF($S182=0,0,IF(AND(ISNUMBER($C182),ISNUMBER($D182),ISNUMBER($E182)),IF(AND(WEEKDAY($C182,2)=1,WEEKDAY($D182,2)=1,$D182&gt;=$C182,$E182&gt;=0,$E182&lt;=7),1,0),0))</f>
        <v/>
      </c>
      <c r="BN182" s="31">
        <f>IF(IFERROR(INDEX(Register!$A$6:$A$305,ROW()-5),"")="",0,SUMIF($A$139:$A$288,IFERROR(INDEX(Register!$A$6:$A$305,ROW()-5),""),$Z$139:$Z$288))</f>
        <v/>
      </c>
      <c r="BO182" s="31">
        <f>IF(OR(IFERROR(INDEX(Register!$A$6:$A$305,ROW()-5),"")="",SUM($Z$139:$Z$288)=0),0,IF(AND(IFERROR(INDEX(Register!$B$6:$B$305,ROW()-5),"")="Project",IFERROR(INDEX(Register!$D$6:$D$305,ROW()-5),"")="Active",IFERROR(INDEX(Register!$Z$6:$Z$305,ROW()-5),"")=1,$BN182=0),1,0))</f>
        <v/>
      </c>
      <c r="BP182" s="31">
        <f>IF(AND(IFERROR(INDEX(Register!$A$6:$A$305,ROW()-5),"")&lt;&gt;"",IFERROR(INDEX(Register!$D$6:$D$305,ROW()-5),"")="Proposed"),$BN182,0)</f>
        <v/>
      </c>
    </row>
    <row r="183">
      <c r="A183" s="29" t="n"/>
      <c r="B183" s="29" t="n"/>
      <c r="C183" s="53" t="n"/>
      <c r="D183" s="53" t="n"/>
      <c r="E183" s="48" t="n"/>
      <c r="F183" s="31">
        <f>IF($S183=0,"",IF($V183=0,"△ Person not on People",IF($T183=0,"△ Row not on the Register",IF($U183=0,"△ Register row has no Status",IF($AA183=0,"△ From, To or days missing or not valid",IF($U183=3,"△ Row is Completed or Terminated. Clear the line.",IF($X183=1,"△ Booked past the forecast date",IF($U183=2,"○ Pencilled in","○ Clear"))))))))</f>
        <v/>
      </c>
      <c r="S183" s="31">
        <f>IF(COUNTA($A183:$E183)&gt;0,1,0)</f>
        <v/>
      </c>
      <c r="T183" s="31">
        <f>IF($A183="",0,IFERROR(MATCH($A183,Register!$A$6:$A$305,0),0))</f>
        <v/>
      </c>
      <c r="U183" s="31">
        <f>IF($T183=0,0,IF(INDEX(Register!$Q$6:$Q$305,$T183)=1,1,IF(INDEX(Register!$D$6:$D$305,$T183)="Proposed",2,IF(OR(INDEX(Register!$D$6:$D$305,$T183)="Completed",INDEX(Register!$D$6:$D$305,$T183)="Terminated"),3,0))))</f>
        <v/>
      </c>
      <c r="V183" s="31">
        <f>IF($B183="",0,IF(OR($B183="Outside team",COUNTIF($A$63:$A$102,$B183)&gt;0),1,0))</f>
        <v/>
      </c>
      <c r="W183" s="31">
        <f>IF($S183=0,0,1-$Y183)</f>
        <v/>
      </c>
      <c r="X183" s="31">
        <f>IF(OR($Y183=0,$U183&lt;&gt;1,$D$17=""),0,IF(AND(INDEX(Register!$B$6:$B$305,$T183)="Project",N(INDEX(Register!$U$6:$U$305,$T183))&gt;0,$D183&gt;N(INDEX(Register!$U$6:$U$305,$T183))),1,0))</f>
        <v/>
      </c>
      <c r="Y183" s="31">
        <f>IF($S183=0,0,IF(AND($V183=1,$T183&gt;0,$U183&gt;0,$AA183=1),1,0))</f>
        <v/>
      </c>
      <c r="Z183" s="31">
        <f>IF(OR($Y183=0,$D$17=""),0,$E183*MAX(0,(MIN($D183,$P$17)-MAX($C183,$D$17))/7+1))</f>
        <v/>
      </c>
      <c r="AA183" s="31">
        <f>IF($S183=0,0,IF(AND(ISNUMBER($C183),ISNUMBER($D183),ISNUMBER($E183)),IF(AND(WEEKDAY($C183,2)=1,WEEKDAY($D183,2)=1,$D183&gt;=$C183,$E183&gt;=0,$E183&lt;=7),1,0),0))</f>
        <v/>
      </c>
      <c r="BN183" s="31">
        <f>IF(IFERROR(INDEX(Register!$A$6:$A$305,ROW()-5),"")="",0,SUMIF($A$139:$A$288,IFERROR(INDEX(Register!$A$6:$A$305,ROW()-5),""),$Z$139:$Z$288))</f>
        <v/>
      </c>
      <c r="BO183" s="31">
        <f>IF(OR(IFERROR(INDEX(Register!$A$6:$A$305,ROW()-5),"")="",SUM($Z$139:$Z$288)=0),0,IF(AND(IFERROR(INDEX(Register!$B$6:$B$305,ROW()-5),"")="Project",IFERROR(INDEX(Register!$D$6:$D$305,ROW()-5),"")="Active",IFERROR(INDEX(Register!$Z$6:$Z$305,ROW()-5),"")=1,$BN183=0),1,0))</f>
        <v/>
      </c>
      <c r="BP183" s="31">
        <f>IF(AND(IFERROR(INDEX(Register!$A$6:$A$305,ROW()-5),"")&lt;&gt;"",IFERROR(INDEX(Register!$D$6:$D$305,ROW()-5),"")="Proposed"),$BN183,0)</f>
        <v/>
      </c>
    </row>
    <row r="184">
      <c r="A184" s="29" t="n"/>
      <c r="B184" s="29" t="n"/>
      <c r="C184" s="53" t="n"/>
      <c r="D184" s="53" t="n"/>
      <c r="E184" s="48" t="n"/>
      <c r="F184" s="31">
        <f>IF($S184=0,"",IF($V184=0,"△ Person not on People",IF($T184=0,"△ Row not on the Register",IF($U184=0,"△ Register row has no Status",IF($AA184=0,"△ From, To or days missing or not valid",IF($U184=3,"△ Row is Completed or Terminated. Clear the line.",IF($X184=1,"△ Booked past the forecast date",IF($U184=2,"○ Pencilled in","○ Clear"))))))))</f>
        <v/>
      </c>
      <c r="S184" s="31">
        <f>IF(COUNTA($A184:$E184)&gt;0,1,0)</f>
        <v/>
      </c>
      <c r="T184" s="31">
        <f>IF($A184="",0,IFERROR(MATCH($A184,Register!$A$6:$A$305,0),0))</f>
        <v/>
      </c>
      <c r="U184" s="31">
        <f>IF($T184=0,0,IF(INDEX(Register!$Q$6:$Q$305,$T184)=1,1,IF(INDEX(Register!$D$6:$D$305,$T184)="Proposed",2,IF(OR(INDEX(Register!$D$6:$D$305,$T184)="Completed",INDEX(Register!$D$6:$D$305,$T184)="Terminated"),3,0))))</f>
        <v/>
      </c>
      <c r="V184" s="31">
        <f>IF($B184="",0,IF(OR($B184="Outside team",COUNTIF($A$63:$A$102,$B184)&gt;0),1,0))</f>
        <v/>
      </c>
      <c r="W184" s="31">
        <f>IF($S184=0,0,1-$Y184)</f>
        <v/>
      </c>
      <c r="X184" s="31">
        <f>IF(OR($Y184=0,$U184&lt;&gt;1,$D$17=""),0,IF(AND(INDEX(Register!$B$6:$B$305,$T184)="Project",N(INDEX(Register!$U$6:$U$305,$T184))&gt;0,$D184&gt;N(INDEX(Register!$U$6:$U$305,$T184))),1,0))</f>
        <v/>
      </c>
      <c r="Y184" s="31">
        <f>IF($S184=0,0,IF(AND($V184=1,$T184&gt;0,$U184&gt;0,$AA184=1),1,0))</f>
        <v/>
      </c>
      <c r="Z184" s="31">
        <f>IF(OR($Y184=0,$D$17=""),0,$E184*MAX(0,(MIN($D184,$P$17)-MAX($C184,$D$17))/7+1))</f>
        <v/>
      </c>
      <c r="AA184" s="31">
        <f>IF($S184=0,0,IF(AND(ISNUMBER($C184),ISNUMBER($D184),ISNUMBER($E184)),IF(AND(WEEKDAY($C184,2)=1,WEEKDAY($D184,2)=1,$D184&gt;=$C184,$E184&gt;=0,$E184&lt;=7),1,0),0))</f>
        <v/>
      </c>
      <c r="BN184" s="31">
        <f>IF(IFERROR(INDEX(Register!$A$6:$A$305,ROW()-5),"")="",0,SUMIF($A$139:$A$288,IFERROR(INDEX(Register!$A$6:$A$305,ROW()-5),""),$Z$139:$Z$288))</f>
        <v/>
      </c>
      <c r="BO184" s="31">
        <f>IF(OR(IFERROR(INDEX(Register!$A$6:$A$305,ROW()-5),"")="",SUM($Z$139:$Z$288)=0),0,IF(AND(IFERROR(INDEX(Register!$B$6:$B$305,ROW()-5),"")="Project",IFERROR(INDEX(Register!$D$6:$D$305,ROW()-5),"")="Active",IFERROR(INDEX(Register!$Z$6:$Z$305,ROW()-5),"")=1,$BN184=0),1,0))</f>
        <v/>
      </c>
      <c r="BP184" s="31">
        <f>IF(AND(IFERROR(INDEX(Register!$A$6:$A$305,ROW()-5),"")&lt;&gt;"",IFERROR(INDEX(Register!$D$6:$D$305,ROW()-5),"")="Proposed"),$BN184,0)</f>
        <v/>
      </c>
    </row>
    <row r="185">
      <c r="A185" s="29" t="n"/>
      <c r="B185" s="29" t="n"/>
      <c r="C185" s="53" t="n"/>
      <c r="D185" s="53" t="n"/>
      <c r="E185" s="48" t="n"/>
      <c r="F185" s="31">
        <f>IF($S185=0,"",IF($V185=0,"△ Person not on People",IF($T185=0,"△ Row not on the Register",IF($U185=0,"△ Register row has no Status",IF($AA185=0,"△ From, To or days missing or not valid",IF($U185=3,"△ Row is Completed or Terminated. Clear the line.",IF($X185=1,"△ Booked past the forecast date",IF($U185=2,"○ Pencilled in","○ Clear"))))))))</f>
        <v/>
      </c>
      <c r="S185" s="31">
        <f>IF(COUNTA($A185:$E185)&gt;0,1,0)</f>
        <v/>
      </c>
      <c r="T185" s="31">
        <f>IF($A185="",0,IFERROR(MATCH($A185,Register!$A$6:$A$305,0),0))</f>
        <v/>
      </c>
      <c r="U185" s="31">
        <f>IF($T185=0,0,IF(INDEX(Register!$Q$6:$Q$305,$T185)=1,1,IF(INDEX(Register!$D$6:$D$305,$T185)="Proposed",2,IF(OR(INDEX(Register!$D$6:$D$305,$T185)="Completed",INDEX(Register!$D$6:$D$305,$T185)="Terminated"),3,0))))</f>
        <v/>
      </c>
      <c r="V185" s="31">
        <f>IF($B185="",0,IF(OR($B185="Outside team",COUNTIF($A$63:$A$102,$B185)&gt;0),1,0))</f>
        <v/>
      </c>
      <c r="W185" s="31">
        <f>IF($S185=0,0,1-$Y185)</f>
        <v/>
      </c>
      <c r="X185" s="31">
        <f>IF(OR($Y185=0,$U185&lt;&gt;1,$D$17=""),0,IF(AND(INDEX(Register!$B$6:$B$305,$T185)="Project",N(INDEX(Register!$U$6:$U$305,$T185))&gt;0,$D185&gt;N(INDEX(Register!$U$6:$U$305,$T185))),1,0))</f>
        <v/>
      </c>
      <c r="Y185" s="31">
        <f>IF($S185=0,0,IF(AND($V185=1,$T185&gt;0,$U185&gt;0,$AA185=1),1,0))</f>
        <v/>
      </c>
      <c r="Z185" s="31">
        <f>IF(OR($Y185=0,$D$17=""),0,$E185*MAX(0,(MIN($D185,$P$17)-MAX($C185,$D$17))/7+1))</f>
        <v/>
      </c>
      <c r="AA185" s="31">
        <f>IF($S185=0,0,IF(AND(ISNUMBER($C185),ISNUMBER($D185),ISNUMBER($E185)),IF(AND(WEEKDAY($C185,2)=1,WEEKDAY($D185,2)=1,$D185&gt;=$C185,$E185&gt;=0,$E185&lt;=7),1,0),0))</f>
        <v/>
      </c>
      <c r="BN185" s="31">
        <f>IF(IFERROR(INDEX(Register!$A$6:$A$305,ROW()-5),"")="",0,SUMIF($A$139:$A$288,IFERROR(INDEX(Register!$A$6:$A$305,ROW()-5),""),$Z$139:$Z$288))</f>
        <v/>
      </c>
      <c r="BO185" s="31">
        <f>IF(OR(IFERROR(INDEX(Register!$A$6:$A$305,ROW()-5),"")="",SUM($Z$139:$Z$288)=0),0,IF(AND(IFERROR(INDEX(Register!$B$6:$B$305,ROW()-5),"")="Project",IFERROR(INDEX(Register!$D$6:$D$305,ROW()-5),"")="Active",IFERROR(INDEX(Register!$Z$6:$Z$305,ROW()-5),"")=1,$BN185=0),1,0))</f>
        <v/>
      </c>
      <c r="BP185" s="31">
        <f>IF(AND(IFERROR(INDEX(Register!$A$6:$A$305,ROW()-5),"")&lt;&gt;"",IFERROR(INDEX(Register!$D$6:$D$305,ROW()-5),"")="Proposed"),$BN185,0)</f>
        <v/>
      </c>
    </row>
    <row r="186">
      <c r="A186" s="29" t="n"/>
      <c r="B186" s="29" t="n"/>
      <c r="C186" s="53" t="n"/>
      <c r="D186" s="53" t="n"/>
      <c r="E186" s="48" t="n"/>
      <c r="F186" s="31">
        <f>IF($S186=0,"",IF($V186=0,"△ Person not on People",IF($T186=0,"△ Row not on the Register",IF($U186=0,"△ Register row has no Status",IF($AA186=0,"△ From, To or days missing or not valid",IF($U186=3,"△ Row is Completed or Terminated. Clear the line.",IF($X186=1,"△ Booked past the forecast date",IF($U186=2,"○ Pencilled in","○ Clear"))))))))</f>
        <v/>
      </c>
      <c r="S186" s="31">
        <f>IF(COUNTA($A186:$E186)&gt;0,1,0)</f>
        <v/>
      </c>
      <c r="T186" s="31">
        <f>IF($A186="",0,IFERROR(MATCH($A186,Register!$A$6:$A$305,0),0))</f>
        <v/>
      </c>
      <c r="U186" s="31">
        <f>IF($T186=0,0,IF(INDEX(Register!$Q$6:$Q$305,$T186)=1,1,IF(INDEX(Register!$D$6:$D$305,$T186)="Proposed",2,IF(OR(INDEX(Register!$D$6:$D$305,$T186)="Completed",INDEX(Register!$D$6:$D$305,$T186)="Terminated"),3,0))))</f>
        <v/>
      </c>
      <c r="V186" s="31">
        <f>IF($B186="",0,IF(OR($B186="Outside team",COUNTIF($A$63:$A$102,$B186)&gt;0),1,0))</f>
        <v/>
      </c>
      <c r="W186" s="31">
        <f>IF($S186=0,0,1-$Y186)</f>
        <v/>
      </c>
      <c r="X186" s="31">
        <f>IF(OR($Y186=0,$U186&lt;&gt;1,$D$17=""),0,IF(AND(INDEX(Register!$B$6:$B$305,$T186)="Project",N(INDEX(Register!$U$6:$U$305,$T186))&gt;0,$D186&gt;N(INDEX(Register!$U$6:$U$305,$T186))),1,0))</f>
        <v/>
      </c>
      <c r="Y186" s="31">
        <f>IF($S186=0,0,IF(AND($V186=1,$T186&gt;0,$U186&gt;0,$AA186=1),1,0))</f>
        <v/>
      </c>
      <c r="Z186" s="31">
        <f>IF(OR($Y186=0,$D$17=""),0,$E186*MAX(0,(MIN($D186,$P$17)-MAX($C186,$D$17))/7+1))</f>
        <v/>
      </c>
      <c r="AA186" s="31">
        <f>IF($S186=0,0,IF(AND(ISNUMBER($C186),ISNUMBER($D186),ISNUMBER($E186)),IF(AND(WEEKDAY($C186,2)=1,WEEKDAY($D186,2)=1,$D186&gt;=$C186,$E186&gt;=0,$E186&lt;=7),1,0),0))</f>
        <v/>
      </c>
      <c r="BN186" s="31">
        <f>IF(IFERROR(INDEX(Register!$A$6:$A$305,ROW()-5),"")="",0,SUMIF($A$139:$A$288,IFERROR(INDEX(Register!$A$6:$A$305,ROW()-5),""),$Z$139:$Z$288))</f>
        <v/>
      </c>
      <c r="BO186" s="31">
        <f>IF(OR(IFERROR(INDEX(Register!$A$6:$A$305,ROW()-5),"")="",SUM($Z$139:$Z$288)=0),0,IF(AND(IFERROR(INDEX(Register!$B$6:$B$305,ROW()-5),"")="Project",IFERROR(INDEX(Register!$D$6:$D$305,ROW()-5),"")="Active",IFERROR(INDEX(Register!$Z$6:$Z$305,ROW()-5),"")=1,$BN186=0),1,0))</f>
        <v/>
      </c>
      <c r="BP186" s="31">
        <f>IF(AND(IFERROR(INDEX(Register!$A$6:$A$305,ROW()-5),"")&lt;&gt;"",IFERROR(INDEX(Register!$D$6:$D$305,ROW()-5),"")="Proposed"),$BN186,0)</f>
        <v/>
      </c>
    </row>
    <row r="187">
      <c r="A187" s="29" t="n"/>
      <c r="B187" s="29" t="n"/>
      <c r="C187" s="53" t="n"/>
      <c r="D187" s="53" t="n"/>
      <c r="E187" s="48" t="n"/>
      <c r="F187" s="31">
        <f>IF($S187=0,"",IF($V187=0,"△ Person not on People",IF($T187=0,"△ Row not on the Register",IF($U187=0,"△ Register row has no Status",IF($AA187=0,"△ From, To or days missing or not valid",IF($U187=3,"△ Row is Completed or Terminated. Clear the line.",IF($X187=1,"△ Booked past the forecast date",IF($U187=2,"○ Pencilled in","○ Clear"))))))))</f>
        <v/>
      </c>
      <c r="S187" s="31">
        <f>IF(COUNTA($A187:$E187)&gt;0,1,0)</f>
        <v/>
      </c>
      <c r="T187" s="31">
        <f>IF($A187="",0,IFERROR(MATCH($A187,Register!$A$6:$A$305,0),0))</f>
        <v/>
      </c>
      <c r="U187" s="31">
        <f>IF($T187=0,0,IF(INDEX(Register!$Q$6:$Q$305,$T187)=1,1,IF(INDEX(Register!$D$6:$D$305,$T187)="Proposed",2,IF(OR(INDEX(Register!$D$6:$D$305,$T187)="Completed",INDEX(Register!$D$6:$D$305,$T187)="Terminated"),3,0))))</f>
        <v/>
      </c>
      <c r="V187" s="31">
        <f>IF($B187="",0,IF(OR($B187="Outside team",COUNTIF($A$63:$A$102,$B187)&gt;0),1,0))</f>
        <v/>
      </c>
      <c r="W187" s="31">
        <f>IF($S187=0,0,1-$Y187)</f>
        <v/>
      </c>
      <c r="X187" s="31">
        <f>IF(OR($Y187=0,$U187&lt;&gt;1,$D$17=""),0,IF(AND(INDEX(Register!$B$6:$B$305,$T187)="Project",N(INDEX(Register!$U$6:$U$305,$T187))&gt;0,$D187&gt;N(INDEX(Register!$U$6:$U$305,$T187))),1,0))</f>
        <v/>
      </c>
      <c r="Y187" s="31">
        <f>IF($S187=0,0,IF(AND($V187=1,$T187&gt;0,$U187&gt;0,$AA187=1),1,0))</f>
        <v/>
      </c>
      <c r="Z187" s="31">
        <f>IF(OR($Y187=0,$D$17=""),0,$E187*MAX(0,(MIN($D187,$P$17)-MAX($C187,$D$17))/7+1))</f>
        <v/>
      </c>
      <c r="AA187" s="31">
        <f>IF($S187=0,0,IF(AND(ISNUMBER($C187),ISNUMBER($D187),ISNUMBER($E187)),IF(AND(WEEKDAY($C187,2)=1,WEEKDAY($D187,2)=1,$D187&gt;=$C187,$E187&gt;=0,$E187&lt;=7),1,0),0))</f>
        <v/>
      </c>
      <c r="BN187" s="31">
        <f>IF(IFERROR(INDEX(Register!$A$6:$A$305,ROW()-5),"")="",0,SUMIF($A$139:$A$288,IFERROR(INDEX(Register!$A$6:$A$305,ROW()-5),""),$Z$139:$Z$288))</f>
        <v/>
      </c>
      <c r="BO187" s="31">
        <f>IF(OR(IFERROR(INDEX(Register!$A$6:$A$305,ROW()-5),"")="",SUM($Z$139:$Z$288)=0),0,IF(AND(IFERROR(INDEX(Register!$B$6:$B$305,ROW()-5),"")="Project",IFERROR(INDEX(Register!$D$6:$D$305,ROW()-5),"")="Active",IFERROR(INDEX(Register!$Z$6:$Z$305,ROW()-5),"")=1,$BN187=0),1,0))</f>
        <v/>
      </c>
      <c r="BP187" s="31">
        <f>IF(AND(IFERROR(INDEX(Register!$A$6:$A$305,ROW()-5),"")&lt;&gt;"",IFERROR(INDEX(Register!$D$6:$D$305,ROW()-5),"")="Proposed"),$BN187,0)</f>
        <v/>
      </c>
    </row>
    <row r="188">
      <c r="A188" s="29" t="n"/>
      <c r="B188" s="29" t="n"/>
      <c r="C188" s="53" t="n"/>
      <c r="D188" s="53" t="n"/>
      <c r="E188" s="48" t="n"/>
      <c r="F188" s="31">
        <f>IF($S188=0,"",IF($V188=0,"△ Person not on People",IF($T188=0,"△ Row not on the Register",IF($U188=0,"△ Register row has no Status",IF($AA188=0,"△ From, To or days missing or not valid",IF($U188=3,"△ Row is Completed or Terminated. Clear the line.",IF($X188=1,"△ Booked past the forecast date",IF($U188=2,"○ Pencilled in","○ Clear"))))))))</f>
        <v/>
      </c>
      <c r="S188" s="31">
        <f>IF(COUNTA($A188:$E188)&gt;0,1,0)</f>
        <v/>
      </c>
      <c r="T188" s="31">
        <f>IF($A188="",0,IFERROR(MATCH($A188,Register!$A$6:$A$305,0),0))</f>
        <v/>
      </c>
      <c r="U188" s="31">
        <f>IF($T188=0,0,IF(INDEX(Register!$Q$6:$Q$305,$T188)=1,1,IF(INDEX(Register!$D$6:$D$305,$T188)="Proposed",2,IF(OR(INDEX(Register!$D$6:$D$305,$T188)="Completed",INDEX(Register!$D$6:$D$305,$T188)="Terminated"),3,0))))</f>
        <v/>
      </c>
      <c r="V188" s="31">
        <f>IF($B188="",0,IF(OR($B188="Outside team",COUNTIF($A$63:$A$102,$B188)&gt;0),1,0))</f>
        <v/>
      </c>
      <c r="W188" s="31">
        <f>IF($S188=0,0,1-$Y188)</f>
        <v/>
      </c>
      <c r="X188" s="31">
        <f>IF(OR($Y188=0,$U188&lt;&gt;1,$D$17=""),0,IF(AND(INDEX(Register!$B$6:$B$305,$T188)="Project",N(INDEX(Register!$U$6:$U$305,$T188))&gt;0,$D188&gt;N(INDEX(Register!$U$6:$U$305,$T188))),1,0))</f>
        <v/>
      </c>
      <c r="Y188" s="31">
        <f>IF($S188=0,0,IF(AND($V188=1,$T188&gt;0,$U188&gt;0,$AA188=1),1,0))</f>
        <v/>
      </c>
      <c r="Z188" s="31">
        <f>IF(OR($Y188=0,$D$17=""),0,$E188*MAX(0,(MIN($D188,$P$17)-MAX($C188,$D$17))/7+1))</f>
        <v/>
      </c>
      <c r="AA188" s="31">
        <f>IF($S188=0,0,IF(AND(ISNUMBER($C188),ISNUMBER($D188),ISNUMBER($E188)),IF(AND(WEEKDAY($C188,2)=1,WEEKDAY($D188,2)=1,$D188&gt;=$C188,$E188&gt;=0,$E188&lt;=7),1,0),0))</f>
        <v/>
      </c>
      <c r="BN188" s="31">
        <f>IF(IFERROR(INDEX(Register!$A$6:$A$305,ROW()-5),"")="",0,SUMIF($A$139:$A$288,IFERROR(INDEX(Register!$A$6:$A$305,ROW()-5),""),$Z$139:$Z$288))</f>
        <v/>
      </c>
      <c r="BO188" s="31">
        <f>IF(OR(IFERROR(INDEX(Register!$A$6:$A$305,ROW()-5),"")="",SUM($Z$139:$Z$288)=0),0,IF(AND(IFERROR(INDEX(Register!$B$6:$B$305,ROW()-5),"")="Project",IFERROR(INDEX(Register!$D$6:$D$305,ROW()-5),"")="Active",IFERROR(INDEX(Register!$Z$6:$Z$305,ROW()-5),"")=1,$BN188=0),1,0))</f>
        <v/>
      </c>
      <c r="BP188" s="31">
        <f>IF(AND(IFERROR(INDEX(Register!$A$6:$A$305,ROW()-5),"")&lt;&gt;"",IFERROR(INDEX(Register!$D$6:$D$305,ROW()-5),"")="Proposed"),$BN188,0)</f>
        <v/>
      </c>
    </row>
    <row r="189">
      <c r="A189" s="29" t="n"/>
      <c r="B189" s="29" t="n"/>
      <c r="C189" s="53" t="n"/>
      <c r="D189" s="53" t="n"/>
      <c r="E189" s="48" t="n"/>
      <c r="F189" s="31">
        <f>IF($S189=0,"",IF($V189=0,"△ Person not on People",IF($T189=0,"△ Row not on the Register",IF($U189=0,"△ Register row has no Status",IF($AA189=0,"△ From, To or days missing or not valid",IF($U189=3,"△ Row is Completed or Terminated. Clear the line.",IF($X189=1,"△ Booked past the forecast date",IF($U189=2,"○ Pencilled in","○ Clear"))))))))</f>
        <v/>
      </c>
      <c r="S189" s="31">
        <f>IF(COUNTA($A189:$E189)&gt;0,1,0)</f>
        <v/>
      </c>
      <c r="T189" s="31">
        <f>IF($A189="",0,IFERROR(MATCH($A189,Register!$A$6:$A$305,0),0))</f>
        <v/>
      </c>
      <c r="U189" s="31">
        <f>IF($T189=0,0,IF(INDEX(Register!$Q$6:$Q$305,$T189)=1,1,IF(INDEX(Register!$D$6:$D$305,$T189)="Proposed",2,IF(OR(INDEX(Register!$D$6:$D$305,$T189)="Completed",INDEX(Register!$D$6:$D$305,$T189)="Terminated"),3,0))))</f>
        <v/>
      </c>
      <c r="V189" s="31">
        <f>IF($B189="",0,IF(OR($B189="Outside team",COUNTIF($A$63:$A$102,$B189)&gt;0),1,0))</f>
        <v/>
      </c>
      <c r="W189" s="31">
        <f>IF($S189=0,0,1-$Y189)</f>
        <v/>
      </c>
      <c r="X189" s="31">
        <f>IF(OR($Y189=0,$U189&lt;&gt;1,$D$17=""),0,IF(AND(INDEX(Register!$B$6:$B$305,$T189)="Project",N(INDEX(Register!$U$6:$U$305,$T189))&gt;0,$D189&gt;N(INDEX(Register!$U$6:$U$305,$T189))),1,0))</f>
        <v/>
      </c>
      <c r="Y189" s="31">
        <f>IF($S189=0,0,IF(AND($V189=1,$T189&gt;0,$U189&gt;0,$AA189=1),1,0))</f>
        <v/>
      </c>
      <c r="Z189" s="31">
        <f>IF(OR($Y189=0,$D$17=""),0,$E189*MAX(0,(MIN($D189,$P$17)-MAX($C189,$D$17))/7+1))</f>
        <v/>
      </c>
      <c r="AA189" s="31">
        <f>IF($S189=0,0,IF(AND(ISNUMBER($C189),ISNUMBER($D189),ISNUMBER($E189)),IF(AND(WEEKDAY($C189,2)=1,WEEKDAY($D189,2)=1,$D189&gt;=$C189,$E189&gt;=0,$E189&lt;=7),1,0),0))</f>
        <v/>
      </c>
      <c r="BN189" s="31">
        <f>IF(IFERROR(INDEX(Register!$A$6:$A$305,ROW()-5),"")="",0,SUMIF($A$139:$A$288,IFERROR(INDEX(Register!$A$6:$A$305,ROW()-5),""),$Z$139:$Z$288))</f>
        <v/>
      </c>
      <c r="BO189" s="31">
        <f>IF(OR(IFERROR(INDEX(Register!$A$6:$A$305,ROW()-5),"")="",SUM($Z$139:$Z$288)=0),0,IF(AND(IFERROR(INDEX(Register!$B$6:$B$305,ROW()-5),"")="Project",IFERROR(INDEX(Register!$D$6:$D$305,ROW()-5),"")="Active",IFERROR(INDEX(Register!$Z$6:$Z$305,ROW()-5),"")=1,$BN189=0),1,0))</f>
        <v/>
      </c>
      <c r="BP189" s="31">
        <f>IF(AND(IFERROR(INDEX(Register!$A$6:$A$305,ROW()-5),"")&lt;&gt;"",IFERROR(INDEX(Register!$D$6:$D$305,ROW()-5),"")="Proposed"),$BN189,0)</f>
        <v/>
      </c>
    </row>
    <row r="190">
      <c r="A190" s="29" t="n"/>
      <c r="B190" s="29" t="n"/>
      <c r="C190" s="53" t="n"/>
      <c r="D190" s="53" t="n"/>
      <c r="E190" s="48" t="n"/>
      <c r="F190" s="31">
        <f>IF($S190=0,"",IF($V190=0,"△ Person not on People",IF($T190=0,"△ Row not on the Register",IF($U190=0,"△ Register row has no Status",IF($AA190=0,"△ From, To or days missing or not valid",IF($U190=3,"△ Row is Completed or Terminated. Clear the line.",IF($X190=1,"△ Booked past the forecast date",IF($U190=2,"○ Pencilled in","○ Clear"))))))))</f>
        <v/>
      </c>
      <c r="S190" s="31">
        <f>IF(COUNTA($A190:$E190)&gt;0,1,0)</f>
        <v/>
      </c>
      <c r="T190" s="31">
        <f>IF($A190="",0,IFERROR(MATCH($A190,Register!$A$6:$A$305,0),0))</f>
        <v/>
      </c>
      <c r="U190" s="31">
        <f>IF($T190=0,0,IF(INDEX(Register!$Q$6:$Q$305,$T190)=1,1,IF(INDEX(Register!$D$6:$D$305,$T190)="Proposed",2,IF(OR(INDEX(Register!$D$6:$D$305,$T190)="Completed",INDEX(Register!$D$6:$D$305,$T190)="Terminated"),3,0))))</f>
        <v/>
      </c>
      <c r="V190" s="31">
        <f>IF($B190="",0,IF(OR($B190="Outside team",COUNTIF($A$63:$A$102,$B190)&gt;0),1,0))</f>
        <v/>
      </c>
      <c r="W190" s="31">
        <f>IF($S190=0,0,1-$Y190)</f>
        <v/>
      </c>
      <c r="X190" s="31">
        <f>IF(OR($Y190=0,$U190&lt;&gt;1,$D$17=""),0,IF(AND(INDEX(Register!$B$6:$B$305,$T190)="Project",N(INDEX(Register!$U$6:$U$305,$T190))&gt;0,$D190&gt;N(INDEX(Register!$U$6:$U$305,$T190))),1,0))</f>
        <v/>
      </c>
      <c r="Y190" s="31">
        <f>IF($S190=0,0,IF(AND($V190=1,$T190&gt;0,$U190&gt;0,$AA190=1),1,0))</f>
        <v/>
      </c>
      <c r="Z190" s="31">
        <f>IF(OR($Y190=0,$D$17=""),0,$E190*MAX(0,(MIN($D190,$P$17)-MAX($C190,$D$17))/7+1))</f>
        <v/>
      </c>
      <c r="AA190" s="31">
        <f>IF($S190=0,0,IF(AND(ISNUMBER($C190),ISNUMBER($D190),ISNUMBER($E190)),IF(AND(WEEKDAY($C190,2)=1,WEEKDAY($D190,2)=1,$D190&gt;=$C190,$E190&gt;=0,$E190&lt;=7),1,0),0))</f>
        <v/>
      </c>
      <c r="BN190" s="31">
        <f>IF(IFERROR(INDEX(Register!$A$6:$A$305,ROW()-5),"")="",0,SUMIF($A$139:$A$288,IFERROR(INDEX(Register!$A$6:$A$305,ROW()-5),""),$Z$139:$Z$288))</f>
        <v/>
      </c>
      <c r="BO190" s="31">
        <f>IF(OR(IFERROR(INDEX(Register!$A$6:$A$305,ROW()-5),"")="",SUM($Z$139:$Z$288)=0),0,IF(AND(IFERROR(INDEX(Register!$B$6:$B$305,ROW()-5),"")="Project",IFERROR(INDEX(Register!$D$6:$D$305,ROW()-5),"")="Active",IFERROR(INDEX(Register!$Z$6:$Z$305,ROW()-5),"")=1,$BN190=0),1,0))</f>
        <v/>
      </c>
      <c r="BP190" s="31">
        <f>IF(AND(IFERROR(INDEX(Register!$A$6:$A$305,ROW()-5),"")&lt;&gt;"",IFERROR(INDEX(Register!$D$6:$D$305,ROW()-5),"")="Proposed"),$BN190,0)</f>
        <v/>
      </c>
    </row>
    <row r="191">
      <c r="A191" s="29" t="n"/>
      <c r="B191" s="29" t="n"/>
      <c r="C191" s="53" t="n"/>
      <c r="D191" s="53" t="n"/>
      <c r="E191" s="48" t="n"/>
      <c r="F191" s="31">
        <f>IF($S191=0,"",IF($V191=0,"△ Person not on People",IF($T191=0,"△ Row not on the Register",IF($U191=0,"△ Register row has no Status",IF($AA191=0,"△ From, To or days missing or not valid",IF($U191=3,"△ Row is Completed or Terminated. Clear the line.",IF($X191=1,"△ Booked past the forecast date",IF($U191=2,"○ Pencilled in","○ Clear"))))))))</f>
        <v/>
      </c>
      <c r="S191" s="31">
        <f>IF(COUNTA($A191:$E191)&gt;0,1,0)</f>
        <v/>
      </c>
      <c r="T191" s="31">
        <f>IF($A191="",0,IFERROR(MATCH($A191,Register!$A$6:$A$305,0),0))</f>
        <v/>
      </c>
      <c r="U191" s="31">
        <f>IF($T191=0,0,IF(INDEX(Register!$Q$6:$Q$305,$T191)=1,1,IF(INDEX(Register!$D$6:$D$305,$T191)="Proposed",2,IF(OR(INDEX(Register!$D$6:$D$305,$T191)="Completed",INDEX(Register!$D$6:$D$305,$T191)="Terminated"),3,0))))</f>
        <v/>
      </c>
      <c r="V191" s="31">
        <f>IF($B191="",0,IF(OR($B191="Outside team",COUNTIF($A$63:$A$102,$B191)&gt;0),1,0))</f>
        <v/>
      </c>
      <c r="W191" s="31">
        <f>IF($S191=0,0,1-$Y191)</f>
        <v/>
      </c>
      <c r="X191" s="31">
        <f>IF(OR($Y191=0,$U191&lt;&gt;1,$D$17=""),0,IF(AND(INDEX(Register!$B$6:$B$305,$T191)="Project",N(INDEX(Register!$U$6:$U$305,$T191))&gt;0,$D191&gt;N(INDEX(Register!$U$6:$U$305,$T191))),1,0))</f>
        <v/>
      </c>
      <c r="Y191" s="31">
        <f>IF($S191=0,0,IF(AND($V191=1,$T191&gt;0,$U191&gt;0,$AA191=1),1,0))</f>
        <v/>
      </c>
      <c r="Z191" s="31">
        <f>IF(OR($Y191=0,$D$17=""),0,$E191*MAX(0,(MIN($D191,$P$17)-MAX($C191,$D$17))/7+1))</f>
        <v/>
      </c>
      <c r="AA191" s="31">
        <f>IF($S191=0,0,IF(AND(ISNUMBER($C191),ISNUMBER($D191),ISNUMBER($E191)),IF(AND(WEEKDAY($C191,2)=1,WEEKDAY($D191,2)=1,$D191&gt;=$C191,$E191&gt;=0,$E191&lt;=7),1,0),0))</f>
        <v/>
      </c>
      <c r="BN191" s="31">
        <f>IF(IFERROR(INDEX(Register!$A$6:$A$305,ROW()-5),"")="",0,SUMIF($A$139:$A$288,IFERROR(INDEX(Register!$A$6:$A$305,ROW()-5),""),$Z$139:$Z$288))</f>
        <v/>
      </c>
      <c r="BO191" s="31">
        <f>IF(OR(IFERROR(INDEX(Register!$A$6:$A$305,ROW()-5),"")="",SUM($Z$139:$Z$288)=0),0,IF(AND(IFERROR(INDEX(Register!$B$6:$B$305,ROW()-5),"")="Project",IFERROR(INDEX(Register!$D$6:$D$305,ROW()-5),"")="Active",IFERROR(INDEX(Register!$Z$6:$Z$305,ROW()-5),"")=1,$BN191=0),1,0))</f>
        <v/>
      </c>
      <c r="BP191" s="31">
        <f>IF(AND(IFERROR(INDEX(Register!$A$6:$A$305,ROW()-5),"")&lt;&gt;"",IFERROR(INDEX(Register!$D$6:$D$305,ROW()-5),"")="Proposed"),$BN191,0)</f>
        <v/>
      </c>
    </row>
    <row r="192">
      <c r="A192" s="29" t="n"/>
      <c r="B192" s="29" t="n"/>
      <c r="C192" s="53" t="n"/>
      <c r="D192" s="53" t="n"/>
      <c r="E192" s="48" t="n"/>
      <c r="F192" s="31">
        <f>IF($S192=0,"",IF($V192=0,"△ Person not on People",IF($T192=0,"△ Row not on the Register",IF($U192=0,"△ Register row has no Status",IF($AA192=0,"△ From, To or days missing or not valid",IF($U192=3,"△ Row is Completed or Terminated. Clear the line.",IF($X192=1,"△ Booked past the forecast date",IF($U192=2,"○ Pencilled in","○ Clear"))))))))</f>
        <v/>
      </c>
      <c r="S192" s="31">
        <f>IF(COUNTA($A192:$E192)&gt;0,1,0)</f>
        <v/>
      </c>
      <c r="T192" s="31">
        <f>IF($A192="",0,IFERROR(MATCH($A192,Register!$A$6:$A$305,0),0))</f>
        <v/>
      </c>
      <c r="U192" s="31">
        <f>IF($T192=0,0,IF(INDEX(Register!$Q$6:$Q$305,$T192)=1,1,IF(INDEX(Register!$D$6:$D$305,$T192)="Proposed",2,IF(OR(INDEX(Register!$D$6:$D$305,$T192)="Completed",INDEX(Register!$D$6:$D$305,$T192)="Terminated"),3,0))))</f>
        <v/>
      </c>
      <c r="V192" s="31">
        <f>IF($B192="",0,IF(OR($B192="Outside team",COUNTIF($A$63:$A$102,$B192)&gt;0),1,0))</f>
        <v/>
      </c>
      <c r="W192" s="31">
        <f>IF($S192=0,0,1-$Y192)</f>
        <v/>
      </c>
      <c r="X192" s="31">
        <f>IF(OR($Y192=0,$U192&lt;&gt;1,$D$17=""),0,IF(AND(INDEX(Register!$B$6:$B$305,$T192)="Project",N(INDEX(Register!$U$6:$U$305,$T192))&gt;0,$D192&gt;N(INDEX(Register!$U$6:$U$305,$T192))),1,0))</f>
        <v/>
      </c>
      <c r="Y192" s="31">
        <f>IF($S192=0,0,IF(AND($V192=1,$T192&gt;0,$U192&gt;0,$AA192=1),1,0))</f>
        <v/>
      </c>
      <c r="Z192" s="31">
        <f>IF(OR($Y192=0,$D$17=""),0,$E192*MAX(0,(MIN($D192,$P$17)-MAX($C192,$D$17))/7+1))</f>
        <v/>
      </c>
      <c r="AA192" s="31">
        <f>IF($S192=0,0,IF(AND(ISNUMBER($C192),ISNUMBER($D192),ISNUMBER($E192)),IF(AND(WEEKDAY($C192,2)=1,WEEKDAY($D192,2)=1,$D192&gt;=$C192,$E192&gt;=0,$E192&lt;=7),1,0),0))</f>
        <v/>
      </c>
      <c r="BN192" s="31">
        <f>IF(IFERROR(INDEX(Register!$A$6:$A$305,ROW()-5),"")="",0,SUMIF($A$139:$A$288,IFERROR(INDEX(Register!$A$6:$A$305,ROW()-5),""),$Z$139:$Z$288))</f>
        <v/>
      </c>
      <c r="BO192" s="31">
        <f>IF(OR(IFERROR(INDEX(Register!$A$6:$A$305,ROW()-5),"")="",SUM($Z$139:$Z$288)=0),0,IF(AND(IFERROR(INDEX(Register!$B$6:$B$305,ROW()-5),"")="Project",IFERROR(INDEX(Register!$D$6:$D$305,ROW()-5),"")="Active",IFERROR(INDEX(Register!$Z$6:$Z$305,ROW()-5),"")=1,$BN192=0),1,0))</f>
        <v/>
      </c>
      <c r="BP192" s="31">
        <f>IF(AND(IFERROR(INDEX(Register!$A$6:$A$305,ROW()-5),"")&lt;&gt;"",IFERROR(INDEX(Register!$D$6:$D$305,ROW()-5),"")="Proposed"),$BN192,0)</f>
        <v/>
      </c>
    </row>
    <row r="193">
      <c r="A193" s="29" t="n"/>
      <c r="B193" s="29" t="n"/>
      <c r="C193" s="53" t="n"/>
      <c r="D193" s="53" t="n"/>
      <c r="E193" s="48" t="n"/>
      <c r="F193" s="31">
        <f>IF($S193=0,"",IF($V193=0,"△ Person not on People",IF($T193=0,"△ Row not on the Register",IF($U193=0,"△ Register row has no Status",IF($AA193=0,"△ From, To or days missing or not valid",IF($U193=3,"△ Row is Completed or Terminated. Clear the line.",IF($X193=1,"△ Booked past the forecast date",IF($U193=2,"○ Pencilled in","○ Clear"))))))))</f>
        <v/>
      </c>
      <c r="S193" s="31">
        <f>IF(COUNTA($A193:$E193)&gt;0,1,0)</f>
        <v/>
      </c>
      <c r="T193" s="31">
        <f>IF($A193="",0,IFERROR(MATCH($A193,Register!$A$6:$A$305,0),0))</f>
        <v/>
      </c>
      <c r="U193" s="31">
        <f>IF($T193=0,0,IF(INDEX(Register!$Q$6:$Q$305,$T193)=1,1,IF(INDEX(Register!$D$6:$D$305,$T193)="Proposed",2,IF(OR(INDEX(Register!$D$6:$D$305,$T193)="Completed",INDEX(Register!$D$6:$D$305,$T193)="Terminated"),3,0))))</f>
        <v/>
      </c>
      <c r="V193" s="31">
        <f>IF($B193="",0,IF(OR($B193="Outside team",COUNTIF($A$63:$A$102,$B193)&gt;0),1,0))</f>
        <v/>
      </c>
      <c r="W193" s="31">
        <f>IF($S193=0,0,1-$Y193)</f>
        <v/>
      </c>
      <c r="X193" s="31">
        <f>IF(OR($Y193=0,$U193&lt;&gt;1,$D$17=""),0,IF(AND(INDEX(Register!$B$6:$B$305,$T193)="Project",N(INDEX(Register!$U$6:$U$305,$T193))&gt;0,$D193&gt;N(INDEX(Register!$U$6:$U$305,$T193))),1,0))</f>
        <v/>
      </c>
      <c r="Y193" s="31">
        <f>IF($S193=0,0,IF(AND($V193=1,$T193&gt;0,$U193&gt;0,$AA193=1),1,0))</f>
        <v/>
      </c>
      <c r="Z193" s="31">
        <f>IF(OR($Y193=0,$D$17=""),0,$E193*MAX(0,(MIN($D193,$P$17)-MAX($C193,$D$17))/7+1))</f>
        <v/>
      </c>
      <c r="AA193" s="31">
        <f>IF($S193=0,0,IF(AND(ISNUMBER($C193),ISNUMBER($D193),ISNUMBER($E193)),IF(AND(WEEKDAY($C193,2)=1,WEEKDAY($D193,2)=1,$D193&gt;=$C193,$E193&gt;=0,$E193&lt;=7),1,0),0))</f>
        <v/>
      </c>
      <c r="BN193" s="31">
        <f>IF(IFERROR(INDEX(Register!$A$6:$A$305,ROW()-5),"")="",0,SUMIF($A$139:$A$288,IFERROR(INDEX(Register!$A$6:$A$305,ROW()-5),""),$Z$139:$Z$288))</f>
        <v/>
      </c>
      <c r="BO193" s="31">
        <f>IF(OR(IFERROR(INDEX(Register!$A$6:$A$305,ROW()-5),"")="",SUM($Z$139:$Z$288)=0),0,IF(AND(IFERROR(INDEX(Register!$B$6:$B$305,ROW()-5),"")="Project",IFERROR(INDEX(Register!$D$6:$D$305,ROW()-5),"")="Active",IFERROR(INDEX(Register!$Z$6:$Z$305,ROW()-5),"")=1,$BN193=0),1,0))</f>
        <v/>
      </c>
      <c r="BP193" s="31">
        <f>IF(AND(IFERROR(INDEX(Register!$A$6:$A$305,ROW()-5),"")&lt;&gt;"",IFERROR(INDEX(Register!$D$6:$D$305,ROW()-5),"")="Proposed"),$BN193,0)</f>
        <v/>
      </c>
    </row>
    <row r="194">
      <c r="A194" s="29" t="n"/>
      <c r="B194" s="29" t="n"/>
      <c r="C194" s="53" t="n"/>
      <c r="D194" s="53" t="n"/>
      <c r="E194" s="48" t="n"/>
      <c r="F194" s="31">
        <f>IF($S194=0,"",IF($V194=0,"△ Person not on People",IF($T194=0,"△ Row not on the Register",IF($U194=0,"△ Register row has no Status",IF($AA194=0,"△ From, To or days missing or not valid",IF($U194=3,"△ Row is Completed or Terminated. Clear the line.",IF($X194=1,"△ Booked past the forecast date",IF($U194=2,"○ Pencilled in","○ Clear"))))))))</f>
        <v/>
      </c>
      <c r="S194" s="31">
        <f>IF(COUNTA($A194:$E194)&gt;0,1,0)</f>
        <v/>
      </c>
      <c r="T194" s="31">
        <f>IF($A194="",0,IFERROR(MATCH($A194,Register!$A$6:$A$305,0),0))</f>
        <v/>
      </c>
      <c r="U194" s="31">
        <f>IF($T194=0,0,IF(INDEX(Register!$Q$6:$Q$305,$T194)=1,1,IF(INDEX(Register!$D$6:$D$305,$T194)="Proposed",2,IF(OR(INDEX(Register!$D$6:$D$305,$T194)="Completed",INDEX(Register!$D$6:$D$305,$T194)="Terminated"),3,0))))</f>
        <v/>
      </c>
      <c r="V194" s="31">
        <f>IF($B194="",0,IF(OR($B194="Outside team",COUNTIF($A$63:$A$102,$B194)&gt;0),1,0))</f>
        <v/>
      </c>
      <c r="W194" s="31">
        <f>IF($S194=0,0,1-$Y194)</f>
        <v/>
      </c>
      <c r="X194" s="31">
        <f>IF(OR($Y194=0,$U194&lt;&gt;1,$D$17=""),0,IF(AND(INDEX(Register!$B$6:$B$305,$T194)="Project",N(INDEX(Register!$U$6:$U$305,$T194))&gt;0,$D194&gt;N(INDEX(Register!$U$6:$U$305,$T194))),1,0))</f>
        <v/>
      </c>
      <c r="Y194" s="31">
        <f>IF($S194=0,0,IF(AND($V194=1,$T194&gt;0,$U194&gt;0,$AA194=1),1,0))</f>
        <v/>
      </c>
      <c r="Z194" s="31">
        <f>IF(OR($Y194=0,$D$17=""),0,$E194*MAX(0,(MIN($D194,$P$17)-MAX($C194,$D$17))/7+1))</f>
        <v/>
      </c>
      <c r="AA194" s="31">
        <f>IF($S194=0,0,IF(AND(ISNUMBER($C194),ISNUMBER($D194),ISNUMBER($E194)),IF(AND(WEEKDAY($C194,2)=1,WEEKDAY($D194,2)=1,$D194&gt;=$C194,$E194&gt;=0,$E194&lt;=7),1,0),0))</f>
        <v/>
      </c>
      <c r="BN194" s="31">
        <f>IF(IFERROR(INDEX(Register!$A$6:$A$305,ROW()-5),"")="",0,SUMIF($A$139:$A$288,IFERROR(INDEX(Register!$A$6:$A$305,ROW()-5),""),$Z$139:$Z$288))</f>
        <v/>
      </c>
      <c r="BO194" s="31">
        <f>IF(OR(IFERROR(INDEX(Register!$A$6:$A$305,ROW()-5),"")="",SUM($Z$139:$Z$288)=0),0,IF(AND(IFERROR(INDEX(Register!$B$6:$B$305,ROW()-5),"")="Project",IFERROR(INDEX(Register!$D$6:$D$305,ROW()-5),"")="Active",IFERROR(INDEX(Register!$Z$6:$Z$305,ROW()-5),"")=1,$BN194=0),1,0))</f>
        <v/>
      </c>
      <c r="BP194" s="31">
        <f>IF(AND(IFERROR(INDEX(Register!$A$6:$A$305,ROW()-5),"")&lt;&gt;"",IFERROR(INDEX(Register!$D$6:$D$305,ROW()-5),"")="Proposed"),$BN194,0)</f>
        <v/>
      </c>
    </row>
    <row r="195">
      <c r="A195" s="29" t="n"/>
      <c r="B195" s="29" t="n"/>
      <c r="C195" s="53" t="n"/>
      <c r="D195" s="53" t="n"/>
      <c r="E195" s="48" t="n"/>
      <c r="F195" s="31">
        <f>IF($S195=0,"",IF($V195=0,"△ Person not on People",IF($T195=0,"△ Row not on the Register",IF($U195=0,"△ Register row has no Status",IF($AA195=0,"△ From, To or days missing or not valid",IF($U195=3,"△ Row is Completed or Terminated. Clear the line.",IF($X195=1,"△ Booked past the forecast date",IF($U195=2,"○ Pencilled in","○ Clear"))))))))</f>
        <v/>
      </c>
      <c r="S195" s="31">
        <f>IF(COUNTA($A195:$E195)&gt;0,1,0)</f>
        <v/>
      </c>
      <c r="T195" s="31">
        <f>IF($A195="",0,IFERROR(MATCH($A195,Register!$A$6:$A$305,0),0))</f>
        <v/>
      </c>
      <c r="U195" s="31">
        <f>IF($T195=0,0,IF(INDEX(Register!$Q$6:$Q$305,$T195)=1,1,IF(INDEX(Register!$D$6:$D$305,$T195)="Proposed",2,IF(OR(INDEX(Register!$D$6:$D$305,$T195)="Completed",INDEX(Register!$D$6:$D$305,$T195)="Terminated"),3,0))))</f>
        <v/>
      </c>
      <c r="V195" s="31">
        <f>IF($B195="",0,IF(OR($B195="Outside team",COUNTIF($A$63:$A$102,$B195)&gt;0),1,0))</f>
        <v/>
      </c>
      <c r="W195" s="31">
        <f>IF($S195=0,0,1-$Y195)</f>
        <v/>
      </c>
      <c r="X195" s="31">
        <f>IF(OR($Y195=0,$U195&lt;&gt;1,$D$17=""),0,IF(AND(INDEX(Register!$B$6:$B$305,$T195)="Project",N(INDEX(Register!$U$6:$U$305,$T195))&gt;0,$D195&gt;N(INDEX(Register!$U$6:$U$305,$T195))),1,0))</f>
        <v/>
      </c>
      <c r="Y195" s="31">
        <f>IF($S195=0,0,IF(AND($V195=1,$T195&gt;0,$U195&gt;0,$AA195=1),1,0))</f>
        <v/>
      </c>
      <c r="Z195" s="31">
        <f>IF(OR($Y195=0,$D$17=""),0,$E195*MAX(0,(MIN($D195,$P$17)-MAX($C195,$D$17))/7+1))</f>
        <v/>
      </c>
      <c r="AA195" s="31">
        <f>IF($S195=0,0,IF(AND(ISNUMBER($C195),ISNUMBER($D195),ISNUMBER($E195)),IF(AND(WEEKDAY($C195,2)=1,WEEKDAY($D195,2)=1,$D195&gt;=$C195,$E195&gt;=0,$E195&lt;=7),1,0),0))</f>
        <v/>
      </c>
      <c r="BN195" s="31">
        <f>IF(IFERROR(INDEX(Register!$A$6:$A$305,ROW()-5),"")="",0,SUMIF($A$139:$A$288,IFERROR(INDEX(Register!$A$6:$A$305,ROW()-5),""),$Z$139:$Z$288))</f>
        <v/>
      </c>
      <c r="BO195" s="31">
        <f>IF(OR(IFERROR(INDEX(Register!$A$6:$A$305,ROW()-5),"")="",SUM($Z$139:$Z$288)=0),0,IF(AND(IFERROR(INDEX(Register!$B$6:$B$305,ROW()-5),"")="Project",IFERROR(INDEX(Register!$D$6:$D$305,ROW()-5),"")="Active",IFERROR(INDEX(Register!$Z$6:$Z$305,ROW()-5),"")=1,$BN195=0),1,0))</f>
        <v/>
      </c>
      <c r="BP195" s="31">
        <f>IF(AND(IFERROR(INDEX(Register!$A$6:$A$305,ROW()-5),"")&lt;&gt;"",IFERROR(INDEX(Register!$D$6:$D$305,ROW()-5),"")="Proposed"),$BN195,0)</f>
        <v/>
      </c>
    </row>
    <row r="196">
      <c r="A196" s="29" t="n"/>
      <c r="B196" s="29" t="n"/>
      <c r="C196" s="53" t="n"/>
      <c r="D196" s="53" t="n"/>
      <c r="E196" s="48" t="n"/>
      <c r="F196" s="31">
        <f>IF($S196=0,"",IF($V196=0,"△ Person not on People",IF($T196=0,"△ Row not on the Register",IF($U196=0,"△ Register row has no Status",IF($AA196=0,"△ From, To or days missing or not valid",IF($U196=3,"△ Row is Completed or Terminated. Clear the line.",IF($X196=1,"△ Booked past the forecast date",IF($U196=2,"○ Pencilled in","○ Clear"))))))))</f>
        <v/>
      </c>
      <c r="S196" s="31">
        <f>IF(COUNTA($A196:$E196)&gt;0,1,0)</f>
        <v/>
      </c>
      <c r="T196" s="31">
        <f>IF($A196="",0,IFERROR(MATCH($A196,Register!$A$6:$A$305,0),0))</f>
        <v/>
      </c>
      <c r="U196" s="31">
        <f>IF($T196=0,0,IF(INDEX(Register!$Q$6:$Q$305,$T196)=1,1,IF(INDEX(Register!$D$6:$D$305,$T196)="Proposed",2,IF(OR(INDEX(Register!$D$6:$D$305,$T196)="Completed",INDEX(Register!$D$6:$D$305,$T196)="Terminated"),3,0))))</f>
        <v/>
      </c>
      <c r="V196" s="31">
        <f>IF($B196="",0,IF(OR($B196="Outside team",COUNTIF($A$63:$A$102,$B196)&gt;0),1,0))</f>
        <v/>
      </c>
      <c r="W196" s="31">
        <f>IF($S196=0,0,1-$Y196)</f>
        <v/>
      </c>
      <c r="X196" s="31">
        <f>IF(OR($Y196=0,$U196&lt;&gt;1,$D$17=""),0,IF(AND(INDEX(Register!$B$6:$B$305,$T196)="Project",N(INDEX(Register!$U$6:$U$305,$T196))&gt;0,$D196&gt;N(INDEX(Register!$U$6:$U$305,$T196))),1,0))</f>
        <v/>
      </c>
      <c r="Y196" s="31">
        <f>IF($S196=0,0,IF(AND($V196=1,$T196&gt;0,$U196&gt;0,$AA196=1),1,0))</f>
        <v/>
      </c>
      <c r="Z196" s="31">
        <f>IF(OR($Y196=0,$D$17=""),0,$E196*MAX(0,(MIN($D196,$P$17)-MAX($C196,$D$17))/7+1))</f>
        <v/>
      </c>
      <c r="AA196" s="31">
        <f>IF($S196=0,0,IF(AND(ISNUMBER($C196),ISNUMBER($D196),ISNUMBER($E196)),IF(AND(WEEKDAY($C196,2)=1,WEEKDAY($D196,2)=1,$D196&gt;=$C196,$E196&gt;=0,$E196&lt;=7),1,0),0))</f>
        <v/>
      </c>
      <c r="BN196" s="31">
        <f>IF(IFERROR(INDEX(Register!$A$6:$A$305,ROW()-5),"")="",0,SUMIF($A$139:$A$288,IFERROR(INDEX(Register!$A$6:$A$305,ROW()-5),""),$Z$139:$Z$288))</f>
        <v/>
      </c>
      <c r="BO196" s="31">
        <f>IF(OR(IFERROR(INDEX(Register!$A$6:$A$305,ROW()-5),"")="",SUM($Z$139:$Z$288)=0),0,IF(AND(IFERROR(INDEX(Register!$B$6:$B$305,ROW()-5),"")="Project",IFERROR(INDEX(Register!$D$6:$D$305,ROW()-5),"")="Active",IFERROR(INDEX(Register!$Z$6:$Z$305,ROW()-5),"")=1,$BN196=0),1,0))</f>
        <v/>
      </c>
      <c r="BP196" s="31">
        <f>IF(AND(IFERROR(INDEX(Register!$A$6:$A$305,ROW()-5),"")&lt;&gt;"",IFERROR(INDEX(Register!$D$6:$D$305,ROW()-5),"")="Proposed"),$BN196,0)</f>
        <v/>
      </c>
    </row>
    <row r="197">
      <c r="A197" s="29" t="n"/>
      <c r="B197" s="29" t="n"/>
      <c r="C197" s="53" t="n"/>
      <c r="D197" s="53" t="n"/>
      <c r="E197" s="48" t="n"/>
      <c r="F197" s="31">
        <f>IF($S197=0,"",IF($V197=0,"△ Person not on People",IF($T197=0,"△ Row not on the Register",IF($U197=0,"△ Register row has no Status",IF($AA197=0,"△ From, To or days missing or not valid",IF($U197=3,"△ Row is Completed or Terminated. Clear the line.",IF($X197=1,"△ Booked past the forecast date",IF($U197=2,"○ Pencilled in","○ Clear"))))))))</f>
        <v/>
      </c>
      <c r="S197" s="31">
        <f>IF(COUNTA($A197:$E197)&gt;0,1,0)</f>
        <v/>
      </c>
      <c r="T197" s="31">
        <f>IF($A197="",0,IFERROR(MATCH($A197,Register!$A$6:$A$305,0),0))</f>
        <v/>
      </c>
      <c r="U197" s="31">
        <f>IF($T197=0,0,IF(INDEX(Register!$Q$6:$Q$305,$T197)=1,1,IF(INDEX(Register!$D$6:$D$305,$T197)="Proposed",2,IF(OR(INDEX(Register!$D$6:$D$305,$T197)="Completed",INDEX(Register!$D$6:$D$305,$T197)="Terminated"),3,0))))</f>
        <v/>
      </c>
      <c r="V197" s="31">
        <f>IF($B197="",0,IF(OR($B197="Outside team",COUNTIF($A$63:$A$102,$B197)&gt;0),1,0))</f>
        <v/>
      </c>
      <c r="W197" s="31">
        <f>IF($S197=0,0,1-$Y197)</f>
        <v/>
      </c>
      <c r="X197" s="31">
        <f>IF(OR($Y197=0,$U197&lt;&gt;1,$D$17=""),0,IF(AND(INDEX(Register!$B$6:$B$305,$T197)="Project",N(INDEX(Register!$U$6:$U$305,$T197))&gt;0,$D197&gt;N(INDEX(Register!$U$6:$U$305,$T197))),1,0))</f>
        <v/>
      </c>
      <c r="Y197" s="31">
        <f>IF($S197=0,0,IF(AND($V197=1,$T197&gt;0,$U197&gt;0,$AA197=1),1,0))</f>
        <v/>
      </c>
      <c r="Z197" s="31">
        <f>IF(OR($Y197=0,$D$17=""),0,$E197*MAX(0,(MIN($D197,$P$17)-MAX($C197,$D$17))/7+1))</f>
        <v/>
      </c>
      <c r="AA197" s="31">
        <f>IF($S197=0,0,IF(AND(ISNUMBER($C197),ISNUMBER($D197),ISNUMBER($E197)),IF(AND(WEEKDAY($C197,2)=1,WEEKDAY($D197,2)=1,$D197&gt;=$C197,$E197&gt;=0,$E197&lt;=7),1,0),0))</f>
        <v/>
      </c>
      <c r="BN197" s="31">
        <f>IF(IFERROR(INDEX(Register!$A$6:$A$305,ROW()-5),"")="",0,SUMIF($A$139:$A$288,IFERROR(INDEX(Register!$A$6:$A$305,ROW()-5),""),$Z$139:$Z$288))</f>
        <v/>
      </c>
      <c r="BO197" s="31">
        <f>IF(OR(IFERROR(INDEX(Register!$A$6:$A$305,ROW()-5),"")="",SUM($Z$139:$Z$288)=0),0,IF(AND(IFERROR(INDEX(Register!$B$6:$B$305,ROW()-5),"")="Project",IFERROR(INDEX(Register!$D$6:$D$305,ROW()-5),"")="Active",IFERROR(INDEX(Register!$Z$6:$Z$305,ROW()-5),"")=1,$BN197=0),1,0))</f>
        <v/>
      </c>
      <c r="BP197" s="31">
        <f>IF(AND(IFERROR(INDEX(Register!$A$6:$A$305,ROW()-5),"")&lt;&gt;"",IFERROR(INDEX(Register!$D$6:$D$305,ROW()-5),"")="Proposed"),$BN197,0)</f>
        <v/>
      </c>
    </row>
    <row r="198">
      <c r="A198" s="29" t="n"/>
      <c r="B198" s="29" t="n"/>
      <c r="C198" s="53" t="n"/>
      <c r="D198" s="53" t="n"/>
      <c r="E198" s="48" t="n"/>
      <c r="F198" s="31">
        <f>IF($S198=0,"",IF($V198=0,"△ Person not on People",IF($T198=0,"△ Row not on the Register",IF($U198=0,"△ Register row has no Status",IF($AA198=0,"△ From, To or days missing or not valid",IF($U198=3,"△ Row is Completed or Terminated. Clear the line.",IF($X198=1,"△ Booked past the forecast date",IF($U198=2,"○ Pencilled in","○ Clear"))))))))</f>
        <v/>
      </c>
      <c r="S198" s="31">
        <f>IF(COUNTA($A198:$E198)&gt;0,1,0)</f>
        <v/>
      </c>
      <c r="T198" s="31">
        <f>IF($A198="",0,IFERROR(MATCH($A198,Register!$A$6:$A$305,0),0))</f>
        <v/>
      </c>
      <c r="U198" s="31">
        <f>IF($T198=0,0,IF(INDEX(Register!$Q$6:$Q$305,$T198)=1,1,IF(INDEX(Register!$D$6:$D$305,$T198)="Proposed",2,IF(OR(INDEX(Register!$D$6:$D$305,$T198)="Completed",INDEX(Register!$D$6:$D$305,$T198)="Terminated"),3,0))))</f>
        <v/>
      </c>
      <c r="V198" s="31">
        <f>IF($B198="",0,IF(OR($B198="Outside team",COUNTIF($A$63:$A$102,$B198)&gt;0),1,0))</f>
        <v/>
      </c>
      <c r="W198" s="31">
        <f>IF($S198=0,0,1-$Y198)</f>
        <v/>
      </c>
      <c r="X198" s="31">
        <f>IF(OR($Y198=0,$U198&lt;&gt;1,$D$17=""),0,IF(AND(INDEX(Register!$B$6:$B$305,$T198)="Project",N(INDEX(Register!$U$6:$U$305,$T198))&gt;0,$D198&gt;N(INDEX(Register!$U$6:$U$305,$T198))),1,0))</f>
        <v/>
      </c>
      <c r="Y198" s="31">
        <f>IF($S198=0,0,IF(AND($V198=1,$T198&gt;0,$U198&gt;0,$AA198=1),1,0))</f>
        <v/>
      </c>
      <c r="Z198" s="31">
        <f>IF(OR($Y198=0,$D$17=""),0,$E198*MAX(0,(MIN($D198,$P$17)-MAX($C198,$D$17))/7+1))</f>
        <v/>
      </c>
      <c r="AA198" s="31">
        <f>IF($S198=0,0,IF(AND(ISNUMBER($C198),ISNUMBER($D198),ISNUMBER($E198)),IF(AND(WEEKDAY($C198,2)=1,WEEKDAY($D198,2)=1,$D198&gt;=$C198,$E198&gt;=0,$E198&lt;=7),1,0),0))</f>
        <v/>
      </c>
      <c r="BN198" s="31">
        <f>IF(IFERROR(INDEX(Register!$A$6:$A$305,ROW()-5),"")="",0,SUMIF($A$139:$A$288,IFERROR(INDEX(Register!$A$6:$A$305,ROW()-5),""),$Z$139:$Z$288))</f>
        <v/>
      </c>
      <c r="BO198" s="31">
        <f>IF(OR(IFERROR(INDEX(Register!$A$6:$A$305,ROW()-5),"")="",SUM($Z$139:$Z$288)=0),0,IF(AND(IFERROR(INDEX(Register!$B$6:$B$305,ROW()-5),"")="Project",IFERROR(INDEX(Register!$D$6:$D$305,ROW()-5),"")="Active",IFERROR(INDEX(Register!$Z$6:$Z$305,ROW()-5),"")=1,$BN198=0),1,0))</f>
        <v/>
      </c>
      <c r="BP198" s="31">
        <f>IF(AND(IFERROR(INDEX(Register!$A$6:$A$305,ROW()-5),"")&lt;&gt;"",IFERROR(INDEX(Register!$D$6:$D$305,ROW()-5),"")="Proposed"),$BN198,0)</f>
        <v/>
      </c>
    </row>
    <row r="199">
      <c r="A199" s="29" t="n"/>
      <c r="B199" s="29" t="n"/>
      <c r="C199" s="53" t="n"/>
      <c r="D199" s="53" t="n"/>
      <c r="E199" s="48" t="n"/>
      <c r="F199" s="31">
        <f>IF($S199=0,"",IF($V199=0,"△ Person not on People",IF($T199=0,"△ Row not on the Register",IF($U199=0,"△ Register row has no Status",IF($AA199=0,"△ From, To or days missing or not valid",IF($U199=3,"△ Row is Completed or Terminated. Clear the line.",IF($X199=1,"△ Booked past the forecast date",IF($U199=2,"○ Pencilled in","○ Clear"))))))))</f>
        <v/>
      </c>
      <c r="S199" s="31">
        <f>IF(COUNTA($A199:$E199)&gt;0,1,0)</f>
        <v/>
      </c>
      <c r="T199" s="31">
        <f>IF($A199="",0,IFERROR(MATCH($A199,Register!$A$6:$A$305,0),0))</f>
        <v/>
      </c>
      <c r="U199" s="31">
        <f>IF($T199=0,0,IF(INDEX(Register!$Q$6:$Q$305,$T199)=1,1,IF(INDEX(Register!$D$6:$D$305,$T199)="Proposed",2,IF(OR(INDEX(Register!$D$6:$D$305,$T199)="Completed",INDEX(Register!$D$6:$D$305,$T199)="Terminated"),3,0))))</f>
        <v/>
      </c>
      <c r="V199" s="31">
        <f>IF($B199="",0,IF(OR($B199="Outside team",COUNTIF($A$63:$A$102,$B199)&gt;0),1,0))</f>
        <v/>
      </c>
      <c r="W199" s="31">
        <f>IF($S199=0,0,1-$Y199)</f>
        <v/>
      </c>
      <c r="X199" s="31">
        <f>IF(OR($Y199=0,$U199&lt;&gt;1,$D$17=""),0,IF(AND(INDEX(Register!$B$6:$B$305,$T199)="Project",N(INDEX(Register!$U$6:$U$305,$T199))&gt;0,$D199&gt;N(INDEX(Register!$U$6:$U$305,$T199))),1,0))</f>
        <v/>
      </c>
      <c r="Y199" s="31">
        <f>IF($S199=0,0,IF(AND($V199=1,$T199&gt;0,$U199&gt;0,$AA199=1),1,0))</f>
        <v/>
      </c>
      <c r="Z199" s="31">
        <f>IF(OR($Y199=0,$D$17=""),0,$E199*MAX(0,(MIN($D199,$P$17)-MAX($C199,$D$17))/7+1))</f>
        <v/>
      </c>
      <c r="AA199" s="31">
        <f>IF($S199=0,0,IF(AND(ISNUMBER($C199),ISNUMBER($D199),ISNUMBER($E199)),IF(AND(WEEKDAY($C199,2)=1,WEEKDAY($D199,2)=1,$D199&gt;=$C199,$E199&gt;=0,$E199&lt;=7),1,0),0))</f>
        <v/>
      </c>
      <c r="BN199" s="31">
        <f>IF(IFERROR(INDEX(Register!$A$6:$A$305,ROW()-5),"")="",0,SUMIF($A$139:$A$288,IFERROR(INDEX(Register!$A$6:$A$305,ROW()-5),""),$Z$139:$Z$288))</f>
        <v/>
      </c>
      <c r="BO199" s="31">
        <f>IF(OR(IFERROR(INDEX(Register!$A$6:$A$305,ROW()-5),"")="",SUM($Z$139:$Z$288)=0),0,IF(AND(IFERROR(INDEX(Register!$B$6:$B$305,ROW()-5),"")="Project",IFERROR(INDEX(Register!$D$6:$D$305,ROW()-5),"")="Active",IFERROR(INDEX(Register!$Z$6:$Z$305,ROW()-5),"")=1,$BN199=0),1,0))</f>
        <v/>
      </c>
      <c r="BP199" s="31">
        <f>IF(AND(IFERROR(INDEX(Register!$A$6:$A$305,ROW()-5),"")&lt;&gt;"",IFERROR(INDEX(Register!$D$6:$D$305,ROW()-5),"")="Proposed"),$BN199,0)</f>
        <v/>
      </c>
    </row>
    <row r="200">
      <c r="A200" s="29" t="n"/>
      <c r="B200" s="29" t="n"/>
      <c r="C200" s="53" t="n"/>
      <c r="D200" s="53" t="n"/>
      <c r="E200" s="48" t="n"/>
      <c r="F200" s="31">
        <f>IF($S200=0,"",IF($V200=0,"△ Person not on People",IF($T200=0,"△ Row not on the Register",IF($U200=0,"△ Register row has no Status",IF($AA200=0,"△ From, To or days missing or not valid",IF($U200=3,"△ Row is Completed or Terminated. Clear the line.",IF($X200=1,"△ Booked past the forecast date",IF($U200=2,"○ Pencilled in","○ Clear"))))))))</f>
        <v/>
      </c>
      <c r="S200" s="31">
        <f>IF(COUNTA($A200:$E200)&gt;0,1,0)</f>
        <v/>
      </c>
      <c r="T200" s="31">
        <f>IF($A200="",0,IFERROR(MATCH($A200,Register!$A$6:$A$305,0),0))</f>
        <v/>
      </c>
      <c r="U200" s="31">
        <f>IF($T200=0,0,IF(INDEX(Register!$Q$6:$Q$305,$T200)=1,1,IF(INDEX(Register!$D$6:$D$305,$T200)="Proposed",2,IF(OR(INDEX(Register!$D$6:$D$305,$T200)="Completed",INDEX(Register!$D$6:$D$305,$T200)="Terminated"),3,0))))</f>
        <v/>
      </c>
      <c r="V200" s="31">
        <f>IF($B200="",0,IF(OR($B200="Outside team",COUNTIF($A$63:$A$102,$B200)&gt;0),1,0))</f>
        <v/>
      </c>
      <c r="W200" s="31">
        <f>IF($S200=0,0,1-$Y200)</f>
        <v/>
      </c>
      <c r="X200" s="31">
        <f>IF(OR($Y200=0,$U200&lt;&gt;1,$D$17=""),0,IF(AND(INDEX(Register!$B$6:$B$305,$T200)="Project",N(INDEX(Register!$U$6:$U$305,$T200))&gt;0,$D200&gt;N(INDEX(Register!$U$6:$U$305,$T200))),1,0))</f>
        <v/>
      </c>
      <c r="Y200" s="31">
        <f>IF($S200=0,0,IF(AND($V200=1,$T200&gt;0,$U200&gt;0,$AA200=1),1,0))</f>
        <v/>
      </c>
      <c r="Z200" s="31">
        <f>IF(OR($Y200=0,$D$17=""),0,$E200*MAX(0,(MIN($D200,$P$17)-MAX($C200,$D$17))/7+1))</f>
        <v/>
      </c>
      <c r="AA200" s="31">
        <f>IF($S200=0,0,IF(AND(ISNUMBER($C200),ISNUMBER($D200),ISNUMBER($E200)),IF(AND(WEEKDAY($C200,2)=1,WEEKDAY($D200,2)=1,$D200&gt;=$C200,$E200&gt;=0,$E200&lt;=7),1,0),0))</f>
        <v/>
      </c>
      <c r="BN200" s="31">
        <f>IF(IFERROR(INDEX(Register!$A$6:$A$305,ROW()-5),"")="",0,SUMIF($A$139:$A$288,IFERROR(INDEX(Register!$A$6:$A$305,ROW()-5),""),$Z$139:$Z$288))</f>
        <v/>
      </c>
      <c r="BO200" s="31">
        <f>IF(OR(IFERROR(INDEX(Register!$A$6:$A$305,ROW()-5),"")="",SUM($Z$139:$Z$288)=0),0,IF(AND(IFERROR(INDEX(Register!$B$6:$B$305,ROW()-5),"")="Project",IFERROR(INDEX(Register!$D$6:$D$305,ROW()-5),"")="Active",IFERROR(INDEX(Register!$Z$6:$Z$305,ROW()-5),"")=1,$BN200=0),1,0))</f>
        <v/>
      </c>
      <c r="BP200" s="31">
        <f>IF(AND(IFERROR(INDEX(Register!$A$6:$A$305,ROW()-5),"")&lt;&gt;"",IFERROR(INDEX(Register!$D$6:$D$305,ROW()-5),"")="Proposed"),$BN200,0)</f>
        <v/>
      </c>
    </row>
    <row r="201">
      <c r="A201" s="29" t="n"/>
      <c r="B201" s="29" t="n"/>
      <c r="C201" s="53" t="n"/>
      <c r="D201" s="53" t="n"/>
      <c r="E201" s="48" t="n"/>
      <c r="F201" s="31">
        <f>IF($S201=0,"",IF($V201=0,"△ Person not on People",IF($T201=0,"△ Row not on the Register",IF($U201=0,"△ Register row has no Status",IF($AA201=0,"△ From, To or days missing or not valid",IF($U201=3,"△ Row is Completed or Terminated. Clear the line.",IF($X201=1,"△ Booked past the forecast date",IF($U201=2,"○ Pencilled in","○ Clear"))))))))</f>
        <v/>
      </c>
      <c r="S201" s="31">
        <f>IF(COUNTA($A201:$E201)&gt;0,1,0)</f>
        <v/>
      </c>
      <c r="T201" s="31">
        <f>IF($A201="",0,IFERROR(MATCH($A201,Register!$A$6:$A$305,0),0))</f>
        <v/>
      </c>
      <c r="U201" s="31">
        <f>IF($T201=0,0,IF(INDEX(Register!$Q$6:$Q$305,$T201)=1,1,IF(INDEX(Register!$D$6:$D$305,$T201)="Proposed",2,IF(OR(INDEX(Register!$D$6:$D$305,$T201)="Completed",INDEX(Register!$D$6:$D$305,$T201)="Terminated"),3,0))))</f>
        <v/>
      </c>
      <c r="V201" s="31">
        <f>IF($B201="",0,IF(OR($B201="Outside team",COUNTIF($A$63:$A$102,$B201)&gt;0),1,0))</f>
        <v/>
      </c>
      <c r="W201" s="31">
        <f>IF($S201=0,0,1-$Y201)</f>
        <v/>
      </c>
      <c r="X201" s="31">
        <f>IF(OR($Y201=0,$U201&lt;&gt;1,$D$17=""),0,IF(AND(INDEX(Register!$B$6:$B$305,$T201)="Project",N(INDEX(Register!$U$6:$U$305,$T201))&gt;0,$D201&gt;N(INDEX(Register!$U$6:$U$305,$T201))),1,0))</f>
        <v/>
      </c>
      <c r="Y201" s="31">
        <f>IF($S201=0,0,IF(AND($V201=1,$T201&gt;0,$U201&gt;0,$AA201=1),1,0))</f>
        <v/>
      </c>
      <c r="Z201" s="31">
        <f>IF(OR($Y201=0,$D$17=""),0,$E201*MAX(0,(MIN($D201,$P$17)-MAX($C201,$D$17))/7+1))</f>
        <v/>
      </c>
      <c r="AA201" s="31">
        <f>IF($S201=0,0,IF(AND(ISNUMBER($C201),ISNUMBER($D201),ISNUMBER($E201)),IF(AND(WEEKDAY($C201,2)=1,WEEKDAY($D201,2)=1,$D201&gt;=$C201,$E201&gt;=0,$E201&lt;=7),1,0),0))</f>
        <v/>
      </c>
      <c r="BN201" s="31">
        <f>IF(IFERROR(INDEX(Register!$A$6:$A$305,ROW()-5),"")="",0,SUMIF($A$139:$A$288,IFERROR(INDEX(Register!$A$6:$A$305,ROW()-5),""),$Z$139:$Z$288))</f>
        <v/>
      </c>
      <c r="BO201" s="31">
        <f>IF(OR(IFERROR(INDEX(Register!$A$6:$A$305,ROW()-5),"")="",SUM($Z$139:$Z$288)=0),0,IF(AND(IFERROR(INDEX(Register!$B$6:$B$305,ROW()-5),"")="Project",IFERROR(INDEX(Register!$D$6:$D$305,ROW()-5),"")="Active",IFERROR(INDEX(Register!$Z$6:$Z$305,ROW()-5),"")=1,$BN201=0),1,0))</f>
        <v/>
      </c>
      <c r="BP201" s="31">
        <f>IF(AND(IFERROR(INDEX(Register!$A$6:$A$305,ROW()-5),"")&lt;&gt;"",IFERROR(INDEX(Register!$D$6:$D$305,ROW()-5),"")="Proposed"),$BN201,0)</f>
        <v/>
      </c>
    </row>
    <row r="202">
      <c r="A202" s="29" t="n"/>
      <c r="B202" s="29" t="n"/>
      <c r="C202" s="53" t="n"/>
      <c r="D202" s="53" t="n"/>
      <c r="E202" s="48" t="n"/>
      <c r="F202" s="31">
        <f>IF($S202=0,"",IF($V202=0,"△ Person not on People",IF($T202=0,"△ Row not on the Register",IF($U202=0,"△ Register row has no Status",IF($AA202=0,"△ From, To or days missing or not valid",IF($U202=3,"△ Row is Completed or Terminated. Clear the line.",IF($X202=1,"△ Booked past the forecast date",IF($U202=2,"○ Pencilled in","○ Clear"))))))))</f>
        <v/>
      </c>
      <c r="S202" s="31">
        <f>IF(COUNTA($A202:$E202)&gt;0,1,0)</f>
        <v/>
      </c>
      <c r="T202" s="31">
        <f>IF($A202="",0,IFERROR(MATCH($A202,Register!$A$6:$A$305,0),0))</f>
        <v/>
      </c>
      <c r="U202" s="31">
        <f>IF($T202=0,0,IF(INDEX(Register!$Q$6:$Q$305,$T202)=1,1,IF(INDEX(Register!$D$6:$D$305,$T202)="Proposed",2,IF(OR(INDEX(Register!$D$6:$D$305,$T202)="Completed",INDEX(Register!$D$6:$D$305,$T202)="Terminated"),3,0))))</f>
        <v/>
      </c>
      <c r="V202" s="31">
        <f>IF($B202="",0,IF(OR($B202="Outside team",COUNTIF($A$63:$A$102,$B202)&gt;0),1,0))</f>
        <v/>
      </c>
      <c r="W202" s="31">
        <f>IF($S202=0,0,1-$Y202)</f>
        <v/>
      </c>
      <c r="X202" s="31">
        <f>IF(OR($Y202=0,$U202&lt;&gt;1,$D$17=""),0,IF(AND(INDEX(Register!$B$6:$B$305,$T202)="Project",N(INDEX(Register!$U$6:$U$305,$T202))&gt;0,$D202&gt;N(INDEX(Register!$U$6:$U$305,$T202))),1,0))</f>
        <v/>
      </c>
      <c r="Y202" s="31">
        <f>IF($S202=0,0,IF(AND($V202=1,$T202&gt;0,$U202&gt;0,$AA202=1),1,0))</f>
        <v/>
      </c>
      <c r="Z202" s="31">
        <f>IF(OR($Y202=0,$D$17=""),0,$E202*MAX(0,(MIN($D202,$P$17)-MAX($C202,$D$17))/7+1))</f>
        <v/>
      </c>
      <c r="AA202" s="31">
        <f>IF($S202=0,0,IF(AND(ISNUMBER($C202),ISNUMBER($D202),ISNUMBER($E202)),IF(AND(WEEKDAY($C202,2)=1,WEEKDAY($D202,2)=1,$D202&gt;=$C202,$E202&gt;=0,$E202&lt;=7),1,0),0))</f>
        <v/>
      </c>
      <c r="BN202" s="31">
        <f>IF(IFERROR(INDEX(Register!$A$6:$A$305,ROW()-5),"")="",0,SUMIF($A$139:$A$288,IFERROR(INDEX(Register!$A$6:$A$305,ROW()-5),""),$Z$139:$Z$288))</f>
        <v/>
      </c>
      <c r="BO202" s="31">
        <f>IF(OR(IFERROR(INDEX(Register!$A$6:$A$305,ROW()-5),"")="",SUM($Z$139:$Z$288)=0),0,IF(AND(IFERROR(INDEX(Register!$B$6:$B$305,ROW()-5),"")="Project",IFERROR(INDEX(Register!$D$6:$D$305,ROW()-5),"")="Active",IFERROR(INDEX(Register!$Z$6:$Z$305,ROW()-5),"")=1,$BN202=0),1,0))</f>
        <v/>
      </c>
      <c r="BP202" s="31">
        <f>IF(AND(IFERROR(INDEX(Register!$A$6:$A$305,ROW()-5),"")&lt;&gt;"",IFERROR(INDEX(Register!$D$6:$D$305,ROW()-5),"")="Proposed"),$BN202,0)</f>
        <v/>
      </c>
    </row>
    <row r="203">
      <c r="A203" s="29" t="n"/>
      <c r="B203" s="29" t="n"/>
      <c r="C203" s="53" t="n"/>
      <c r="D203" s="53" t="n"/>
      <c r="E203" s="48" t="n"/>
      <c r="F203" s="31">
        <f>IF($S203=0,"",IF($V203=0,"△ Person not on People",IF($T203=0,"△ Row not on the Register",IF($U203=0,"△ Register row has no Status",IF($AA203=0,"△ From, To or days missing or not valid",IF($U203=3,"△ Row is Completed or Terminated. Clear the line.",IF($X203=1,"△ Booked past the forecast date",IF($U203=2,"○ Pencilled in","○ Clear"))))))))</f>
        <v/>
      </c>
      <c r="S203" s="31">
        <f>IF(COUNTA($A203:$E203)&gt;0,1,0)</f>
        <v/>
      </c>
      <c r="T203" s="31">
        <f>IF($A203="",0,IFERROR(MATCH($A203,Register!$A$6:$A$305,0),0))</f>
        <v/>
      </c>
      <c r="U203" s="31">
        <f>IF($T203=0,0,IF(INDEX(Register!$Q$6:$Q$305,$T203)=1,1,IF(INDEX(Register!$D$6:$D$305,$T203)="Proposed",2,IF(OR(INDEX(Register!$D$6:$D$305,$T203)="Completed",INDEX(Register!$D$6:$D$305,$T203)="Terminated"),3,0))))</f>
        <v/>
      </c>
      <c r="V203" s="31">
        <f>IF($B203="",0,IF(OR($B203="Outside team",COUNTIF($A$63:$A$102,$B203)&gt;0),1,0))</f>
        <v/>
      </c>
      <c r="W203" s="31">
        <f>IF($S203=0,0,1-$Y203)</f>
        <v/>
      </c>
      <c r="X203" s="31">
        <f>IF(OR($Y203=0,$U203&lt;&gt;1,$D$17=""),0,IF(AND(INDEX(Register!$B$6:$B$305,$T203)="Project",N(INDEX(Register!$U$6:$U$305,$T203))&gt;0,$D203&gt;N(INDEX(Register!$U$6:$U$305,$T203))),1,0))</f>
        <v/>
      </c>
      <c r="Y203" s="31">
        <f>IF($S203=0,0,IF(AND($V203=1,$T203&gt;0,$U203&gt;0,$AA203=1),1,0))</f>
        <v/>
      </c>
      <c r="Z203" s="31">
        <f>IF(OR($Y203=0,$D$17=""),0,$E203*MAX(0,(MIN($D203,$P$17)-MAX($C203,$D$17))/7+1))</f>
        <v/>
      </c>
      <c r="AA203" s="31">
        <f>IF($S203=0,0,IF(AND(ISNUMBER($C203),ISNUMBER($D203),ISNUMBER($E203)),IF(AND(WEEKDAY($C203,2)=1,WEEKDAY($D203,2)=1,$D203&gt;=$C203,$E203&gt;=0,$E203&lt;=7),1,0),0))</f>
        <v/>
      </c>
      <c r="BN203" s="31">
        <f>IF(IFERROR(INDEX(Register!$A$6:$A$305,ROW()-5),"")="",0,SUMIF($A$139:$A$288,IFERROR(INDEX(Register!$A$6:$A$305,ROW()-5),""),$Z$139:$Z$288))</f>
        <v/>
      </c>
      <c r="BO203" s="31">
        <f>IF(OR(IFERROR(INDEX(Register!$A$6:$A$305,ROW()-5),"")="",SUM($Z$139:$Z$288)=0),0,IF(AND(IFERROR(INDEX(Register!$B$6:$B$305,ROW()-5),"")="Project",IFERROR(INDEX(Register!$D$6:$D$305,ROW()-5),"")="Active",IFERROR(INDEX(Register!$Z$6:$Z$305,ROW()-5),"")=1,$BN203=0),1,0))</f>
        <v/>
      </c>
      <c r="BP203" s="31">
        <f>IF(AND(IFERROR(INDEX(Register!$A$6:$A$305,ROW()-5),"")&lt;&gt;"",IFERROR(INDEX(Register!$D$6:$D$305,ROW()-5),"")="Proposed"),$BN203,0)</f>
        <v/>
      </c>
    </row>
    <row r="204">
      <c r="A204" s="29" t="n"/>
      <c r="B204" s="29" t="n"/>
      <c r="C204" s="53" t="n"/>
      <c r="D204" s="53" t="n"/>
      <c r="E204" s="48" t="n"/>
      <c r="F204" s="31">
        <f>IF($S204=0,"",IF($V204=0,"△ Person not on People",IF($T204=0,"△ Row not on the Register",IF($U204=0,"△ Register row has no Status",IF($AA204=0,"△ From, To or days missing or not valid",IF($U204=3,"△ Row is Completed or Terminated. Clear the line.",IF($X204=1,"△ Booked past the forecast date",IF($U204=2,"○ Pencilled in","○ Clear"))))))))</f>
        <v/>
      </c>
      <c r="S204" s="31">
        <f>IF(COUNTA($A204:$E204)&gt;0,1,0)</f>
        <v/>
      </c>
      <c r="T204" s="31">
        <f>IF($A204="",0,IFERROR(MATCH($A204,Register!$A$6:$A$305,0),0))</f>
        <v/>
      </c>
      <c r="U204" s="31">
        <f>IF($T204=0,0,IF(INDEX(Register!$Q$6:$Q$305,$T204)=1,1,IF(INDEX(Register!$D$6:$D$305,$T204)="Proposed",2,IF(OR(INDEX(Register!$D$6:$D$305,$T204)="Completed",INDEX(Register!$D$6:$D$305,$T204)="Terminated"),3,0))))</f>
        <v/>
      </c>
      <c r="V204" s="31">
        <f>IF($B204="",0,IF(OR($B204="Outside team",COUNTIF($A$63:$A$102,$B204)&gt;0),1,0))</f>
        <v/>
      </c>
      <c r="W204" s="31">
        <f>IF($S204=0,0,1-$Y204)</f>
        <v/>
      </c>
      <c r="X204" s="31">
        <f>IF(OR($Y204=0,$U204&lt;&gt;1,$D$17=""),0,IF(AND(INDEX(Register!$B$6:$B$305,$T204)="Project",N(INDEX(Register!$U$6:$U$305,$T204))&gt;0,$D204&gt;N(INDEX(Register!$U$6:$U$305,$T204))),1,0))</f>
        <v/>
      </c>
      <c r="Y204" s="31">
        <f>IF($S204=0,0,IF(AND($V204=1,$T204&gt;0,$U204&gt;0,$AA204=1),1,0))</f>
        <v/>
      </c>
      <c r="Z204" s="31">
        <f>IF(OR($Y204=0,$D$17=""),0,$E204*MAX(0,(MIN($D204,$P$17)-MAX($C204,$D$17))/7+1))</f>
        <v/>
      </c>
      <c r="AA204" s="31">
        <f>IF($S204=0,0,IF(AND(ISNUMBER($C204),ISNUMBER($D204),ISNUMBER($E204)),IF(AND(WEEKDAY($C204,2)=1,WEEKDAY($D204,2)=1,$D204&gt;=$C204,$E204&gt;=0,$E204&lt;=7),1,0),0))</f>
        <v/>
      </c>
      <c r="BN204" s="31">
        <f>IF(IFERROR(INDEX(Register!$A$6:$A$305,ROW()-5),"")="",0,SUMIF($A$139:$A$288,IFERROR(INDEX(Register!$A$6:$A$305,ROW()-5),""),$Z$139:$Z$288))</f>
        <v/>
      </c>
      <c r="BO204" s="31">
        <f>IF(OR(IFERROR(INDEX(Register!$A$6:$A$305,ROW()-5),"")="",SUM($Z$139:$Z$288)=0),0,IF(AND(IFERROR(INDEX(Register!$B$6:$B$305,ROW()-5),"")="Project",IFERROR(INDEX(Register!$D$6:$D$305,ROW()-5),"")="Active",IFERROR(INDEX(Register!$Z$6:$Z$305,ROW()-5),"")=1,$BN204=0),1,0))</f>
        <v/>
      </c>
      <c r="BP204" s="31">
        <f>IF(AND(IFERROR(INDEX(Register!$A$6:$A$305,ROW()-5),"")&lt;&gt;"",IFERROR(INDEX(Register!$D$6:$D$305,ROW()-5),"")="Proposed"),$BN204,0)</f>
        <v/>
      </c>
    </row>
    <row r="205">
      <c r="A205" s="29" t="n"/>
      <c r="B205" s="29" t="n"/>
      <c r="C205" s="53" t="n"/>
      <c r="D205" s="53" t="n"/>
      <c r="E205" s="48" t="n"/>
      <c r="F205" s="31">
        <f>IF($S205=0,"",IF($V205=0,"△ Person not on People",IF($T205=0,"△ Row not on the Register",IF($U205=0,"△ Register row has no Status",IF($AA205=0,"△ From, To or days missing or not valid",IF($U205=3,"△ Row is Completed or Terminated. Clear the line.",IF($X205=1,"△ Booked past the forecast date",IF($U205=2,"○ Pencilled in","○ Clear"))))))))</f>
        <v/>
      </c>
      <c r="S205" s="31">
        <f>IF(COUNTA($A205:$E205)&gt;0,1,0)</f>
        <v/>
      </c>
      <c r="T205" s="31">
        <f>IF($A205="",0,IFERROR(MATCH($A205,Register!$A$6:$A$305,0),0))</f>
        <v/>
      </c>
      <c r="U205" s="31">
        <f>IF($T205=0,0,IF(INDEX(Register!$Q$6:$Q$305,$T205)=1,1,IF(INDEX(Register!$D$6:$D$305,$T205)="Proposed",2,IF(OR(INDEX(Register!$D$6:$D$305,$T205)="Completed",INDEX(Register!$D$6:$D$305,$T205)="Terminated"),3,0))))</f>
        <v/>
      </c>
      <c r="V205" s="31">
        <f>IF($B205="",0,IF(OR($B205="Outside team",COUNTIF($A$63:$A$102,$B205)&gt;0),1,0))</f>
        <v/>
      </c>
      <c r="W205" s="31">
        <f>IF($S205=0,0,1-$Y205)</f>
        <v/>
      </c>
      <c r="X205" s="31">
        <f>IF(OR($Y205=0,$U205&lt;&gt;1,$D$17=""),0,IF(AND(INDEX(Register!$B$6:$B$305,$T205)="Project",N(INDEX(Register!$U$6:$U$305,$T205))&gt;0,$D205&gt;N(INDEX(Register!$U$6:$U$305,$T205))),1,0))</f>
        <v/>
      </c>
      <c r="Y205" s="31">
        <f>IF($S205=0,0,IF(AND($V205=1,$T205&gt;0,$U205&gt;0,$AA205=1),1,0))</f>
        <v/>
      </c>
      <c r="Z205" s="31">
        <f>IF(OR($Y205=0,$D$17=""),0,$E205*MAX(0,(MIN($D205,$P$17)-MAX($C205,$D$17))/7+1))</f>
        <v/>
      </c>
      <c r="AA205" s="31">
        <f>IF($S205=0,0,IF(AND(ISNUMBER($C205),ISNUMBER($D205),ISNUMBER($E205)),IF(AND(WEEKDAY($C205,2)=1,WEEKDAY($D205,2)=1,$D205&gt;=$C205,$E205&gt;=0,$E205&lt;=7),1,0),0))</f>
        <v/>
      </c>
      <c r="BN205" s="31">
        <f>IF(IFERROR(INDEX(Register!$A$6:$A$305,ROW()-5),"")="",0,SUMIF($A$139:$A$288,IFERROR(INDEX(Register!$A$6:$A$305,ROW()-5),""),$Z$139:$Z$288))</f>
        <v/>
      </c>
      <c r="BO205" s="31">
        <f>IF(OR(IFERROR(INDEX(Register!$A$6:$A$305,ROW()-5),"")="",SUM($Z$139:$Z$288)=0),0,IF(AND(IFERROR(INDEX(Register!$B$6:$B$305,ROW()-5),"")="Project",IFERROR(INDEX(Register!$D$6:$D$305,ROW()-5),"")="Active",IFERROR(INDEX(Register!$Z$6:$Z$305,ROW()-5),"")=1,$BN205=0),1,0))</f>
        <v/>
      </c>
      <c r="BP205" s="31">
        <f>IF(AND(IFERROR(INDEX(Register!$A$6:$A$305,ROW()-5),"")&lt;&gt;"",IFERROR(INDEX(Register!$D$6:$D$305,ROW()-5),"")="Proposed"),$BN205,0)</f>
        <v/>
      </c>
    </row>
    <row r="206">
      <c r="A206" s="29" t="n"/>
      <c r="B206" s="29" t="n"/>
      <c r="C206" s="53" t="n"/>
      <c r="D206" s="53" t="n"/>
      <c r="E206" s="48" t="n"/>
      <c r="F206" s="31">
        <f>IF($S206=0,"",IF($V206=0,"△ Person not on People",IF($T206=0,"△ Row not on the Register",IF($U206=0,"△ Register row has no Status",IF($AA206=0,"△ From, To or days missing or not valid",IF($U206=3,"△ Row is Completed or Terminated. Clear the line.",IF($X206=1,"△ Booked past the forecast date",IF($U206=2,"○ Pencilled in","○ Clear"))))))))</f>
        <v/>
      </c>
      <c r="S206" s="31">
        <f>IF(COUNTA($A206:$E206)&gt;0,1,0)</f>
        <v/>
      </c>
      <c r="T206" s="31">
        <f>IF($A206="",0,IFERROR(MATCH($A206,Register!$A$6:$A$305,0),0))</f>
        <v/>
      </c>
      <c r="U206" s="31">
        <f>IF($T206=0,0,IF(INDEX(Register!$Q$6:$Q$305,$T206)=1,1,IF(INDEX(Register!$D$6:$D$305,$T206)="Proposed",2,IF(OR(INDEX(Register!$D$6:$D$305,$T206)="Completed",INDEX(Register!$D$6:$D$305,$T206)="Terminated"),3,0))))</f>
        <v/>
      </c>
      <c r="V206" s="31">
        <f>IF($B206="",0,IF(OR($B206="Outside team",COUNTIF($A$63:$A$102,$B206)&gt;0),1,0))</f>
        <v/>
      </c>
      <c r="W206" s="31">
        <f>IF($S206=0,0,1-$Y206)</f>
        <v/>
      </c>
      <c r="X206" s="31">
        <f>IF(OR($Y206=0,$U206&lt;&gt;1,$D$17=""),0,IF(AND(INDEX(Register!$B$6:$B$305,$T206)="Project",N(INDEX(Register!$U$6:$U$305,$T206))&gt;0,$D206&gt;N(INDEX(Register!$U$6:$U$305,$T206))),1,0))</f>
        <v/>
      </c>
      <c r="Y206" s="31">
        <f>IF($S206=0,0,IF(AND($V206=1,$T206&gt;0,$U206&gt;0,$AA206=1),1,0))</f>
        <v/>
      </c>
      <c r="Z206" s="31">
        <f>IF(OR($Y206=0,$D$17=""),0,$E206*MAX(0,(MIN($D206,$P$17)-MAX($C206,$D$17))/7+1))</f>
        <v/>
      </c>
      <c r="AA206" s="31">
        <f>IF($S206=0,0,IF(AND(ISNUMBER($C206),ISNUMBER($D206),ISNUMBER($E206)),IF(AND(WEEKDAY($C206,2)=1,WEEKDAY($D206,2)=1,$D206&gt;=$C206,$E206&gt;=0,$E206&lt;=7),1,0),0))</f>
        <v/>
      </c>
      <c r="BN206" s="31">
        <f>IF(IFERROR(INDEX(Register!$A$6:$A$305,ROW()-5),"")="",0,SUMIF($A$139:$A$288,IFERROR(INDEX(Register!$A$6:$A$305,ROW()-5),""),$Z$139:$Z$288))</f>
        <v/>
      </c>
      <c r="BO206" s="31">
        <f>IF(OR(IFERROR(INDEX(Register!$A$6:$A$305,ROW()-5),"")="",SUM($Z$139:$Z$288)=0),0,IF(AND(IFERROR(INDEX(Register!$B$6:$B$305,ROW()-5),"")="Project",IFERROR(INDEX(Register!$D$6:$D$305,ROW()-5),"")="Active",IFERROR(INDEX(Register!$Z$6:$Z$305,ROW()-5),"")=1,$BN206=0),1,0))</f>
        <v/>
      </c>
      <c r="BP206" s="31">
        <f>IF(AND(IFERROR(INDEX(Register!$A$6:$A$305,ROW()-5),"")&lt;&gt;"",IFERROR(INDEX(Register!$D$6:$D$305,ROW()-5),"")="Proposed"),$BN206,0)</f>
        <v/>
      </c>
    </row>
    <row r="207">
      <c r="A207" s="29" t="n"/>
      <c r="B207" s="29" t="n"/>
      <c r="C207" s="53" t="n"/>
      <c r="D207" s="53" t="n"/>
      <c r="E207" s="48" t="n"/>
      <c r="F207" s="31">
        <f>IF($S207=0,"",IF($V207=0,"△ Person not on People",IF($T207=0,"△ Row not on the Register",IF($U207=0,"△ Register row has no Status",IF($AA207=0,"△ From, To or days missing or not valid",IF($U207=3,"△ Row is Completed or Terminated. Clear the line.",IF($X207=1,"△ Booked past the forecast date",IF($U207=2,"○ Pencilled in","○ Clear"))))))))</f>
        <v/>
      </c>
      <c r="S207" s="31">
        <f>IF(COUNTA($A207:$E207)&gt;0,1,0)</f>
        <v/>
      </c>
      <c r="T207" s="31">
        <f>IF($A207="",0,IFERROR(MATCH($A207,Register!$A$6:$A$305,0),0))</f>
        <v/>
      </c>
      <c r="U207" s="31">
        <f>IF($T207=0,0,IF(INDEX(Register!$Q$6:$Q$305,$T207)=1,1,IF(INDEX(Register!$D$6:$D$305,$T207)="Proposed",2,IF(OR(INDEX(Register!$D$6:$D$305,$T207)="Completed",INDEX(Register!$D$6:$D$305,$T207)="Terminated"),3,0))))</f>
        <v/>
      </c>
      <c r="V207" s="31">
        <f>IF($B207="",0,IF(OR($B207="Outside team",COUNTIF($A$63:$A$102,$B207)&gt;0),1,0))</f>
        <v/>
      </c>
      <c r="W207" s="31">
        <f>IF($S207=0,0,1-$Y207)</f>
        <v/>
      </c>
      <c r="X207" s="31">
        <f>IF(OR($Y207=0,$U207&lt;&gt;1,$D$17=""),0,IF(AND(INDEX(Register!$B$6:$B$305,$T207)="Project",N(INDEX(Register!$U$6:$U$305,$T207))&gt;0,$D207&gt;N(INDEX(Register!$U$6:$U$305,$T207))),1,0))</f>
        <v/>
      </c>
      <c r="Y207" s="31">
        <f>IF($S207=0,0,IF(AND($V207=1,$T207&gt;0,$U207&gt;0,$AA207=1),1,0))</f>
        <v/>
      </c>
      <c r="Z207" s="31">
        <f>IF(OR($Y207=0,$D$17=""),0,$E207*MAX(0,(MIN($D207,$P$17)-MAX($C207,$D$17))/7+1))</f>
        <v/>
      </c>
      <c r="AA207" s="31">
        <f>IF($S207=0,0,IF(AND(ISNUMBER($C207),ISNUMBER($D207),ISNUMBER($E207)),IF(AND(WEEKDAY($C207,2)=1,WEEKDAY($D207,2)=1,$D207&gt;=$C207,$E207&gt;=0,$E207&lt;=7),1,0),0))</f>
        <v/>
      </c>
      <c r="BN207" s="31">
        <f>IF(IFERROR(INDEX(Register!$A$6:$A$305,ROW()-5),"")="",0,SUMIF($A$139:$A$288,IFERROR(INDEX(Register!$A$6:$A$305,ROW()-5),""),$Z$139:$Z$288))</f>
        <v/>
      </c>
      <c r="BO207" s="31">
        <f>IF(OR(IFERROR(INDEX(Register!$A$6:$A$305,ROW()-5),"")="",SUM($Z$139:$Z$288)=0),0,IF(AND(IFERROR(INDEX(Register!$B$6:$B$305,ROW()-5),"")="Project",IFERROR(INDEX(Register!$D$6:$D$305,ROW()-5),"")="Active",IFERROR(INDEX(Register!$Z$6:$Z$305,ROW()-5),"")=1,$BN207=0),1,0))</f>
        <v/>
      </c>
      <c r="BP207" s="31">
        <f>IF(AND(IFERROR(INDEX(Register!$A$6:$A$305,ROW()-5),"")&lt;&gt;"",IFERROR(INDEX(Register!$D$6:$D$305,ROW()-5),"")="Proposed"),$BN207,0)</f>
        <v/>
      </c>
    </row>
    <row r="208">
      <c r="A208" s="29" t="n"/>
      <c r="B208" s="29" t="n"/>
      <c r="C208" s="53" t="n"/>
      <c r="D208" s="53" t="n"/>
      <c r="E208" s="48" t="n"/>
      <c r="F208" s="31">
        <f>IF($S208=0,"",IF($V208=0,"△ Person not on People",IF($T208=0,"△ Row not on the Register",IF($U208=0,"△ Register row has no Status",IF($AA208=0,"△ From, To or days missing or not valid",IF($U208=3,"△ Row is Completed or Terminated. Clear the line.",IF($X208=1,"△ Booked past the forecast date",IF($U208=2,"○ Pencilled in","○ Clear"))))))))</f>
        <v/>
      </c>
      <c r="S208" s="31">
        <f>IF(COUNTA($A208:$E208)&gt;0,1,0)</f>
        <v/>
      </c>
      <c r="T208" s="31">
        <f>IF($A208="",0,IFERROR(MATCH($A208,Register!$A$6:$A$305,0),0))</f>
        <v/>
      </c>
      <c r="U208" s="31">
        <f>IF($T208=0,0,IF(INDEX(Register!$Q$6:$Q$305,$T208)=1,1,IF(INDEX(Register!$D$6:$D$305,$T208)="Proposed",2,IF(OR(INDEX(Register!$D$6:$D$305,$T208)="Completed",INDEX(Register!$D$6:$D$305,$T208)="Terminated"),3,0))))</f>
        <v/>
      </c>
      <c r="V208" s="31">
        <f>IF($B208="",0,IF(OR($B208="Outside team",COUNTIF($A$63:$A$102,$B208)&gt;0),1,0))</f>
        <v/>
      </c>
      <c r="W208" s="31">
        <f>IF($S208=0,0,1-$Y208)</f>
        <v/>
      </c>
      <c r="X208" s="31">
        <f>IF(OR($Y208=0,$U208&lt;&gt;1,$D$17=""),0,IF(AND(INDEX(Register!$B$6:$B$305,$T208)="Project",N(INDEX(Register!$U$6:$U$305,$T208))&gt;0,$D208&gt;N(INDEX(Register!$U$6:$U$305,$T208))),1,0))</f>
        <v/>
      </c>
      <c r="Y208" s="31">
        <f>IF($S208=0,0,IF(AND($V208=1,$T208&gt;0,$U208&gt;0,$AA208=1),1,0))</f>
        <v/>
      </c>
      <c r="Z208" s="31">
        <f>IF(OR($Y208=0,$D$17=""),0,$E208*MAX(0,(MIN($D208,$P$17)-MAX($C208,$D$17))/7+1))</f>
        <v/>
      </c>
      <c r="AA208" s="31">
        <f>IF($S208=0,0,IF(AND(ISNUMBER($C208),ISNUMBER($D208),ISNUMBER($E208)),IF(AND(WEEKDAY($C208,2)=1,WEEKDAY($D208,2)=1,$D208&gt;=$C208,$E208&gt;=0,$E208&lt;=7),1,0),0))</f>
        <v/>
      </c>
      <c r="BN208" s="31">
        <f>IF(IFERROR(INDEX(Register!$A$6:$A$305,ROW()-5),"")="",0,SUMIF($A$139:$A$288,IFERROR(INDEX(Register!$A$6:$A$305,ROW()-5),""),$Z$139:$Z$288))</f>
        <v/>
      </c>
      <c r="BO208" s="31">
        <f>IF(OR(IFERROR(INDEX(Register!$A$6:$A$305,ROW()-5),"")="",SUM($Z$139:$Z$288)=0),0,IF(AND(IFERROR(INDEX(Register!$B$6:$B$305,ROW()-5),"")="Project",IFERROR(INDEX(Register!$D$6:$D$305,ROW()-5),"")="Active",IFERROR(INDEX(Register!$Z$6:$Z$305,ROW()-5),"")=1,$BN208=0),1,0))</f>
        <v/>
      </c>
      <c r="BP208" s="31">
        <f>IF(AND(IFERROR(INDEX(Register!$A$6:$A$305,ROW()-5),"")&lt;&gt;"",IFERROR(INDEX(Register!$D$6:$D$305,ROW()-5),"")="Proposed"),$BN208,0)</f>
        <v/>
      </c>
    </row>
    <row r="209">
      <c r="A209" s="29" t="n"/>
      <c r="B209" s="29" t="n"/>
      <c r="C209" s="53" t="n"/>
      <c r="D209" s="53" t="n"/>
      <c r="E209" s="48" t="n"/>
      <c r="F209" s="31">
        <f>IF($S209=0,"",IF($V209=0,"△ Person not on People",IF($T209=0,"△ Row not on the Register",IF($U209=0,"△ Register row has no Status",IF($AA209=0,"△ From, To or days missing or not valid",IF($U209=3,"△ Row is Completed or Terminated. Clear the line.",IF($X209=1,"△ Booked past the forecast date",IF($U209=2,"○ Pencilled in","○ Clear"))))))))</f>
        <v/>
      </c>
      <c r="S209" s="31">
        <f>IF(COUNTA($A209:$E209)&gt;0,1,0)</f>
        <v/>
      </c>
      <c r="T209" s="31">
        <f>IF($A209="",0,IFERROR(MATCH($A209,Register!$A$6:$A$305,0),0))</f>
        <v/>
      </c>
      <c r="U209" s="31">
        <f>IF($T209=0,0,IF(INDEX(Register!$Q$6:$Q$305,$T209)=1,1,IF(INDEX(Register!$D$6:$D$305,$T209)="Proposed",2,IF(OR(INDEX(Register!$D$6:$D$305,$T209)="Completed",INDEX(Register!$D$6:$D$305,$T209)="Terminated"),3,0))))</f>
        <v/>
      </c>
      <c r="V209" s="31">
        <f>IF($B209="",0,IF(OR($B209="Outside team",COUNTIF($A$63:$A$102,$B209)&gt;0),1,0))</f>
        <v/>
      </c>
      <c r="W209" s="31">
        <f>IF($S209=0,0,1-$Y209)</f>
        <v/>
      </c>
      <c r="X209" s="31">
        <f>IF(OR($Y209=0,$U209&lt;&gt;1,$D$17=""),0,IF(AND(INDEX(Register!$B$6:$B$305,$T209)="Project",N(INDEX(Register!$U$6:$U$305,$T209))&gt;0,$D209&gt;N(INDEX(Register!$U$6:$U$305,$T209))),1,0))</f>
        <v/>
      </c>
      <c r="Y209" s="31">
        <f>IF($S209=0,0,IF(AND($V209=1,$T209&gt;0,$U209&gt;0,$AA209=1),1,0))</f>
        <v/>
      </c>
      <c r="Z209" s="31">
        <f>IF(OR($Y209=0,$D$17=""),0,$E209*MAX(0,(MIN($D209,$P$17)-MAX($C209,$D$17))/7+1))</f>
        <v/>
      </c>
      <c r="AA209" s="31">
        <f>IF($S209=0,0,IF(AND(ISNUMBER($C209),ISNUMBER($D209),ISNUMBER($E209)),IF(AND(WEEKDAY($C209,2)=1,WEEKDAY($D209,2)=1,$D209&gt;=$C209,$E209&gt;=0,$E209&lt;=7),1,0),0))</f>
        <v/>
      </c>
      <c r="BN209" s="31">
        <f>IF(IFERROR(INDEX(Register!$A$6:$A$305,ROW()-5),"")="",0,SUMIF($A$139:$A$288,IFERROR(INDEX(Register!$A$6:$A$305,ROW()-5),""),$Z$139:$Z$288))</f>
        <v/>
      </c>
      <c r="BO209" s="31">
        <f>IF(OR(IFERROR(INDEX(Register!$A$6:$A$305,ROW()-5),"")="",SUM($Z$139:$Z$288)=0),0,IF(AND(IFERROR(INDEX(Register!$B$6:$B$305,ROW()-5),"")="Project",IFERROR(INDEX(Register!$D$6:$D$305,ROW()-5),"")="Active",IFERROR(INDEX(Register!$Z$6:$Z$305,ROW()-5),"")=1,$BN209=0),1,0))</f>
        <v/>
      </c>
      <c r="BP209" s="31">
        <f>IF(AND(IFERROR(INDEX(Register!$A$6:$A$305,ROW()-5),"")&lt;&gt;"",IFERROR(INDEX(Register!$D$6:$D$305,ROW()-5),"")="Proposed"),$BN209,0)</f>
        <v/>
      </c>
    </row>
    <row r="210">
      <c r="A210" s="29" t="n"/>
      <c r="B210" s="29" t="n"/>
      <c r="C210" s="53" t="n"/>
      <c r="D210" s="53" t="n"/>
      <c r="E210" s="48" t="n"/>
      <c r="F210" s="31">
        <f>IF($S210=0,"",IF($V210=0,"△ Person not on People",IF($T210=0,"△ Row not on the Register",IF($U210=0,"△ Register row has no Status",IF($AA210=0,"△ From, To or days missing or not valid",IF($U210=3,"△ Row is Completed or Terminated. Clear the line.",IF($X210=1,"△ Booked past the forecast date",IF($U210=2,"○ Pencilled in","○ Clear"))))))))</f>
        <v/>
      </c>
      <c r="S210" s="31">
        <f>IF(COUNTA($A210:$E210)&gt;0,1,0)</f>
        <v/>
      </c>
      <c r="T210" s="31">
        <f>IF($A210="",0,IFERROR(MATCH($A210,Register!$A$6:$A$305,0),0))</f>
        <v/>
      </c>
      <c r="U210" s="31">
        <f>IF($T210=0,0,IF(INDEX(Register!$Q$6:$Q$305,$T210)=1,1,IF(INDEX(Register!$D$6:$D$305,$T210)="Proposed",2,IF(OR(INDEX(Register!$D$6:$D$305,$T210)="Completed",INDEX(Register!$D$6:$D$305,$T210)="Terminated"),3,0))))</f>
        <v/>
      </c>
      <c r="V210" s="31">
        <f>IF($B210="",0,IF(OR($B210="Outside team",COUNTIF($A$63:$A$102,$B210)&gt;0),1,0))</f>
        <v/>
      </c>
      <c r="W210" s="31">
        <f>IF($S210=0,0,1-$Y210)</f>
        <v/>
      </c>
      <c r="X210" s="31">
        <f>IF(OR($Y210=0,$U210&lt;&gt;1,$D$17=""),0,IF(AND(INDEX(Register!$B$6:$B$305,$T210)="Project",N(INDEX(Register!$U$6:$U$305,$T210))&gt;0,$D210&gt;N(INDEX(Register!$U$6:$U$305,$T210))),1,0))</f>
        <v/>
      </c>
      <c r="Y210" s="31">
        <f>IF($S210=0,0,IF(AND($V210=1,$T210&gt;0,$U210&gt;0,$AA210=1),1,0))</f>
        <v/>
      </c>
      <c r="Z210" s="31">
        <f>IF(OR($Y210=0,$D$17=""),0,$E210*MAX(0,(MIN($D210,$P$17)-MAX($C210,$D$17))/7+1))</f>
        <v/>
      </c>
      <c r="AA210" s="31">
        <f>IF($S210=0,0,IF(AND(ISNUMBER($C210),ISNUMBER($D210),ISNUMBER($E210)),IF(AND(WEEKDAY($C210,2)=1,WEEKDAY($D210,2)=1,$D210&gt;=$C210,$E210&gt;=0,$E210&lt;=7),1,0),0))</f>
        <v/>
      </c>
      <c r="BN210" s="31">
        <f>IF(IFERROR(INDEX(Register!$A$6:$A$305,ROW()-5),"")="",0,SUMIF($A$139:$A$288,IFERROR(INDEX(Register!$A$6:$A$305,ROW()-5),""),$Z$139:$Z$288))</f>
        <v/>
      </c>
      <c r="BO210" s="31">
        <f>IF(OR(IFERROR(INDEX(Register!$A$6:$A$305,ROW()-5),"")="",SUM($Z$139:$Z$288)=0),0,IF(AND(IFERROR(INDEX(Register!$B$6:$B$305,ROW()-5),"")="Project",IFERROR(INDEX(Register!$D$6:$D$305,ROW()-5),"")="Active",IFERROR(INDEX(Register!$Z$6:$Z$305,ROW()-5),"")=1,$BN210=0),1,0))</f>
        <v/>
      </c>
      <c r="BP210" s="31">
        <f>IF(AND(IFERROR(INDEX(Register!$A$6:$A$305,ROW()-5),"")&lt;&gt;"",IFERROR(INDEX(Register!$D$6:$D$305,ROW()-5),"")="Proposed"),$BN210,0)</f>
        <v/>
      </c>
    </row>
    <row r="211">
      <c r="A211" s="29" t="n"/>
      <c r="B211" s="29" t="n"/>
      <c r="C211" s="53" t="n"/>
      <c r="D211" s="53" t="n"/>
      <c r="E211" s="48" t="n"/>
      <c r="F211" s="31">
        <f>IF($S211=0,"",IF($V211=0,"△ Person not on People",IF($T211=0,"△ Row not on the Register",IF($U211=0,"△ Register row has no Status",IF($AA211=0,"△ From, To or days missing or not valid",IF($U211=3,"△ Row is Completed or Terminated. Clear the line.",IF($X211=1,"△ Booked past the forecast date",IF($U211=2,"○ Pencilled in","○ Clear"))))))))</f>
        <v/>
      </c>
      <c r="S211" s="31">
        <f>IF(COUNTA($A211:$E211)&gt;0,1,0)</f>
        <v/>
      </c>
      <c r="T211" s="31">
        <f>IF($A211="",0,IFERROR(MATCH($A211,Register!$A$6:$A$305,0),0))</f>
        <v/>
      </c>
      <c r="U211" s="31">
        <f>IF($T211=0,0,IF(INDEX(Register!$Q$6:$Q$305,$T211)=1,1,IF(INDEX(Register!$D$6:$D$305,$T211)="Proposed",2,IF(OR(INDEX(Register!$D$6:$D$305,$T211)="Completed",INDEX(Register!$D$6:$D$305,$T211)="Terminated"),3,0))))</f>
        <v/>
      </c>
      <c r="V211" s="31">
        <f>IF($B211="",0,IF(OR($B211="Outside team",COUNTIF($A$63:$A$102,$B211)&gt;0),1,0))</f>
        <v/>
      </c>
      <c r="W211" s="31">
        <f>IF($S211=0,0,1-$Y211)</f>
        <v/>
      </c>
      <c r="X211" s="31">
        <f>IF(OR($Y211=0,$U211&lt;&gt;1,$D$17=""),0,IF(AND(INDEX(Register!$B$6:$B$305,$T211)="Project",N(INDEX(Register!$U$6:$U$305,$T211))&gt;0,$D211&gt;N(INDEX(Register!$U$6:$U$305,$T211))),1,0))</f>
        <v/>
      </c>
      <c r="Y211" s="31">
        <f>IF($S211=0,0,IF(AND($V211=1,$T211&gt;0,$U211&gt;0,$AA211=1),1,0))</f>
        <v/>
      </c>
      <c r="Z211" s="31">
        <f>IF(OR($Y211=0,$D$17=""),0,$E211*MAX(0,(MIN($D211,$P$17)-MAX($C211,$D$17))/7+1))</f>
        <v/>
      </c>
      <c r="AA211" s="31">
        <f>IF($S211=0,0,IF(AND(ISNUMBER($C211),ISNUMBER($D211),ISNUMBER($E211)),IF(AND(WEEKDAY($C211,2)=1,WEEKDAY($D211,2)=1,$D211&gt;=$C211,$E211&gt;=0,$E211&lt;=7),1,0),0))</f>
        <v/>
      </c>
      <c r="BN211" s="31">
        <f>IF(IFERROR(INDEX(Register!$A$6:$A$305,ROW()-5),"")="",0,SUMIF($A$139:$A$288,IFERROR(INDEX(Register!$A$6:$A$305,ROW()-5),""),$Z$139:$Z$288))</f>
        <v/>
      </c>
      <c r="BO211" s="31">
        <f>IF(OR(IFERROR(INDEX(Register!$A$6:$A$305,ROW()-5),"")="",SUM($Z$139:$Z$288)=0),0,IF(AND(IFERROR(INDEX(Register!$B$6:$B$305,ROW()-5),"")="Project",IFERROR(INDEX(Register!$D$6:$D$305,ROW()-5),"")="Active",IFERROR(INDEX(Register!$Z$6:$Z$305,ROW()-5),"")=1,$BN211=0),1,0))</f>
        <v/>
      </c>
      <c r="BP211" s="31">
        <f>IF(AND(IFERROR(INDEX(Register!$A$6:$A$305,ROW()-5),"")&lt;&gt;"",IFERROR(INDEX(Register!$D$6:$D$305,ROW()-5),"")="Proposed"),$BN211,0)</f>
        <v/>
      </c>
    </row>
    <row r="212">
      <c r="A212" s="29" t="n"/>
      <c r="B212" s="29" t="n"/>
      <c r="C212" s="53" t="n"/>
      <c r="D212" s="53" t="n"/>
      <c r="E212" s="48" t="n"/>
      <c r="F212" s="31">
        <f>IF($S212=0,"",IF($V212=0,"△ Person not on People",IF($T212=0,"△ Row not on the Register",IF($U212=0,"△ Register row has no Status",IF($AA212=0,"△ From, To or days missing or not valid",IF($U212=3,"△ Row is Completed or Terminated. Clear the line.",IF($X212=1,"△ Booked past the forecast date",IF($U212=2,"○ Pencilled in","○ Clear"))))))))</f>
        <v/>
      </c>
      <c r="S212" s="31">
        <f>IF(COUNTA($A212:$E212)&gt;0,1,0)</f>
        <v/>
      </c>
      <c r="T212" s="31">
        <f>IF($A212="",0,IFERROR(MATCH($A212,Register!$A$6:$A$305,0),0))</f>
        <v/>
      </c>
      <c r="U212" s="31">
        <f>IF($T212=0,0,IF(INDEX(Register!$Q$6:$Q$305,$T212)=1,1,IF(INDEX(Register!$D$6:$D$305,$T212)="Proposed",2,IF(OR(INDEX(Register!$D$6:$D$305,$T212)="Completed",INDEX(Register!$D$6:$D$305,$T212)="Terminated"),3,0))))</f>
        <v/>
      </c>
      <c r="V212" s="31">
        <f>IF($B212="",0,IF(OR($B212="Outside team",COUNTIF($A$63:$A$102,$B212)&gt;0),1,0))</f>
        <v/>
      </c>
      <c r="W212" s="31">
        <f>IF($S212=0,0,1-$Y212)</f>
        <v/>
      </c>
      <c r="X212" s="31">
        <f>IF(OR($Y212=0,$U212&lt;&gt;1,$D$17=""),0,IF(AND(INDEX(Register!$B$6:$B$305,$T212)="Project",N(INDEX(Register!$U$6:$U$305,$T212))&gt;0,$D212&gt;N(INDEX(Register!$U$6:$U$305,$T212))),1,0))</f>
        <v/>
      </c>
      <c r="Y212" s="31">
        <f>IF($S212=0,0,IF(AND($V212=1,$T212&gt;0,$U212&gt;0,$AA212=1),1,0))</f>
        <v/>
      </c>
      <c r="Z212" s="31">
        <f>IF(OR($Y212=0,$D$17=""),0,$E212*MAX(0,(MIN($D212,$P$17)-MAX($C212,$D$17))/7+1))</f>
        <v/>
      </c>
      <c r="AA212" s="31">
        <f>IF($S212=0,0,IF(AND(ISNUMBER($C212),ISNUMBER($D212),ISNUMBER($E212)),IF(AND(WEEKDAY($C212,2)=1,WEEKDAY($D212,2)=1,$D212&gt;=$C212,$E212&gt;=0,$E212&lt;=7),1,0),0))</f>
        <v/>
      </c>
      <c r="BN212" s="31">
        <f>IF(IFERROR(INDEX(Register!$A$6:$A$305,ROW()-5),"")="",0,SUMIF($A$139:$A$288,IFERROR(INDEX(Register!$A$6:$A$305,ROW()-5),""),$Z$139:$Z$288))</f>
        <v/>
      </c>
      <c r="BO212" s="31">
        <f>IF(OR(IFERROR(INDEX(Register!$A$6:$A$305,ROW()-5),"")="",SUM($Z$139:$Z$288)=0),0,IF(AND(IFERROR(INDEX(Register!$B$6:$B$305,ROW()-5),"")="Project",IFERROR(INDEX(Register!$D$6:$D$305,ROW()-5),"")="Active",IFERROR(INDEX(Register!$Z$6:$Z$305,ROW()-5),"")=1,$BN212=0),1,0))</f>
        <v/>
      </c>
      <c r="BP212" s="31">
        <f>IF(AND(IFERROR(INDEX(Register!$A$6:$A$305,ROW()-5),"")&lt;&gt;"",IFERROR(INDEX(Register!$D$6:$D$305,ROW()-5),"")="Proposed"),$BN212,0)</f>
        <v/>
      </c>
    </row>
    <row r="213">
      <c r="A213" s="29" t="n"/>
      <c r="B213" s="29" t="n"/>
      <c r="C213" s="53" t="n"/>
      <c r="D213" s="53" t="n"/>
      <c r="E213" s="48" t="n"/>
      <c r="F213" s="31">
        <f>IF($S213=0,"",IF($V213=0,"△ Person not on People",IF($T213=0,"△ Row not on the Register",IF($U213=0,"△ Register row has no Status",IF($AA213=0,"△ From, To or days missing or not valid",IF($U213=3,"△ Row is Completed or Terminated. Clear the line.",IF($X213=1,"△ Booked past the forecast date",IF($U213=2,"○ Pencilled in","○ Clear"))))))))</f>
        <v/>
      </c>
      <c r="S213" s="31">
        <f>IF(COUNTA($A213:$E213)&gt;0,1,0)</f>
        <v/>
      </c>
      <c r="T213" s="31">
        <f>IF($A213="",0,IFERROR(MATCH($A213,Register!$A$6:$A$305,0),0))</f>
        <v/>
      </c>
      <c r="U213" s="31">
        <f>IF($T213=0,0,IF(INDEX(Register!$Q$6:$Q$305,$T213)=1,1,IF(INDEX(Register!$D$6:$D$305,$T213)="Proposed",2,IF(OR(INDEX(Register!$D$6:$D$305,$T213)="Completed",INDEX(Register!$D$6:$D$305,$T213)="Terminated"),3,0))))</f>
        <v/>
      </c>
      <c r="V213" s="31">
        <f>IF($B213="",0,IF(OR($B213="Outside team",COUNTIF($A$63:$A$102,$B213)&gt;0),1,0))</f>
        <v/>
      </c>
      <c r="W213" s="31">
        <f>IF($S213=0,0,1-$Y213)</f>
        <v/>
      </c>
      <c r="X213" s="31">
        <f>IF(OR($Y213=0,$U213&lt;&gt;1,$D$17=""),0,IF(AND(INDEX(Register!$B$6:$B$305,$T213)="Project",N(INDEX(Register!$U$6:$U$305,$T213))&gt;0,$D213&gt;N(INDEX(Register!$U$6:$U$305,$T213))),1,0))</f>
        <v/>
      </c>
      <c r="Y213" s="31">
        <f>IF($S213=0,0,IF(AND($V213=1,$T213&gt;0,$U213&gt;0,$AA213=1),1,0))</f>
        <v/>
      </c>
      <c r="Z213" s="31">
        <f>IF(OR($Y213=0,$D$17=""),0,$E213*MAX(0,(MIN($D213,$P$17)-MAX($C213,$D$17))/7+1))</f>
        <v/>
      </c>
      <c r="AA213" s="31">
        <f>IF($S213=0,0,IF(AND(ISNUMBER($C213),ISNUMBER($D213),ISNUMBER($E213)),IF(AND(WEEKDAY($C213,2)=1,WEEKDAY($D213,2)=1,$D213&gt;=$C213,$E213&gt;=0,$E213&lt;=7),1,0),0))</f>
        <v/>
      </c>
      <c r="BN213" s="31">
        <f>IF(IFERROR(INDEX(Register!$A$6:$A$305,ROW()-5),"")="",0,SUMIF($A$139:$A$288,IFERROR(INDEX(Register!$A$6:$A$305,ROW()-5),""),$Z$139:$Z$288))</f>
        <v/>
      </c>
      <c r="BO213" s="31">
        <f>IF(OR(IFERROR(INDEX(Register!$A$6:$A$305,ROW()-5),"")="",SUM($Z$139:$Z$288)=0),0,IF(AND(IFERROR(INDEX(Register!$B$6:$B$305,ROW()-5),"")="Project",IFERROR(INDEX(Register!$D$6:$D$305,ROW()-5),"")="Active",IFERROR(INDEX(Register!$Z$6:$Z$305,ROW()-5),"")=1,$BN213=0),1,0))</f>
        <v/>
      </c>
      <c r="BP213" s="31">
        <f>IF(AND(IFERROR(INDEX(Register!$A$6:$A$305,ROW()-5),"")&lt;&gt;"",IFERROR(INDEX(Register!$D$6:$D$305,ROW()-5),"")="Proposed"),$BN213,0)</f>
        <v/>
      </c>
    </row>
    <row r="214">
      <c r="A214" s="29" t="n"/>
      <c r="B214" s="29" t="n"/>
      <c r="C214" s="53" t="n"/>
      <c r="D214" s="53" t="n"/>
      <c r="E214" s="48" t="n"/>
      <c r="F214" s="31">
        <f>IF($S214=0,"",IF($V214=0,"△ Person not on People",IF($T214=0,"△ Row not on the Register",IF($U214=0,"△ Register row has no Status",IF($AA214=0,"△ From, To or days missing or not valid",IF($U214=3,"△ Row is Completed or Terminated. Clear the line.",IF($X214=1,"△ Booked past the forecast date",IF($U214=2,"○ Pencilled in","○ Clear"))))))))</f>
        <v/>
      </c>
      <c r="S214" s="31">
        <f>IF(COUNTA($A214:$E214)&gt;0,1,0)</f>
        <v/>
      </c>
      <c r="T214" s="31">
        <f>IF($A214="",0,IFERROR(MATCH($A214,Register!$A$6:$A$305,0),0))</f>
        <v/>
      </c>
      <c r="U214" s="31">
        <f>IF($T214=0,0,IF(INDEX(Register!$Q$6:$Q$305,$T214)=1,1,IF(INDEX(Register!$D$6:$D$305,$T214)="Proposed",2,IF(OR(INDEX(Register!$D$6:$D$305,$T214)="Completed",INDEX(Register!$D$6:$D$305,$T214)="Terminated"),3,0))))</f>
        <v/>
      </c>
      <c r="V214" s="31">
        <f>IF($B214="",0,IF(OR($B214="Outside team",COUNTIF($A$63:$A$102,$B214)&gt;0),1,0))</f>
        <v/>
      </c>
      <c r="W214" s="31">
        <f>IF($S214=0,0,1-$Y214)</f>
        <v/>
      </c>
      <c r="X214" s="31">
        <f>IF(OR($Y214=0,$U214&lt;&gt;1,$D$17=""),0,IF(AND(INDEX(Register!$B$6:$B$305,$T214)="Project",N(INDEX(Register!$U$6:$U$305,$T214))&gt;0,$D214&gt;N(INDEX(Register!$U$6:$U$305,$T214))),1,0))</f>
        <v/>
      </c>
      <c r="Y214" s="31">
        <f>IF($S214=0,0,IF(AND($V214=1,$T214&gt;0,$U214&gt;0,$AA214=1),1,0))</f>
        <v/>
      </c>
      <c r="Z214" s="31">
        <f>IF(OR($Y214=0,$D$17=""),0,$E214*MAX(0,(MIN($D214,$P$17)-MAX($C214,$D$17))/7+1))</f>
        <v/>
      </c>
      <c r="AA214" s="31">
        <f>IF($S214=0,0,IF(AND(ISNUMBER($C214),ISNUMBER($D214),ISNUMBER($E214)),IF(AND(WEEKDAY($C214,2)=1,WEEKDAY($D214,2)=1,$D214&gt;=$C214,$E214&gt;=0,$E214&lt;=7),1,0),0))</f>
        <v/>
      </c>
      <c r="BN214" s="31">
        <f>IF(IFERROR(INDEX(Register!$A$6:$A$305,ROW()-5),"")="",0,SUMIF($A$139:$A$288,IFERROR(INDEX(Register!$A$6:$A$305,ROW()-5),""),$Z$139:$Z$288))</f>
        <v/>
      </c>
      <c r="BO214" s="31">
        <f>IF(OR(IFERROR(INDEX(Register!$A$6:$A$305,ROW()-5),"")="",SUM($Z$139:$Z$288)=0),0,IF(AND(IFERROR(INDEX(Register!$B$6:$B$305,ROW()-5),"")="Project",IFERROR(INDEX(Register!$D$6:$D$305,ROW()-5),"")="Active",IFERROR(INDEX(Register!$Z$6:$Z$305,ROW()-5),"")=1,$BN214=0),1,0))</f>
        <v/>
      </c>
      <c r="BP214" s="31">
        <f>IF(AND(IFERROR(INDEX(Register!$A$6:$A$305,ROW()-5),"")&lt;&gt;"",IFERROR(INDEX(Register!$D$6:$D$305,ROW()-5),"")="Proposed"),$BN214,0)</f>
        <v/>
      </c>
    </row>
    <row r="215">
      <c r="A215" s="29" t="n"/>
      <c r="B215" s="29" t="n"/>
      <c r="C215" s="53" t="n"/>
      <c r="D215" s="53" t="n"/>
      <c r="E215" s="48" t="n"/>
      <c r="F215" s="31">
        <f>IF($S215=0,"",IF($V215=0,"△ Person not on People",IF($T215=0,"△ Row not on the Register",IF($U215=0,"△ Register row has no Status",IF($AA215=0,"△ From, To or days missing or not valid",IF($U215=3,"△ Row is Completed or Terminated. Clear the line.",IF($X215=1,"△ Booked past the forecast date",IF($U215=2,"○ Pencilled in","○ Clear"))))))))</f>
        <v/>
      </c>
      <c r="S215" s="31">
        <f>IF(COUNTA($A215:$E215)&gt;0,1,0)</f>
        <v/>
      </c>
      <c r="T215" s="31">
        <f>IF($A215="",0,IFERROR(MATCH($A215,Register!$A$6:$A$305,0),0))</f>
        <v/>
      </c>
      <c r="U215" s="31">
        <f>IF($T215=0,0,IF(INDEX(Register!$Q$6:$Q$305,$T215)=1,1,IF(INDEX(Register!$D$6:$D$305,$T215)="Proposed",2,IF(OR(INDEX(Register!$D$6:$D$305,$T215)="Completed",INDEX(Register!$D$6:$D$305,$T215)="Terminated"),3,0))))</f>
        <v/>
      </c>
      <c r="V215" s="31">
        <f>IF($B215="",0,IF(OR($B215="Outside team",COUNTIF($A$63:$A$102,$B215)&gt;0),1,0))</f>
        <v/>
      </c>
      <c r="W215" s="31">
        <f>IF($S215=0,0,1-$Y215)</f>
        <v/>
      </c>
      <c r="X215" s="31">
        <f>IF(OR($Y215=0,$U215&lt;&gt;1,$D$17=""),0,IF(AND(INDEX(Register!$B$6:$B$305,$T215)="Project",N(INDEX(Register!$U$6:$U$305,$T215))&gt;0,$D215&gt;N(INDEX(Register!$U$6:$U$305,$T215))),1,0))</f>
        <v/>
      </c>
      <c r="Y215" s="31">
        <f>IF($S215=0,0,IF(AND($V215=1,$T215&gt;0,$U215&gt;0,$AA215=1),1,0))</f>
        <v/>
      </c>
      <c r="Z215" s="31">
        <f>IF(OR($Y215=0,$D$17=""),0,$E215*MAX(0,(MIN($D215,$P$17)-MAX($C215,$D$17))/7+1))</f>
        <v/>
      </c>
      <c r="AA215" s="31">
        <f>IF($S215=0,0,IF(AND(ISNUMBER($C215),ISNUMBER($D215),ISNUMBER($E215)),IF(AND(WEEKDAY($C215,2)=1,WEEKDAY($D215,2)=1,$D215&gt;=$C215,$E215&gt;=0,$E215&lt;=7),1,0),0))</f>
        <v/>
      </c>
      <c r="BN215" s="31">
        <f>IF(IFERROR(INDEX(Register!$A$6:$A$305,ROW()-5),"")="",0,SUMIF($A$139:$A$288,IFERROR(INDEX(Register!$A$6:$A$305,ROW()-5),""),$Z$139:$Z$288))</f>
        <v/>
      </c>
      <c r="BO215" s="31">
        <f>IF(OR(IFERROR(INDEX(Register!$A$6:$A$305,ROW()-5),"")="",SUM($Z$139:$Z$288)=0),0,IF(AND(IFERROR(INDEX(Register!$B$6:$B$305,ROW()-5),"")="Project",IFERROR(INDEX(Register!$D$6:$D$305,ROW()-5),"")="Active",IFERROR(INDEX(Register!$Z$6:$Z$305,ROW()-5),"")=1,$BN215=0),1,0))</f>
        <v/>
      </c>
      <c r="BP215" s="31">
        <f>IF(AND(IFERROR(INDEX(Register!$A$6:$A$305,ROW()-5),"")&lt;&gt;"",IFERROR(INDEX(Register!$D$6:$D$305,ROW()-5),"")="Proposed"),$BN215,0)</f>
        <v/>
      </c>
    </row>
    <row r="216">
      <c r="A216" s="29" t="n"/>
      <c r="B216" s="29" t="n"/>
      <c r="C216" s="53" t="n"/>
      <c r="D216" s="53" t="n"/>
      <c r="E216" s="48" t="n"/>
      <c r="F216" s="31">
        <f>IF($S216=0,"",IF($V216=0,"△ Person not on People",IF($T216=0,"△ Row not on the Register",IF($U216=0,"△ Register row has no Status",IF($AA216=0,"△ From, To or days missing or not valid",IF($U216=3,"△ Row is Completed or Terminated. Clear the line.",IF($X216=1,"△ Booked past the forecast date",IF($U216=2,"○ Pencilled in","○ Clear"))))))))</f>
        <v/>
      </c>
      <c r="S216" s="31">
        <f>IF(COUNTA($A216:$E216)&gt;0,1,0)</f>
        <v/>
      </c>
      <c r="T216" s="31">
        <f>IF($A216="",0,IFERROR(MATCH($A216,Register!$A$6:$A$305,0),0))</f>
        <v/>
      </c>
      <c r="U216" s="31">
        <f>IF($T216=0,0,IF(INDEX(Register!$Q$6:$Q$305,$T216)=1,1,IF(INDEX(Register!$D$6:$D$305,$T216)="Proposed",2,IF(OR(INDEX(Register!$D$6:$D$305,$T216)="Completed",INDEX(Register!$D$6:$D$305,$T216)="Terminated"),3,0))))</f>
        <v/>
      </c>
      <c r="V216" s="31">
        <f>IF($B216="",0,IF(OR($B216="Outside team",COUNTIF($A$63:$A$102,$B216)&gt;0),1,0))</f>
        <v/>
      </c>
      <c r="W216" s="31">
        <f>IF($S216=0,0,1-$Y216)</f>
        <v/>
      </c>
      <c r="X216" s="31">
        <f>IF(OR($Y216=0,$U216&lt;&gt;1,$D$17=""),0,IF(AND(INDEX(Register!$B$6:$B$305,$T216)="Project",N(INDEX(Register!$U$6:$U$305,$T216))&gt;0,$D216&gt;N(INDEX(Register!$U$6:$U$305,$T216))),1,0))</f>
        <v/>
      </c>
      <c r="Y216" s="31">
        <f>IF($S216=0,0,IF(AND($V216=1,$T216&gt;0,$U216&gt;0,$AA216=1),1,0))</f>
        <v/>
      </c>
      <c r="Z216" s="31">
        <f>IF(OR($Y216=0,$D$17=""),0,$E216*MAX(0,(MIN($D216,$P$17)-MAX($C216,$D$17))/7+1))</f>
        <v/>
      </c>
      <c r="AA216" s="31">
        <f>IF($S216=0,0,IF(AND(ISNUMBER($C216),ISNUMBER($D216),ISNUMBER($E216)),IF(AND(WEEKDAY($C216,2)=1,WEEKDAY($D216,2)=1,$D216&gt;=$C216,$E216&gt;=0,$E216&lt;=7),1,0),0))</f>
        <v/>
      </c>
      <c r="BN216" s="31">
        <f>IF(IFERROR(INDEX(Register!$A$6:$A$305,ROW()-5),"")="",0,SUMIF($A$139:$A$288,IFERROR(INDEX(Register!$A$6:$A$305,ROW()-5),""),$Z$139:$Z$288))</f>
        <v/>
      </c>
      <c r="BO216" s="31">
        <f>IF(OR(IFERROR(INDEX(Register!$A$6:$A$305,ROW()-5),"")="",SUM($Z$139:$Z$288)=0),0,IF(AND(IFERROR(INDEX(Register!$B$6:$B$305,ROW()-5),"")="Project",IFERROR(INDEX(Register!$D$6:$D$305,ROW()-5),"")="Active",IFERROR(INDEX(Register!$Z$6:$Z$305,ROW()-5),"")=1,$BN216=0),1,0))</f>
        <v/>
      </c>
      <c r="BP216" s="31">
        <f>IF(AND(IFERROR(INDEX(Register!$A$6:$A$305,ROW()-5),"")&lt;&gt;"",IFERROR(INDEX(Register!$D$6:$D$305,ROW()-5),"")="Proposed"),$BN216,0)</f>
        <v/>
      </c>
    </row>
    <row r="217">
      <c r="A217" s="29" t="n"/>
      <c r="B217" s="29" t="n"/>
      <c r="C217" s="53" t="n"/>
      <c r="D217" s="53" t="n"/>
      <c r="E217" s="48" t="n"/>
      <c r="F217" s="31">
        <f>IF($S217=0,"",IF($V217=0,"△ Person not on People",IF($T217=0,"△ Row not on the Register",IF($U217=0,"△ Register row has no Status",IF($AA217=0,"△ From, To or days missing or not valid",IF($U217=3,"△ Row is Completed or Terminated. Clear the line.",IF($X217=1,"△ Booked past the forecast date",IF($U217=2,"○ Pencilled in","○ Clear"))))))))</f>
        <v/>
      </c>
      <c r="S217" s="31">
        <f>IF(COUNTA($A217:$E217)&gt;0,1,0)</f>
        <v/>
      </c>
      <c r="T217" s="31">
        <f>IF($A217="",0,IFERROR(MATCH($A217,Register!$A$6:$A$305,0),0))</f>
        <v/>
      </c>
      <c r="U217" s="31">
        <f>IF($T217=0,0,IF(INDEX(Register!$Q$6:$Q$305,$T217)=1,1,IF(INDEX(Register!$D$6:$D$305,$T217)="Proposed",2,IF(OR(INDEX(Register!$D$6:$D$305,$T217)="Completed",INDEX(Register!$D$6:$D$305,$T217)="Terminated"),3,0))))</f>
        <v/>
      </c>
      <c r="V217" s="31">
        <f>IF($B217="",0,IF(OR($B217="Outside team",COUNTIF($A$63:$A$102,$B217)&gt;0),1,0))</f>
        <v/>
      </c>
      <c r="W217" s="31">
        <f>IF($S217=0,0,1-$Y217)</f>
        <v/>
      </c>
      <c r="X217" s="31">
        <f>IF(OR($Y217=0,$U217&lt;&gt;1,$D$17=""),0,IF(AND(INDEX(Register!$B$6:$B$305,$T217)="Project",N(INDEX(Register!$U$6:$U$305,$T217))&gt;0,$D217&gt;N(INDEX(Register!$U$6:$U$305,$T217))),1,0))</f>
        <v/>
      </c>
      <c r="Y217" s="31">
        <f>IF($S217=0,0,IF(AND($V217=1,$T217&gt;0,$U217&gt;0,$AA217=1),1,0))</f>
        <v/>
      </c>
      <c r="Z217" s="31">
        <f>IF(OR($Y217=0,$D$17=""),0,$E217*MAX(0,(MIN($D217,$P$17)-MAX($C217,$D$17))/7+1))</f>
        <v/>
      </c>
      <c r="AA217" s="31">
        <f>IF($S217=0,0,IF(AND(ISNUMBER($C217),ISNUMBER($D217),ISNUMBER($E217)),IF(AND(WEEKDAY($C217,2)=1,WEEKDAY($D217,2)=1,$D217&gt;=$C217,$E217&gt;=0,$E217&lt;=7),1,0),0))</f>
        <v/>
      </c>
      <c r="BN217" s="31">
        <f>IF(IFERROR(INDEX(Register!$A$6:$A$305,ROW()-5),"")="",0,SUMIF($A$139:$A$288,IFERROR(INDEX(Register!$A$6:$A$305,ROW()-5),""),$Z$139:$Z$288))</f>
        <v/>
      </c>
      <c r="BO217" s="31">
        <f>IF(OR(IFERROR(INDEX(Register!$A$6:$A$305,ROW()-5),"")="",SUM($Z$139:$Z$288)=0),0,IF(AND(IFERROR(INDEX(Register!$B$6:$B$305,ROW()-5),"")="Project",IFERROR(INDEX(Register!$D$6:$D$305,ROW()-5),"")="Active",IFERROR(INDEX(Register!$Z$6:$Z$305,ROW()-5),"")=1,$BN217=0),1,0))</f>
        <v/>
      </c>
      <c r="BP217" s="31">
        <f>IF(AND(IFERROR(INDEX(Register!$A$6:$A$305,ROW()-5),"")&lt;&gt;"",IFERROR(INDEX(Register!$D$6:$D$305,ROW()-5),"")="Proposed"),$BN217,0)</f>
        <v/>
      </c>
    </row>
    <row r="218">
      <c r="A218" s="29" t="n"/>
      <c r="B218" s="29" t="n"/>
      <c r="C218" s="53" t="n"/>
      <c r="D218" s="53" t="n"/>
      <c r="E218" s="48" t="n"/>
      <c r="F218" s="31">
        <f>IF($S218=0,"",IF($V218=0,"△ Person not on People",IF($T218=0,"△ Row not on the Register",IF($U218=0,"△ Register row has no Status",IF($AA218=0,"△ From, To or days missing or not valid",IF($U218=3,"△ Row is Completed or Terminated. Clear the line.",IF($X218=1,"△ Booked past the forecast date",IF($U218=2,"○ Pencilled in","○ Clear"))))))))</f>
        <v/>
      </c>
      <c r="S218" s="31">
        <f>IF(COUNTA($A218:$E218)&gt;0,1,0)</f>
        <v/>
      </c>
      <c r="T218" s="31">
        <f>IF($A218="",0,IFERROR(MATCH($A218,Register!$A$6:$A$305,0),0))</f>
        <v/>
      </c>
      <c r="U218" s="31">
        <f>IF($T218=0,0,IF(INDEX(Register!$Q$6:$Q$305,$T218)=1,1,IF(INDEX(Register!$D$6:$D$305,$T218)="Proposed",2,IF(OR(INDEX(Register!$D$6:$D$305,$T218)="Completed",INDEX(Register!$D$6:$D$305,$T218)="Terminated"),3,0))))</f>
        <v/>
      </c>
      <c r="V218" s="31">
        <f>IF($B218="",0,IF(OR($B218="Outside team",COUNTIF($A$63:$A$102,$B218)&gt;0),1,0))</f>
        <v/>
      </c>
      <c r="W218" s="31">
        <f>IF($S218=0,0,1-$Y218)</f>
        <v/>
      </c>
      <c r="X218" s="31">
        <f>IF(OR($Y218=0,$U218&lt;&gt;1,$D$17=""),0,IF(AND(INDEX(Register!$B$6:$B$305,$T218)="Project",N(INDEX(Register!$U$6:$U$305,$T218))&gt;0,$D218&gt;N(INDEX(Register!$U$6:$U$305,$T218))),1,0))</f>
        <v/>
      </c>
      <c r="Y218" s="31">
        <f>IF($S218=0,0,IF(AND($V218=1,$T218&gt;0,$U218&gt;0,$AA218=1),1,0))</f>
        <v/>
      </c>
      <c r="Z218" s="31">
        <f>IF(OR($Y218=0,$D$17=""),0,$E218*MAX(0,(MIN($D218,$P$17)-MAX($C218,$D$17))/7+1))</f>
        <v/>
      </c>
      <c r="AA218" s="31">
        <f>IF($S218=0,0,IF(AND(ISNUMBER($C218),ISNUMBER($D218),ISNUMBER($E218)),IF(AND(WEEKDAY($C218,2)=1,WEEKDAY($D218,2)=1,$D218&gt;=$C218,$E218&gt;=0,$E218&lt;=7),1,0),0))</f>
        <v/>
      </c>
      <c r="BN218" s="31">
        <f>IF(IFERROR(INDEX(Register!$A$6:$A$305,ROW()-5),"")="",0,SUMIF($A$139:$A$288,IFERROR(INDEX(Register!$A$6:$A$305,ROW()-5),""),$Z$139:$Z$288))</f>
        <v/>
      </c>
      <c r="BO218" s="31">
        <f>IF(OR(IFERROR(INDEX(Register!$A$6:$A$305,ROW()-5),"")="",SUM($Z$139:$Z$288)=0),0,IF(AND(IFERROR(INDEX(Register!$B$6:$B$305,ROW()-5),"")="Project",IFERROR(INDEX(Register!$D$6:$D$305,ROW()-5),"")="Active",IFERROR(INDEX(Register!$Z$6:$Z$305,ROW()-5),"")=1,$BN218=0),1,0))</f>
        <v/>
      </c>
      <c r="BP218" s="31">
        <f>IF(AND(IFERROR(INDEX(Register!$A$6:$A$305,ROW()-5),"")&lt;&gt;"",IFERROR(INDEX(Register!$D$6:$D$305,ROW()-5),"")="Proposed"),$BN218,0)</f>
        <v/>
      </c>
    </row>
    <row r="219">
      <c r="A219" s="29" t="n"/>
      <c r="B219" s="29" t="n"/>
      <c r="C219" s="53" t="n"/>
      <c r="D219" s="53" t="n"/>
      <c r="E219" s="48" t="n"/>
      <c r="F219" s="31">
        <f>IF($S219=0,"",IF($V219=0,"△ Person not on People",IF($T219=0,"△ Row not on the Register",IF($U219=0,"△ Register row has no Status",IF($AA219=0,"△ From, To or days missing or not valid",IF($U219=3,"△ Row is Completed or Terminated. Clear the line.",IF($X219=1,"△ Booked past the forecast date",IF($U219=2,"○ Pencilled in","○ Clear"))))))))</f>
        <v/>
      </c>
      <c r="S219" s="31">
        <f>IF(COUNTA($A219:$E219)&gt;0,1,0)</f>
        <v/>
      </c>
      <c r="T219" s="31">
        <f>IF($A219="",0,IFERROR(MATCH($A219,Register!$A$6:$A$305,0),0))</f>
        <v/>
      </c>
      <c r="U219" s="31">
        <f>IF($T219=0,0,IF(INDEX(Register!$Q$6:$Q$305,$T219)=1,1,IF(INDEX(Register!$D$6:$D$305,$T219)="Proposed",2,IF(OR(INDEX(Register!$D$6:$D$305,$T219)="Completed",INDEX(Register!$D$6:$D$305,$T219)="Terminated"),3,0))))</f>
        <v/>
      </c>
      <c r="V219" s="31">
        <f>IF($B219="",0,IF(OR($B219="Outside team",COUNTIF($A$63:$A$102,$B219)&gt;0),1,0))</f>
        <v/>
      </c>
      <c r="W219" s="31">
        <f>IF($S219=0,0,1-$Y219)</f>
        <v/>
      </c>
      <c r="X219" s="31">
        <f>IF(OR($Y219=0,$U219&lt;&gt;1,$D$17=""),0,IF(AND(INDEX(Register!$B$6:$B$305,$T219)="Project",N(INDEX(Register!$U$6:$U$305,$T219))&gt;0,$D219&gt;N(INDEX(Register!$U$6:$U$305,$T219))),1,0))</f>
        <v/>
      </c>
      <c r="Y219" s="31">
        <f>IF($S219=0,0,IF(AND($V219=1,$T219&gt;0,$U219&gt;0,$AA219=1),1,0))</f>
        <v/>
      </c>
      <c r="Z219" s="31">
        <f>IF(OR($Y219=0,$D$17=""),0,$E219*MAX(0,(MIN($D219,$P$17)-MAX($C219,$D$17))/7+1))</f>
        <v/>
      </c>
      <c r="AA219" s="31">
        <f>IF($S219=0,0,IF(AND(ISNUMBER($C219),ISNUMBER($D219),ISNUMBER($E219)),IF(AND(WEEKDAY($C219,2)=1,WEEKDAY($D219,2)=1,$D219&gt;=$C219,$E219&gt;=0,$E219&lt;=7),1,0),0))</f>
        <v/>
      </c>
      <c r="BN219" s="31">
        <f>IF(IFERROR(INDEX(Register!$A$6:$A$305,ROW()-5),"")="",0,SUMIF($A$139:$A$288,IFERROR(INDEX(Register!$A$6:$A$305,ROW()-5),""),$Z$139:$Z$288))</f>
        <v/>
      </c>
      <c r="BO219" s="31">
        <f>IF(OR(IFERROR(INDEX(Register!$A$6:$A$305,ROW()-5),"")="",SUM($Z$139:$Z$288)=0),0,IF(AND(IFERROR(INDEX(Register!$B$6:$B$305,ROW()-5),"")="Project",IFERROR(INDEX(Register!$D$6:$D$305,ROW()-5),"")="Active",IFERROR(INDEX(Register!$Z$6:$Z$305,ROW()-5),"")=1,$BN219=0),1,0))</f>
        <v/>
      </c>
      <c r="BP219" s="31">
        <f>IF(AND(IFERROR(INDEX(Register!$A$6:$A$305,ROW()-5),"")&lt;&gt;"",IFERROR(INDEX(Register!$D$6:$D$305,ROW()-5),"")="Proposed"),$BN219,0)</f>
        <v/>
      </c>
    </row>
    <row r="220">
      <c r="A220" s="29" t="n"/>
      <c r="B220" s="29" t="n"/>
      <c r="C220" s="53" t="n"/>
      <c r="D220" s="53" t="n"/>
      <c r="E220" s="48" t="n"/>
      <c r="F220" s="31">
        <f>IF($S220=0,"",IF($V220=0,"△ Person not on People",IF($T220=0,"△ Row not on the Register",IF($U220=0,"△ Register row has no Status",IF($AA220=0,"△ From, To or days missing or not valid",IF($U220=3,"△ Row is Completed or Terminated. Clear the line.",IF($X220=1,"△ Booked past the forecast date",IF($U220=2,"○ Pencilled in","○ Clear"))))))))</f>
        <v/>
      </c>
      <c r="S220" s="31">
        <f>IF(COUNTA($A220:$E220)&gt;0,1,0)</f>
        <v/>
      </c>
      <c r="T220" s="31">
        <f>IF($A220="",0,IFERROR(MATCH($A220,Register!$A$6:$A$305,0),0))</f>
        <v/>
      </c>
      <c r="U220" s="31">
        <f>IF($T220=0,0,IF(INDEX(Register!$Q$6:$Q$305,$T220)=1,1,IF(INDEX(Register!$D$6:$D$305,$T220)="Proposed",2,IF(OR(INDEX(Register!$D$6:$D$305,$T220)="Completed",INDEX(Register!$D$6:$D$305,$T220)="Terminated"),3,0))))</f>
        <v/>
      </c>
      <c r="V220" s="31">
        <f>IF($B220="",0,IF(OR($B220="Outside team",COUNTIF($A$63:$A$102,$B220)&gt;0),1,0))</f>
        <v/>
      </c>
      <c r="W220" s="31">
        <f>IF($S220=0,0,1-$Y220)</f>
        <v/>
      </c>
      <c r="X220" s="31">
        <f>IF(OR($Y220=0,$U220&lt;&gt;1,$D$17=""),0,IF(AND(INDEX(Register!$B$6:$B$305,$T220)="Project",N(INDEX(Register!$U$6:$U$305,$T220))&gt;0,$D220&gt;N(INDEX(Register!$U$6:$U$305,$T220))),1,0))</f>
        <v/>
      </c>
      <c r="Y220" s="31">
        <f>IF($S220=0,0,IF(AND($V220=1,$T220&gt;0,$U220&gt;0,$AA220=1),1,0))</f>
        <v/>
      </c>
      <c r="Z220" s="31">
        <f>IF(OR($Y220=0,$D$17=""),0,$E220*MAX(0,(MIN($D220,$P$17)-MAX($C220,$D$17))/7+1))</f>
        <v/>
      </c>
      <c r="AA220" s="31">
        <f>IF($S220=0,0,IF(AND(ISNUMBER($C220),ISNUMBER($D220),ISNUMBER($E220)),IF(AND(WEEKDAY($C220,2)=1,WEEKDAY($D220,2)=1,$D220&gt;=$C220,$E220&gt;=0,$E220&lt;=7),1,0),0))</f>
        <v/>
      </c>
      <c r="BN220" s="31">
        <f>IF(IFERROR(INDEX(Register!$A$6:$A$305,ROW()-5),"")="",0,SUMIF($A$139:$A$288,IFERROR(INDEX(Register!$A$6:$A$305,ROW()-5),""),$Z$139:$Z$288))</f>
        <v/>
      </c>
      <c r="BO220" s="31">
        <f>IF(OR(IFERROR(INDEX(Register!$A$6:$A$305,ROW()-5),"")="",SUM($Z$139:$Z$288)=0),0,IF(AND(IFERROR(INDEX(Register!$B$6:$B$305,ROW()-5),"")="Project",IFERROR(INDEX(Register!$D$6:$D$305,ROW()-5),"")="Active",IFERROR(INDEX(Register!$Z$6:$Z$305,ROW()-5),"")=1,$BN220=0),1,0))</f>
        <v/>
      </c>
      <c r="BP220" s="31">
        <f>IF(AND(IFERROR(INDEX(Register!$A$6:$A$305,ROW()-5),"")&lt;&gt;"",IFERROR(INDEX(Register!$D$6:$D$305,ROW()-5),"")="Proposed"),$BN220,0)</f>
        <v/>
      </c>
    </row>
    <row r="221">
      <c r="A221" s="29" t="n"/>
      <c r="B221" s="29" t="n"/>
      <c r="C221" s="53" t="n"/>
      <c r="D221" s="53" t="n"/>
      <c r="E221" s="48" t="n"/>
      <c r="F221" s="31">
        <f>IF($S221=0,"",IF($V221=0,"△ Person not on People",IF($T221=0,"△ Row not on the Register",IF($U221=0,"△ Register row has no Status",IF($AA221=0,"△ From, To or days missing or not valid",IF($U221=3,"△ Row is Completed or Terminated. Clear the line.",IF($X221=1,"△ Booked past the forecast date",IF($U221=2,"○ Pencilled in","○ Clear"))))))))</f>
        <v/>
      </c>
      <c r="S221" s="31">
        <f>IF(COUNTA($A221:$E221)&gt;0,1,0)</f>
        <v/>
      </c>
      <c r="T221" s="31">
        <f>IF($A221="",0,IFERROR(MATCH($A221,Register!$A$6:$A$305,0),0))</f>
        <v/>
      </c>
      <c r="U221" s="31">
        <f>IF($T221=0,0,IF(INDEX(Register!$Q$6:$Q$305,$T221)=1,1,IF(INDEX(Register!$D$6:$D$305,$T221)="Proposed",2,IF(OR(INDEX(Register!$D$6:$D$305,$T221)="Completed",INDEX(Register!$D$6:$D$305,$T221)="Terminated"),3,0))))</f>
        <v/>
      </c>
      <c r="V221" s="31">
        <f>IF($B221="",0,IF(OR($B221="Outside team",COUNTIF($A$63:$A$102,$B221)&gt;0),1,0))</f>
        <v/>
      </c>
      <c r="W221" s="31">
        <f>IF($S221=0,0,1-$Y221)</f>
        <v/>
      </c>
      <c r="X221" s="31">
        <f>IF(OR($Y221=0,$U221&lt;&gt;1,$D$17=""),0,IF(AND(INDEX(Register!$B$6:$B$305,$T221)="Project",N(INDEX(Register!$U$6:$U$305,$T221))&gt;0,$D221&gt;N(INDEX(Register!$U$6:$U$305,$T221))),1,0))</f>
        <v/>
      </c>
      <c r="Y221" s="31">
        <f>IF($S221=0,0,IF(AND($V221=1,$T221&gt;0,$U221&gt;0,$AA221=1),1,0))</f>
        <v/>
      </c>
      <c r="Z221" s="31">
        <f>IF(OR($Y221=0,$D$17=""),0,$E221*MAX(0,(MIN($D221,$P$17)-MAX($C221,$D$17))/7+1))</f>
        <v/>
      </c>
      <c r="AA221" s="31">
        <f>IF($S221=0,0,IF(AND(ISNUMBER($C221),ISNUMBER($D221),ISNUMBER($E221)),IF(AND(WEEKDAY($C221,2)=1,WEEKDAY($D221,2)=1,$D221&gt;=$C221,$E221&gt;=0,$E221&lt;=7),1,0),0))</f>
        <v/>
      </c>
      <c r="BN221" s="31">
        <f>IF(IFERROR(INDEX(Register!$A$6:$A$305,ROW()-5),"")="",0,SUMIF($A$139:$A$288,IFERROR(INDEX(Register!$A$6:$A$305,ROW()-5),""),$Z$139:$Z$288))</f>
        <v/>
      </c>
      <c r="BO221" s="31">
        <f>IF(OR(IFERROR(INDEX(Register!$A$6:$A$305,ROW()-5),"")="",SUM($Z$139:$Z$288)=0),0,IF(AND(IFERROR(INDEX(Register!$B$6:$B$305,ROW()-5),"")="Project",IFERROR(INDEX(Register!$D$6:$D$305,ROW()-5),"")="Active",IFERROR(INDEX(Register!$Z$6:$Z$305,ROW()-5),"")=1,$BN221=0),1,0))</f>
        <v/>
      </c>
      <c r="BP221" s="31">
        <f>IF(AND(IFERROR(INDEX(Register!$A$6:$A$305,ROW()-5),"")&lt;&gt;"",IFERROR(INDEX(Register!$D$6:$D$305,ROW()-5),"")="Proposed"),$BN221,0)</f>
        <v/>
      </c>
    </row>
    <row r="222">
      <c r="A222" s="29" t="n"/>
      <c r="B222" s="29" t="n"/>
      <c r="C222" s="53" t="n"/>
      <c r="D222" s="53" t="n"/>
      <c r="E222" s="48" t="n"/>
      <c r="F222" s="31">
        <f>IF($S222=0,"",IF($V222=0,"△ Person not on People",IF($T222=0,"△ Row not on the Register",IF($U222=0,"△ Register row has no Status",IF($AA222=0,"△ From, To or days missing or not valid",IF($U222=3,"△ Row is Completed or Terminated. Clear the line.",IF($X222=1,"△ Booked past the forecast date",IF($U222=2,"○ Pencilled in","○ Clear"))))))))</f>
        <v/>
      </c>
      <c r="S222" s="31">
        <f>IF(COUNTA($A222:$E222)&gt;0,1,0)</f>
        <v/>
      </c>
      <c r="T222" s="31">
        <f>IF($A222="",0,IFERROR(MATCH($A222,Register!$A$6:$A$305,0),0))</f>
        <v/>
      </c>
      <c r="U222" s="31">
        <f>IF($T222=0,0,IF(INDEX(Register!$Q$6:$Q$305,$T222)=1,1,IF(INDEX(Register!$D$6:$D$305,$T222)="Proposed",2,IF(OR(INDEX(Register!$D$6:$D$305,$T222)="Completed",INDEX(Register!$D$6:$D$305,$T222)="Terminated"),3,0))))</f>
        <v/>
      </c>
      <c r="V222" s="31">
        <f>IF($B222="",0,IF(OR($B222="Outside team",COUNTIF($A$63:$A$102,$B222)&gt;0),1,0))</f>
        <v/>
      </c>
      <c r="W222" s="31">
        <f>IF($S222=0,0,1-$Y222)</f>
        <v/>
      </c>
      <c r="X222" s="31">
        <f>IF(OR($Y222=0,$U222&lt;&gt;1,$D$17=""),0,IF(AND(INDEX(Register!$B$6:$B$305,$T222)="Project",N(INDEX(Register!$U$6:$U$305,$T222))&gt;0,$D222&gt;N(INDEX(Register!$U$6:$U$305,$T222))),1,0))</f>
        <v/>
      </c>
      <c r="Y222" s="31">
        <f>IF($S222=0,0,IF(AND($V222=1,$T222&gt;0,$U222&gt;0,$AA222=1),1,0))</f>
        <v/>
      </c>
      <c r="Z222" s="31">
        <f>IF(OR($Y222=0,$D$17=""),0,$E222*MAX(0,(MIN($D222,$P$17)-MAX($C222,$D$17))/7+1))</f>
        <v/>
      </c>
      <c r="AA222" s="31">
        <f>IF($S222=0,0,IF(AND(ISNUMBER($C222),ISNUMBER($D222),ISNUMBER($E222)),IF(AND(WEEKDAY($C222,2)=1,WEEKDAY($D222,2)=1,$D222&gt;=$C222,$E222&gt;=0,$E222&lt;=7),1,0),0))</f>
        <v/>
      </c>
      <c r="BN222" s="31">
        <f>IF(IFERROR(INDEX(Register!$A$6:$A$305,ROW()-5),"")="",0,SUMIF($A$139:$A$288,IFERROR(INDEX(Register!$A$6:$A$305,ROW()-5),""),$Z$139:$Z$288))</f>
        <v/>
      </c>
      <c r="BO222" s="31">
        <f>IF(OR(IFERROR(INDEX(Register!$A$6:$A$305,ROW()-5),"")="",SUM($Z$139:$Z$288)=0),0,IF(AND(IFERROR(INDEX(Register!$B$6:$B$305,ROW()-5),"")="Project",IFERROR(INDEX(Register!$D$6:$D$305,ROW()-5),"")="Active",IFERROR(INDEX(Register!$Z$6:$Z$305,ROW()-5),"")=1,$BN222=0),1,0))</f>
        <v/>
      </c>
      <c r="BP222" s="31">
        <f>IF(AND(IFERROR(INDEX(Register!$A$6:$A$305,ROW()-5),"")&lt;&gt;"",IFERROR(INDEX(Register!$D$6:$D$305,ROW()-5),"")="Proposed"),$BN222,0)</f>
        <v/>
      </c>
    </row>
    <row r="223">
      <c r="A223" s="29" t="n"/>
      <c r="B223" s="29" t="n"/>
      <c r="C223" s="53" t="n"/>
      <c r="D223" s="53" t="n"/>
      <c r="E223" s="48" t="n"/>
      <c r="F223" s="31">
        <f>IF($S223=0,"",IF($V223=0,"△ Person not on People",IF($T223=0,"△ Row not on the Register",IF($U223=0,"△ Register row has no Status",IF($AA223=0,"△ From, To or days missing or not valid",IF($U223=3,"△ Row is Completed or Terminated. Clear the line.",IF($X223=1,"△ Booked past the forecast date",IF($U223=2,"○ Pencilled in","○ Clear"))))))))</f>
        <v/>
      </c>
      <c r="S223" s="31">
        <f>IF(COUNTA($A223:$E223)&gt;0,1,0)</f>
        <v/>
      </c>
      <c r="T223" s="31">
        <f>IF($A223="",0,IFERROR(MATCH($A223,Register!$A$6:$A$305,0),0))</f>
        <v/>
      </c>
      <c r="U223" s="31">
        <f>IF($T223=0,0,IF(INDEX(Register!$Q$6:$Q$305,$T223)=1,1,IF(INDEX(Register!$D$6:$D$305,$T223)="Proposed",2,IF(OR(INDEX(Register!$D$6:$D$305,$T223)="Completed",INDEX(Register!$D$6:$D$305,$T223)="Terminated"),3,0))))</f>
        <v/>
      </c>
      <c r="V223" s="31">
        <f>IF($B223="",0,IF(OR($B223="Outside team",COUNTIF($A$63:$A$102,$B223)&gt;0),1,0))</f>
        <v/>
      </c>
      <c r="W223" s="31">
        <f>IF($S223=0,0,1-$Y223)</f>
        <v/>
      </c>
      <c r="X223" s="31">
        <f>IF(OR($Y223=0,$U223&lt;&gt;1,$D$17=""),0,IF(AND(INDEX(Register!$B$6:$B$305,$T223)="Project",N(INDEX(Register!$U$6:$U$305,$T223))&gt;0,$D223&gt;N(INDEX(Register!$U$6:$U$305,$T223))),1,0))</f>
        <v/>
      </c>
      <c r="Y223" s="31">
        <f>IF($S223=0,0,IF(AND($V223=1,$T223&gt;0,$U223&gt;0,$AA223=1),1,0))</f>
        <v/>
      </c>
      <c r="Z223" s="31">
        <f>IF(OR($Y223=0,$D$17=""),0,$E223*MAX(0,(MIN($D223,$P$17)-MAX($C223,$D$17))/7+1))</f>
        <v/>
      </c>
      <c r="AA223" s="31">
        <f>IF($S223=0,0,IF(AND(ISNUMBER($C223),ISNUMBER($D223),ISNUMBER($E223)),IF(AND(WEEKDAY($C223,2)=1,WEEKDAY($D223,2)=1,$D223&gt;=$C223,$E223&gt;=0,$E223&lt;=7),1,0),0))</f>
        <v/>
      </c>
      <c r="BN223" s="31">
        <f>IF(IFERROR(INDEX(Register!$A$6:$A$305,ROW()-5),"")="",0,SUMIF($A$139:$A$288,IFERROR(INDEX(Register!$A$6:$A$305,ROW()-5),""),$Z$139:$Z$288))</f>
        <v/>
      </c>
      <c r="BO223" s="31">
        <f>IF(OR(IFERROR(INDEX(Register!$A$6:$A$305,ROW()-5),"")="",SUM($Z$139:$Z$288)=0),0,IF(AND(IFERROR(INDEX(Register!$B$6:$B$305,ROW()-5),"")="Project",IFERROR(INDEX(Register!$D$6:$D$305,ROW()-5),"")="Active",IFERROR(INDEX(Register!$Z$6:$Z$305,ROW()-5),"")=1,$BN223=0),1,0))</f>
        <v/>
      </c>
      <c r="BP223" s="31">
        <f>IF(AND(IFERROR(INDEX(Register!$A$6:$A$305,ROW()-5),"")&lt;&gt;"",IFERROR(INDEX(Register!$D$6:$D$305,ROW()-5),"")="Proposed"),$BN223,0)</f>
        <v/>
      </c>
    </row>
    <row r="224">
      <c r="A224" s="29" t="n"/>
      <c r="B224" s="29" t="n"/>
      <c r="C224" s="53" t="n"/>
      <c r="D224" s="53" t="n"/>
      <c r="E224" s="48" t="n"/>
      <c r="F224" s="31">
        <f>IF($S224=0,"",IF($V224=0,"△ Person not on People",IF($T224=0,"△ Row not on the Register",IF($U224=0,"△ Register row has no Status",IF($AA224=0,"△ From, To or days missing or not valid",IF($U224=3,"△ Row is Completed or Terminated. Clear the line.",IF($X224=1,"△ Booked past the forecast date",IF($U224=2,"○ Pencilled in","○ Clear"))))))))</f>
        <v/>
      </c>
      <c r="S224" s="31">
        <f>IF(COUNTA($A224:$E224)&gt;0,1,0)</f>
        <v/>
      </c>
      <c r="T224" s="31">
        <f>IF($A224="",0,IFERROR(MATCH($A224,Register!$A$6:$A$305,0),0))</f>
        <v/>
      </c>
      <c r="U224" s="31">
        <f>IF($T224=0,0,IF(INDEX(Register!$Q$6:$Q$305,$T224)=1,1,IF(INDEX(Register!$D$6:$D$305,$T224)="Proposed",2,IF(OR(INDEX(Register!$D$6:$D$305,$T224)="Completed",INDEX(Register!$D$6:$D$305,$T224)="Terminated"),3,0))))</f>
        <v/>
      </c>
      <c r="V224" s="31">
        <f>IF($B224="",0,IF(OR($B224="Outside team",COUNTIF($A$63:$A$102,$B224)&gt;0),1,0))</f>
        <v/>
      </c>
      <c r="W224" s="31">
        <f>IF($S224=0,0,1-$Y224)</f>
        <v/>
      </c>
      <c r="X224" s="31">
        <f>IF(OR($Y224=0,$U224&lt;&gt;1,$D$17=""),0,IF(AND(INDEX(Register!$B$6:$B$305,$T224)="Project",N(INDEX(Register!$U$6:$U$305,$T224))&gt;0,$D224&gt;N(INDEX(Register!$U$6:$U$305,$T224))),1,0))</f>
        <v/>
      </c>
      <c r="Y224" s="31">
        <f>IF($S224=0,0,IF(AND($V224=1,$T224&gt;0,$U224&gt;0,$AA224=1),1,0))</f>
        <v/>
      </c>
      <c r="Z224" s="31">
        <f>IF(OR($Y224=0,$D$17=""),0,$E224*MAX(0,(MIN($D224,$P$17)-MAX($C224,$D$17))/7+1))</f>
        <v/>
      </c>
      <c r="AA224" s="31">
        <f>IF($S224=0,0,IF(AND(ISNUMBER($C224),ISNUMBER($D224),ISNUMBER($E224)),IF(AND(WEEKDAY($C224,2)=1,WEEKDAY($D224,2)=1,$D224&gt;=$C224,$E224&gt;=0,$E224&lt;=7),1,0),0))</f>
        <v/>
      </c>
      <c r="BN224" s="31">
        <f>IF(IFERROR(INDEX(Register!$A$6:$A$305,ROW()-5),"")="",0,SUMIF($A$139:$A$288,IFERROR(INDEX(Register!$A$6:$A$305,ROW()-5),""),$Z$139:$Z$288))</f>
        <v/>
      </c>
      <c r="BO224" s="31">
        <f>IF(OR(IFERROR(INDEX(Register!$A$6:$A$305,ROW()-5),"")="",SUM($Z$139:$Z$288)=0),0,IF(AND(IFERROR(INDEX(Register!$B$6:$B$305,ROW()-5),"")="Project",IFERROR(INDEX(Register!$D$6:$D$305,ROW()-5),"")="Active",IFERROR(INDEX(Register!$Z$6:$Z$305,ROW()-5),"")=1,$BN224=0),1,0))</f>
        <v/>
      </c>
      <c r="BP224" s="31">
        <f>IF(AND(IFERROR(INDEX(Register!$A$6:$A$305,ROW()-5),"")&lt;&gt;"",IFERROR(INDEX(Register!$D$6:$D$305,ROW()-5),"")="Proposed"),$BN224,0)</f>
        <v/>
      </c>
    </row>
    <row r="225">
      <c r="A225" s="29" t="n"/>
      <c r="B225" s="29" t="n"/>
      <c r="C225" s="53" t="n"/>
      <c r="D225" s="53" t="n"/>
      <c r="E225" s="48" t="n"/>
      <c r="F225" s="31">
        <f>IF($S225=0,"",IF($V225=0,"△ Person not on People",IF($T225=0,"△ Row not on the Register",IF($U225=0,"△ Register row has no Status",IF($AA225=0,"△ From, To or days missing or not valid",IF($U225=3,"△ Row is Completed or Terminated. Clear the line.",IF($X225=1,"△ Booked past the forecast date",IF($U225=2,"○ Pencilled in","○ Clear"))))))))</f>
        <v/>
      </c>
      <c r="S225" s="31">
        <f>IF(COUNTA($A225:$E225)&gt;0,1,0)</f>
        <v/>
      </c>
      <c r="T225" s="31">
        <f>IF($A225="",0,IFERROR(MATCH($A225,Register!$A$6:$A$305,0),0))</f>
        <v/>
      </c>
      <c r="U225" s="31">
        <f>IF($T225=0,0,IF(INDEX(Register!$Q$6:$Q$305,$T225)=1,1,IF(INDEX(Register!$D$6:$D$305,$T225)="Proposed",2,IF(OR(INDEX(Register!$D$6:$D$305,$T225)="Completed",INDEX(Register!$D$6:$D$305,$T225)="Terminated"),3,0))))</f>
        <v/>
      </c>
      <c r="V225" s="31">
        <f>IF($B225="",0,IF(OR($B225="Outside team",COUNTIF($A$63:$A$102,$B225)&gt;0),1,0))</f>
        <v/>
      </c>
      <c r="W225" s="31">
        <f>IF($S225=0,0,1-$Y225)</f>
        <v/>
      </c>
      <c r="X225" s="31">
        <f>IF(OR($Y225=0,$U225&lt;&gt;1,$D$17=""),0,IF(AND(INDEX(Register!$B$6:$B$305,$T225)="Project",N(INDEX(Register!$U$6:$U$305,$T225))&gt;0,$D225&gt;N(INDEX(Register!$U$6:$U$305,$T225))),1,0))</f>
        <v/>
      </c>
      <c r="Y225" s="31">
        <f>IF($S225=0,0,IF(AND($V225=1,$T225&gt;0,$U225&gt;0,$AA225=1),1,0))</f>
        <v/>
      </c>
      <c r="Z225" s="31">
        <f>IF(OR($Y225=0,$D$17=""),0,$E225*MAX(0,(MIN($D225,$P$17)-MAX($C225,$D$17))/7+1))</f>
        <v/>
      </c>
      <c r="AA225" s="31">
        <f>IF($S225=0,0,IF(AND(ISNUMBER($C225),ISNUMBER($D225),ISNUMBER($E225)),IF(AND(WEEKDAY($C225,2)=1,WEEKDAY($D225,2)=1,$D225&gt;=$C225,$E225&gt;=0,$E225&lt;=7),1,0),0))</f>
        <v/>
      </c>
      <c r="BN225" s="31">
        <f>IF(IFERROR(INDEX(Register!$A$6:$A$305,ROW()-5),"")="",0,SUMIF($A$139:$A$288,IFERROR(INDEX(Register!$A$6:$A$305,ROW()-5),""),$Z$139:$Z$288))</f>
        <v/>
      </c>
      <c r="BO225" s="31">
        <f>IF(OR(IFERROR(INDEX(Register!$A$6:$A$305,ROW()-5),"")="",SUM($Z$139:$Z$288)=0),0,IF(AND(IFERROR(INDEX(Register!$B$6:$B$305,ROW()-5),"")="Project",IFERROR(INDEX(Register!$D$6:$D$305,ROW()-5),"")="Active",IFERROR(INDEX(Register!$Z$6:$Z$305,ROW()-5),"")=1,$BN225=0),1,0))</f>
        <v/>
      </c>
      <c r="BP225" s="31">
        <f>IF(AND(IFERROR(INDEX(Register!$A$6:$A$305,ROW()-5),"")&lt;&gt;"",IFERROR(INDEX(Register!$D$6:$D$305,ROW()-5),"")="Proposed"),$BN225,0)</f>
        <v/>
      </c>
    </row>
    <row r="226">
      <c r="A226" s="29" t="n"/>
      <c r="B226" s="29" t="n"/>
      <c r="C226" s="53" t="n"/>
      <c r="D226" s="53" t="n"/>
      <c r="E226" s="48" t="n"/>
      <c r="F226" s="31">
        <f>IF($S226=0,"",IF($V226=0,"△ Person not on People",IF($T226=0,"△ Row not on the Register",IF($U226=0,"△ Register row has no Status",IF($AA226=0,"△ From, To or days missing or not valid",IF($U226=3,"△ Row is Completed or Terminated. Clear the line.",IF($X226=1,"△ Booked past the forecast date",IF($U226=2,"○ Pencilled in","○ Clear"))))))))</f>
        <v/>
      </c>
      <c r="S226" s="31">
        <f>IF(COUNTA($A226:$E226)&gt;0,1,0)</f>
        <v/>
      </c>
      <c r="T226" s="31">
        <f>IF($A226="",0,IFERROR(MATCH($A226,Register!$A$6:$A$305,0),0))</f>
        <v/>
      </c>
      <c r="U226" s="31">
        <f>IF($T226=0,0,IF(INDEX(Register!$Q$6:$Q$305,$T226)=1,1,IF(INDEX(Register!$D$6:$D$305,$T226)="Proposed",2,IF(OR(INDEX(Register!$D$6:$D$305,$T226)="Completed",INDEX(Register!$D$6:$D$305,$T226)="Terminated"),3,0))))</f>
        <v/>
      </c>
      <c r="V226" s="31">
        <f>IF($B226="",0,IF(OR($B226="Outside team",COUNTIF($A$63:$A$102,$B226)&gt;0),1,0))</f>
        <v/>
      </c>
      <c r="W226" s="31">
        <f>IF($S226=0,0,1-$Y226)</f>
        <v/>
      </c>
      <c r="X226" s="31">
        <f>IF(OR($Y226=0,$U226&lt;&gt;1,$D$17=""),0,IF(AND(INDEX(Register!$B$6:$B$305,$T226)="Project",N(INDEX(Register!$U$6:$U$305,$T226))&gt;0,$D226&gt;N(INDEX(Register!$U$6:$U$305,$T226))),1,0))</f>
        <v/>
      </c>
      <c r="Y226" s="31">
        <f>IF($S226=0,0,IF(AND($V226=1,$T226&gt;0,$U226&gt;0,$AA226=1),1,0))</f>
        <v/>
      </c>
      <c r="Z226" s="31">
        <f>IF(OR($Y226=0,$D$17=""),0,$E226*MAX(0,(MIN($D226,$P$17)-MAX($C226,$D$17))/7+1))</f>
        <v/>
      </c>
      <c r="AA226" s="31">
        <f>IF($S226=0,0,IF(AND(ISNUMBER($C226),ISNUMBER($D226),ISNUMBER($E226)),IF(AND(WEEKDAY($C226,2)=1,WEEKDAY($D226,2)=1,$D226&gt;=$C226,$E226&gt;=0,$E226&lt;=7),1,0),0))</f>
        <v/>
      </c>
      <c r="BN226" s="31">
        <f>IF(IFERROR(INDEX(Register!$A$6:$A$305,ROW()-5),"")="",0,SUMIF($A$139:$A$288,IFERROR(INDEX(Register!$A$6:$A$305,ROW()-5),""),$Z$139:$Z$288))</f>
        <v/>
      </c>
      <c r="BO226" s="31">
        <f>IF(OR(IFERROR(INDEX(Register!$A$6:$A$305,ROW()-5),"")="",SUM($Z$139:$Z$288)=0),0,IF(AND(IFERROR(INDEX(Register!$B$6:$B$305,ROW()-5),"")="Project",IFERROR(INDEX(Register!$D$6:$D$305,ROW()-5),"")="Active",IFERROR(INDEX(Register!$Z$6:$Z$305,ROW()-5),"")=1,$BN226=0),1,0))</f>
        <v/>
      </c>
      <c r="BP226" s="31">
        <f>IF(AND(IFERROR(INDEX(Register!$A$6:$A$305,ROW()-5),"")&lt;&gt;"",IFERROR(INDEX(Register!$D$6:$D$305,ROW()-5),"")="Proposed"),$BN226,0)</f>
        <v/>
      </c>
    </row>
    <row r="227">
      <c r="A227" s="29" t="n"/>
      <c r="B227" s="29" t="n"/>
      <c r="C227" s="53" t="n"/>
      <c r="D227" s="53" t="n"/>
      <c r="E227" s="48" t="n"/>
      <c r="F227" s="31">
        <f>IF($S227=0,"",IF($V227=0,"△ Person not on People",IF($T227=0,"△ Row not on the Register",IF($U227=0,"△ Register row has no Status",IF($AA227=0,"△ From, To or days missing or not valid",IF($U227=3,"△ Row is Completed or Terminated. Clear the line.",IF($X227=1,"△ Booked past the forecast date",IF($U227=2,"○ Pencilled in","○ Clear"))))))))</f>
        <v/>
      </c>
      <c r="S227" s="31">
        <f>IF(COUNTA($A227:$E227)&gt;0,1,0)</f>
        <v/>
      </c>
      <c r="T227" s="31">
        <f>IF($A227="",0,IFERROR(MATCH($A227,Register!$A$6:$A$305,0),0))</f>
        <v/>
      </c>
      <c r="U227" s="31">
        <f>IF($T227=0,0,IF(INDEX(Register!$Q$6:$Q$305,$T227)=1,1,IF(INDEX(Register!$D$6:$D$305,$T227)="Proposed",2,IF(OR(INDEX(Register!$D$6:$D$305,$T227)="Completed",INDEX(Register!$D$6:$D$305,$T227)="Terminated"),3,0))))</f>
        <v/>
      </c>
      <c r="V227" s="31">
        <f>IF($B227="",0,IF(OR($B227="Outside team",COUNTIF($A$63:$A$102,$B227)&gt;0),1,0))</f>
        <v/>
      </c>
      <c r="W227" s="31">
        <f>IF($S227=0,0,1-$Y227)</f>
        <v/>
      </c>
      <c r="X227" s="31">
        <f>IF(OR($Y227=0,$U227&lt;&gt;1,$D$17=""),0,IF(AND(INDEX(Register!$B$6:$B$305,$T227)="Project",N(INDEX(Register!$U$6:$U$305,$T227))&gt;0,$D227&gt;N(INDEX(Register!$U$6:$U$305,$T227))),1,0))</f>
        <v/>
      </c>
      <c r="Y227" s="31">
        <f>IF($S227=0,0,IF(AND($V227=1,$T227&gt;0,$U227&gt;0,$AA227=1),1,0))</f>
        <v/>
      </c>
      <c r="Z227" s="31">
        <f>IF(OR($Y227=0,$D$17=""),0,$E227*MAX(0,(MIN($D227,$P$17)-MAX($C227,$D$17))/7+1))</f>
        <v/>
      </c>
      <c r="AA227" s="31">
        <f>IF($S227=0,0,IF(AND(ISNUMBER($C227),ISNUMBER($D227),ISNUMBER($E227)),IF(AND(WEEKDAY($C227,2)=1,WEEKDAY($D227,2)=1,$D227&gt;=$C227,$E227&gt;=0,$E227&lt;=7),1,0),0))</f>
        <v/>
      </c>
      <c r="BN227" s="31">
        <f>IF(IFERROR(INDEX(Register!$A$6:$A$305,ROW()-5),"")="",0,SUMIF($A$139:$A$288,IFERROR(INDEX(Register!$A$6:$A$305,ROW()-5),""),$Z$139:$Z$288))</f>
        <v/>
      </c>
      <c r="BO227" s="31">
        <f>IF(OR(IFERROR(INDEX(Register!$A$6:$A$305,ROW()-5),"")="",SUM($Z$139:$Z$288)=0),0,IF(AND(IFERROR(INDEX(Register!$B$6:$B$305,ROW()-5),"")="Project",IFERROR(INDEX(Register!$D$6:$D$305,ROW()-5),"")="Active",IFERROR(INDEX(Register!$Z$6:$Z$305,ROW()-5),"")=1,$BN227=0),1,0))</f>
        <v/>
      </c>
      <c r="BP227" s="31">
        <f>IF(AND(IFERROR(INDEX(Register!$A$6:$A$305,ROW()-5),"")&lt;&gt;"",IFERROR(INDEX(Register!$D$6:$D$305,ROW()-5),"")="Proposed"),$BN227,0)</f>
        <v/>
      </c>
    </row>
    <row r="228">
      <c r="A228" s="29" t="n"/>
      <c r="B228" s="29" t="n"/>
      <c r="C228" s="53" t="n"/>
      <c r="D228" s="53" t="n"/>
      <c r="E228" s="48" t="n"/>
      <c r="F228" s="31">
        <f>IF($S228=0,"",IF($V228=0,"△ Person not on People",IF($T228=0,"△ Row not on the Register",IF($U228=0,"△ Register row has no Status",IF($AA228=0,"△ From, To or days missing or not valid",IF($U228=3,"△ Row is Completed or Terminated. Clear the line.",IF($X228=1,"△ Booked past the forecast date",IF($U228=2,"○ Pencilled in","○ Clear"))))))))</f>
        <v/>
      </c>
      <c r="S228" s="31">
        <f>IF(COUNTA($A228:$E228)&gt;0,1,0)</f>
        <v/>
      </c>
      <c r="T228" s="31">
        <f>IF($A228="",0,IFERROR(MATCH($A228,Register!$A$6:$A$305,0),0))</f>
        <v/>
      </c>
      <c r="U228" s="31">
        <f>IF($T228=0,0,IF(INDEX(Register!$Q$6:$Q$305,$T228)=1,1,IF(INDEX(Register!$D$6:$D$305,$T228)="Proposed",2,IF(OR(INDEX(Register!$D$6:$D$305,$T228)="Completed",INDEX(Register!$D$6:$D$305,$T228)="Terminated"),3,0))))</f>
        <v/>
      </c>
      <c r="V228" s="31">
        <f>IF($B228="",0,IF(OR($B228="Outside team",COUNTIF($A$63:$A$102,$B228)&gt;0),1,0))</f>
        <v/>
      </c>
      <c r="W228" s="31">
        <f>IF($S228=0,0,1-$Y228)</f>
        <v/>
      </c>
      <c r="X228" s="31">
        <f>IF(OR($Y228=0,$U228&lt;&gt;1,$D$17=""),0,IF(AND(INDEX(Register!$B$6:$B$305,$T228)="Project",N(INDEX(Register!$U$6:$U$305,$T228))&gt;0,$D228&gt;N(INDEX(Register!$U$6:$U$305,$T228))),1,0))</f>
        <v/>
      </c>
      <c r="Y228" s="31">
        <f>IF($S228=0,0,IF(AND($V228=1,$T228&gt;0,$U228&gt;0,$AA228=1),1,0))</f>
        <v/>
      </c>
      <c r="Z228" s="31">
        <f>IF(OR($Y228=0,$D$17=""),0,$E228*MAX(0,(MIN($D228,$P$17)-MAX($C228,$D$17))/7+1))</f>
        <v/>
      </c>
      <c r="AA228" s="31">
        <f>IF($S228=0,0,IF(AND(ISNUMBER($C228),ISNUMBER($D228),ISNUMBER($E228)),IF(AND(WEEKDAY($C228,2)=1,WEEKDAY($D228,2)=1,$D228&gt;=$C228,$E228&gt;=0,$E228&lt;=7),1,0),0))</f>
        <v/>
      </c>
      <c r="BN228" s="31">
        <f>IF(IFERROR(INDEX(Register!$A$6:$A$305,ROW()-5),"")="",0,SUMIF($A$139:$A$288,IFERROR(INDEX(Register!$A$6:$A$305,ROW()-5),""),$Z$139:$Z$288))</f>
        <v/>
      </c>
      <c r="BO228" s="31">
        <f>IF(OR(IFERROR(INDEX(Register!$A$6:$A$305,ROW()-5),"")="",SUM($Z$139:$Z$288)=0),0,IF(AND(IFERROR(INDEX(Register!$B$6:$B$305,ROW()-5),"")="Project",IFERROR(INDEX(Register!$D$6:$D$305,ROW()-5),"")="Active",IFERROR(INDEX(Register!$Z$6:$Z$305,ROW()-5),"")=1,$BN228=0),1,0))</f>
        <v/>
      </c>
      <c r="BP228" s="31">
        <f>IF(AND(IFERROR(INDEX(Register!$A$6:$A$305,ROW()-5),"")&lt;&gt;"",IFERROR(INDEX(Register!$D$6:$D$305,ROW()-5),"")="Proposed"),$BN228,0)</f>
        <v/>
      </c>
    </row>
    <row r="229">
      <c r="A229" s="29" t="n"/>
      <c r="B229" s="29" t="n"/>
      <c r="C229" s="53" t="n"/>
      <c r="D229" s="53" t="n"/>
      <c r="E229" s="48" t="n"/>
      <c r="F229" s="31">
        <f>IF($S229=0,"",IF($V229=0,"△ Person not on People",IF($T229=0,"△ Row not on the Register",IF($U229=0,"△ Register row has no Status",IF($AA229=0,"△ From, To or days missing or not valid",IF($U229=3,"△ Row is Completed or Terminated. Clear the line.",IF($X229=1,"△ Booked past the forecast date",IF($U229=2,"○ Pencilled in","○ Clear"))))))))</f>
        <v/>
      </c>
      <c r="S229" s="31">
        <f>IF(COUNTA($A229:$E229)&gt;0,1,0)</f>
        <v/>
      </c>
      <c r="T229" s="31">
        <f>IF($A229="",0,IFERROR(MATCH($A229,Register!$A$6:$A$305,0),0))</f>
        <v/>
      </c>
      <c r="U229" s="31">
        <f>IF($T229=0,0,IF(INDEX(Register!$Q$6:$Q$305,$T229)=1,1,IF(INDEX(Register!$D$6:$D$305,$T229)="Proposed",2,IF(OR(INDEX(Register!$D$6:$D$305,$T229)="Completed",INDEX(Register!$D$6:$D$305,$T229)="Terminated"),3,0))))</f>
        <v/>
      </c>
      <c r="V229" s="31">
        <f>IF($B229="",0,IF(OR($B229="Outside team",COUNTIF($A$63:$A$102,$B229)&gt;0),1,0))</f>
        <v/>
      </c>
      <c r="W229" s="31">
        <f>IF($S229=0,0,1-$Y229)</f>
        <v/>
      </c>
      <c r="X229" s="31">
        <f>IF(OR($Y229=0,$U229&lt;&gt;1,$D$17=""),0,IF(AND(INDEX(Register!$B$6:$B$305,$T229)="Project",N(INDEX(Register!$U$6:$U$305,$T229))&gt;0,$D229&gt;N(INDEX(Register!$U$6:$U$305,$T229))),1,0))</f>
        <v/>
      </c>
      <c r="Y229" s="31">
        <f>IF($S229=0,0,IF(AND($V229=1,$T229&gt;0,$U229&gt;0,$AA229=1),1,0))</f>
        <v/>
      </c>
      <c r="Z229" s="31">
        <f>IF(OR($Y229=0,$D$17=""),0,$E229*MAX(0,(MIN($D229,$P$17)-MAX($C229,$D$17))/7+1))</f>
        <v/>
      </c>
      <c r="AA229" s="31">
        <f>IF($S229=0,0,IF(AND(ISNUMBER($C229),ISNUMBER($D229),ISNUMBER($E229)),IF(AND(WEEKDAY($C229,2)=1,WEEKDAY($D229,2)=1,$D229&gt;=$C229,$E229&gt;=0,$E229&lt;=7),1,0),0))</f>
        <v/>
      </c>
      <c r="BN229" s="31">
        <f>IF(IFERROR(INDEX(Register!$A$6:$A$305,ROW()-5),"")="",0,SUMIF($A$139:$A$288,IFERROR(INDEX(Register!$A$6:$A$305,ROW()-5),""),$Z$139:$Z$288))</f>
        <v/>
      </c>
      <c r="BO229" s="31">
        <f>IF(OR(IFERROR(INDEX(Register!$A$6:$A$305,ROW()-5),"")="",SUM($Z$139:$Z$288)=0),0,IF(AND(IFERROR(INDEX(Register!$B$6:$B$305,ROW()-5),"")="Project",IFERROR(INDEX(Register!$D$6:$D$305,ROW()-5),"")="Active",IFERROR(INDEX(Register!$Z$6:$Z$305,ROW()-5),"")=1,$BN229=0),1,0))</f>
        <v/>
      </c>
      <c r="BP229" s="31">
        <f>IF(AND(IFERROR(INDEX(Register!$A$6:$A$305,ROW()-5),"")&lt;&gt;"",IFERROR(INDEX(Register!$D$6:$D$305,ROW()-5),"")="Proposed"),$BN229,0)</f>
        <v/>
      </c>
    </row>
    <row r="230">
      <c r="A230" s="29" t="n"/>
      <c r="B230" s="29" t="n"/>
      <c r="C230" s="53" t="n"/>
      <c r="D230" s="53" t="n"/>
      <c r="E230" s="48" t="n"/>
      <c r="F230" s="31">
        <f>IF($S230=0,"",IF($V230=0,"△ Person not on People",IF($T230=0,"△ Row not on the Register",IF($U230=0,"△ Register row has no Status",IF($AA230=0,"△ From, To or days missing or not valid",IF($U230=3,"△ Row is Completed or Terminated. Clear the line.",IF($X230=1,"△ Booked past the forecast date",IF($U230=2,"○ Pencilled in","○ Clear"))))))))</f>
        <v/>
      </c>
      <c r="S230" s="31">
        <f>IF(COUNTA($A230:$E230)&gt;0,1,0)</f>
        <v/>
      </c>
      <c r="T230" s="31">
        <f>IF($A230="",0,IFERROR(MATCH($A230,Register!$A$6:$A$305,0),0))</f>
        <v/>
      </c>
      <c r="U230" s="31">
        <f>IF($T230=0,0,IF(INDEX(Register!$Q$6:$Q$305,$T230)=1,1,IF(INDEX(Register!$D$6:$D$305,$T230)="Proposed",2,IF(OR(INDEX(Register!$D$6:$D$305,$T230)="Completed",INDEX(Register!$D$6:$D$305,$T230)="Terminated"),3,0))))</f>
        <v/>
      </c>
      <c r="V230" s="31">
        <f>IF($B230="",0,IF(OR($B230="Outside team",COUNTIF($A$63:$A$102,$B230)&gt;0),1,0))</f>
        <v/>
      </c>
      <c r="W230" s="31">
        <f>IF($S230=0,0,1-$Y230)</f>
        <v/>
      </c>
      <c r="X230" s="31">
        <f>IF(OR($Y230=0,$U230&lt;&gt;1,$D$17=""),0,IF(AND(INDEX(Register!$B$6:$B$305,$T230)="Project",N(INDEX(Register!$U$6:$U$305,$T230))&gt;0,$D230&gt;N(INDEX(Register!$U$6:$U$305,$T230))),1,0))</f>
        <v/>
      </c>
      <c r="Y230" s="31">
        <f>IF($S230=0,0,IF(AND($V230=1,$T230&gt;0,$U230&gt;0,$AA230=1),1,0))</f>
        <v/>
      </c>
      <c r="Z230" s="31">
        <f>IF(OR($Y230=0,$D$17=""),0,$E230*MAX(0,(MIN($D230,$P$17)-MAX($C230,$D$17))/7+1))</f>
        <v/>
      </c>
      <c r="AA230" s="31">
        <f>IF($S230=0,0,IF(AND(ISNUMBER($C230),ISNUMBER($D230),ISNUMBER($E230)),IF(AND(WEEKDAY($C230,2)=1,WEEKDAY($D230,2)=1,$D230&gt;=$C230,$E230&gt;=0,$E230&lt;=7),1,0),0))</f>
        <v/>
      </c>
      <c r="BN230" s="31">
        <f>IF(IFERROR(INDEX(Register!$A$6:$A$305,ROW()-5),"")="",0,SUMIF($A$139:$A$288,IFERROR(INDEX(Register!$A$6:$A$305,ROW()-5),""),$Z$139:$Z$288))</f>
        <v/>
      </c>
      <c r="BO230" s="31">
        <f>IF(OR(IFERROR(INDEX(Register!$A$6:$A$305,ROW()-5),"")="",SUM($Z$139:$Z$288)=0),0,IF(AND(IFERROR(INDEX(Register!$B$6:$B$305,ROW()-5),"")="Project",IFERROR(INDEX(Register!$D$6:$D$305,ROW()-5),"")="Active",IFERROR(INDEX(Register!$Z$6:$Z$305,ROW()-5),"")=1,$BN230=0),1,0))</f>
        <v/>
      </c>
      <c r="BP230" s="31">
        <f>IF(AND(IFERROR(INDEX(Register!$A$6:$A$305,ROW()-5),"")&lt;&gt;"",IFERROR(INDEX(Register!$D$6:$D$305,ROW()-5),"")="Proposed"),$BN230,0)</f>
        <v/>
      </c>
    </row>
    <row r="231">
      <c r="A231" s="29" t="n"/>
      <c r="B231" s="29" t="n"/>
      <c r="C231" s="53" t="n"/>
      <c r="D231" s="53" t="n"/>
      <c r="E231" s="48" t="n"/>
      <c r="F231" s="31">
        <f>IF($S231=0,"",IF($V231=0,"△ Person not on People",IF($T231=0,"△ Row not on the Register",IF($U231=0,"△ Register row has no Status",IF($AA231=0,"△ From, To or days missing or not valid",IF($U231=3,"△ Row is Completed or Terminated. Clear the line.",IF($X231=1,"△ Booked past the forecast date",IF($U231=2,"○ Pencilled in","○ Clear"))))))))</f>
        <v/>
      </c>
      <c r="S231" s="31">
        <f>IF(COUNTA($A231:$E231)&gt;0,1,0)</f>
        <v/>
      </c>
      <c r="T231" s="31">
        <f>IF($A231="",0,IFERROR(MATCH($A231,Register!$A$6:$A$305,0),0))</f>
        <v/>
      </c>
      <c r="U231" s="31">
        <f>IF($T231=0,0,IF(INDEX(Register!$Q$6:$Q$305,$T231)=1,1,IF(INDEX(Register!$D$6:$D$305,$T231)="Proposed",2,IF(OR(INDEX(Register!$D$6:$D$305,$T231)="Completed",INDEX(Register!$D$6:$D$305,$T231)="Terminated"),3,0))))</f>
        <v/>
      </c>
      <c r="V231" s="31">
        <f>IF($B231="",0,IF(OR($B231="Outside team",COUNTIF($A$63:$A$102,$B231)&gt;0),1,0))</f>
        <v/>
      </c>
      <c r="W231" s="31">
        <f>IF($S231=0,0,1-$Y231)</f>
        <v/>
      </c>
      <c r="X231" s="31">
        <f>IF(OR($Y231=0,$U231&lt;&gt;1,$D$17=""),0,IF(AND(INDEX(Register!$B$6:$B$305,$T231)="Project",N(INDEX(Register!$U$6:$U$305,$T231))&gt;0,$D231&gt;N(INDEX(Register!$U$6:$U$305,$T231))),1,0))</f>
        <v/>
      </c>
      <c r="Y231" s="31">
        <f>IF($S231=0,0,IF(AND($V231=1,$T231&gt;0,$U231&gt;0,$AA231=1),1,0))</f>
        <v/>
      </c>
      <c r="Z231" s="31">
        <f>IF(OR($Y231=0,$D$17=""),0,$E231*MAX(0,(MIN($D231,$P$17)-MAX($C231,$D$17))/7+1))</f>
        <v/>
      </c>
      <c r="AA231" s="31">
        <f>IF($S231=0,0,IF(AND(ISNUMBER($C231),ISNUMBER($D231),ISNUMBER($E231)),IF(AND(WEEKDAY($C231,2)=1,WEEKDAY($D231,2)=1,$D231&gt;=$C231,$E231&gt;=0,$E231&lt;=7),1,0),0))</f>
        <v/>
      </c>
      <c r="BN231" s="31">
        <f>IF(IFERROR(INDEX(Register!$A$6:$A$305,ROW()-5),"")="",0,SUMIF($A$139:$A$288,IFERROR(INDEX(Register!$A$6:$A$305,ROW()-5),""),$Z$139:$Z$288))</f>
        <v/>
      </c>
      <c r="BO231" s="31">
        <f>IF(OR(IFERROR(INDEX(Register!$A$6:$A$305,ROW()-5),"")="",SUM($Z$139:$Z$288)=0),0,IF(AND(IFERROR(INDEX(Register!$B$6:$B$305,ROW()-5),"")="Project",IFERROR(INDEX(Register!$D$6:$D$305,ROW()-5),"")="Active",IFERROR(INDEX(Register!$Z$6:$Z$305,ROW()-5),"")=1,$BN231=0),1,0))</f>
        <v/>
      </c>
      <c r="BP231" s="31">
        <f>IF(AND(IFERROR(INDEX(Register!$A$6:$A$305,ROW()-5),"")&lt;&gt;"",IFERROR(INDEX(Register!$D$6:$D$305,ROW()-5),"")="Proposed"),$BN231,0)</f>
        <v/>
      </c>
    </row>
    <row r="232">
      <c r="A232" s="29" t="n"/>
      <c r="B232" s="29" t="n"/>
      <c r="C232" s="53" t="n"/>
      <c r="D232" s="53" t="n"/>
      <c r="E232" s="48" t="n"/>
      <c r="F232" s="31">
        <f>IF($S232=0,"",IF($V232=0,"△ Person not on People",IF($T232=0,"△ Row not on the Register",IF($U232=0,"△ Register row has no Status",IF($AA232=0,"△ From, To or days missing or not valid",IF($U232=3,"△ Row is Completed or Terminated. Clear the line.",IF($X232=1,"△ Booked past the forecast date",IF($U232=2,"○ Pencilled in","○ Clear"))))))))</f>
        <v/>
      </c>
      <c r="S232" s="31">
        <f>IF(COUNTA($A232:$E232)&gt;0,1,0)</f>
        <v/>
      </c>
      <c r="T232" s="31">
        <f>IF($A232="",0,IFERROR(MATCH($A232,Register!$A$6:$A$305,0),0))</f>
        <v/>
      </c>
      <c r="U232" s="31">
        <f>IF($T232=0,0,IF(INDEX(Register!$Q$6:$Q$305,$T232)=1,1,IF(INDEX(Register!$D$6:$D$305,$T232)="Proposed",2,IF(OR(INDEX(Register!$D$6:$D$305,$T232)="Completed",INDEX(Register!$D$6:$D$305,$T232)="Terminated"),3,0))))</f>
        <v/>
      </c>
      <c r="V232" s="31">
        <f>IF($B232="",0,IF(OR($B232="Outside team",COUNTIF($A$63:$A$102,$B232)&gt;0),1,0))</f>
        <v/>
      </c>
      <c r="W232" s="31">
        <f>IF($S232=0,0,1-$Y232)</f>
        <v/>
      </c>
      <c r="X232" s="31">
        <f>IF(OR($Y232=0,$U232&lt;&gt;1,$D$17=""),0,IF(AND(INDEX(Register!$B$6:$B$305,$T232)="Project",N(INDEX(Register!$U$6:$U$305,$T232))&gt;0,$D232&gt;N(INDEX(Register!$U$6:$U$305,$T232))),1,0))</f>
        <v/>
      </c>
      <c r="Y232" s="31">
        <f>IF($S232=0,0,IF(AND($V232=1,$T232&gt;0,$U232&gt;0,$AA232=1),1,0))</f>
        <v/>
      </c>
      <c r="Z232" s="31">
        <f>IF(OR($Y232=0,$D$17=""),0,$E232*MAX(0,(MIN($D232,$P$17)-MAX($C232,$D$17))/7+1))</f>
        <v/>
      </c>
      <c r="AA232" s="31">
        <f>IF($S232=0,0,IF(AND(ISNUMBER($C232),ISNUMBER($D232),ISNUMBER($E232)),IF(AND(WEEKDAY($C232,2)=1,WEEKDAY($D232,2)=1,$D232&gt;=$C232,$E232&gt;=0,$E232&lt;=7),1,0),0))</f>
        <v/>
      </c>
      <c r="BN232" s="31">
        <f>IF(IFERROR(INDEX(Register!$A$6:$A$305,ROW()-5),"")="",0,SUMIF($A$139:$A$288,IFERROR(INDEX(Register!$A$6:$A$305,ROW()-5),""),$Z$139:$Z$288))</f>
        <v/>
      </c>
      <c r="BO232" s="31">
        <f>IF(OR(IFERROR(INDEX(Register!$A$6:$A$305,ROW()-5),"")="",SUM($Z$139:$Z$288)=0),0,IF(AND(IFERROR(INDEX(Register!$B$6:$B$305,ROW()-5),"")="Project",IFERROR(INDEX(Register!$D$6:$D$305,ROW()-5),"")="Active",IFERROR(INDEX(Register!$Z$6:$Z$305,ROW()-5),"")=1,$BN232=0),1,0))</f>
        <v/>
      </c>
      <c r="BP232" s="31">
        <f>IF(AND(IFERROR(INDEX(Register!$A$6:$A$305,ROW()-5),"")&lt;&gt;"",IFERROR(INDEX(Register!$D$6:$D$305,ROW()-5),"")="Proposed"),$BN232,0)</f>
        <v/>
      </c>
    </row>
    <row r="233">
      <c r="A233" s="29" t="n"/>
      <c r="B233" s="29" t="n"/>
      <c r="C233" s="53" t="n"/>
      <c r="D233" s="53" t="n"/>
      <c r="E233" s="48" t="n"/>
      <c r="F233" s="31">
        <f>IF($S233=0,"",IF($V233=0,"△ Person not on People",IF($T233=0,"△ Row not on the Register",IF($U233=0,"△ Register row has no Status",IF($AA233=0,"△ From, To or days missing or not valid",IF($U233=3,"△ Row is Completed or Terminated. Clear the line.",IF($X233=1,"△ Booked past the forecast date",IF($U233=2,"○ Pencilled in","○ Clear"))))))))</f>
        <v/>
      </c>
      <c r="S233" s="31">
        <f>IF(COUNTA($A233:$E233)&gt;0,1,0)</f>
        <v/>
      </c>
      <c r="T233" s="31">
        <f>IF($A233="",0,IFERROR(MATCH($A233,Register!$A$6:$A$305,0),0))</f>
        <v/>
      </c>
      <c r="U233" s="31">
        <f>IF($T233=0,0,IF(INDEX(Register!$Q$6:$Q$305,$T233)=1,1,IF(INDEX(Register!$D$6:$D$305,$T233)="Proposed",2,IF(OR(INDEX(Register!$D$6:$D$305,$T233)="Completed",INDEX(Register!$D$6:$D$305,$T233)="Terminated"),3,0))))</f>
        <v/>
      </c>
      <c r="V233" s="31">
        <f>IF($B233="",0,IF(OR($B233="Outside team",COUNTIF($A$63:$A$102,$B233)&gt;0),1,0))</f>
        <v/>
      </c>
      <c r="W233" s="31">
        <f>IF($S233=0,0,1-$Y233)</f>
        <v/>
      </c>
      <c r="X233" s="31">
        <f>IF(OR($Y233=0,$U233&lt;&gt;1,$D$17=""),0,IF(AND(INDEX(Register!$B$6:$B$305,$T233)="Project",N(INDEX(Register!$U$6:$U$305,$T233))&gt;0,$D233&gt;N(INDEX(Register!$U$6:$U$305,$T233))),1,0))</f>
        <v/>
      </c>
      <c r="Y233" s="31">
        <f>IF($S233=0,0,IF(AND($V233=1,$T233&gt;0,$U233&gt;0,$AA233=1),1,0))</f>
        <v/>
      </c>
      <c r="Z233" s="31">
        <f>IF(OR($Y233=0,$D$17=""),0,$E233*MAX(0,(MIN($D233,$P$17)-MAX($C233,$D$17))/7+1))</f>
        <v/>
      </c>
      <c r="AA233" s="31">
        <f>IF($S233=0,0,IF(AND(ISNUMBER($C233),ISNUMBER($D233),ISNUMBER($E233)),IF(AND(WEEKDAY($C233,2)=1,WEEKDAY($D233,2)=1,$D233&gt;=$C233,$E233&gt;=0,$E233&lt;=7),1,0),0))</f>
        <v/>
      </c>
      <c r="BN233" s="31">
        <f>IF(IFERROR(INDEX(Register!$A$6:$A$305,ROW()-5),"")="",0,SUMIF($A$139:$A$288,IFERROR(INDEX(Register!$A$6:$A$305,ROW()-5),""),$Z$139:$Z$288))</f>
        <v/>
      </c>
      <c r="BO233" s="31">
        <f>IF(OR(IFERROR(INDEX(Register!$A$6:$A$305,ROW()-5),"")="",SUM($Z$139:$Z$288)=0),0,IF(AND(IFERROR(INDEX(Register!$B$6:$B$305,ROW()-5),"")="Project",IFERROR(INDEX(Register!$D$6:$D$305,ROW()-5),"")="Active",IFERROR(INDEX(Register!$Z$6:$Z$305,ROW()-5),"")=1,$BN233=0),1,0))</f>
        <v/>
      </c>
      <c r="BP233" s="31">
        <f>IF(AND(IFERROR(INDEX(Register!$A$6:$A$305,ROW()-5),"")&lt;&gt;"",IFERROR(INDEX(Register!$D$6:$D$305,ROW()-5),"")="Proposed"),$BN233,0)</f>
        <v/>
      </c>
    </row>
    <row r="234">
      <c r="A234" s="29" t="n"/>
      <c r="B234" s="29" t="n"/>
      <c r="C234" s="53" t="n"/>
      <c r="D234" s="53" t="n"/>
      <c r="E234" s="48" t="n"/>
      <c r="F234" s="31">
        <f>IF($S234=0,"",IF($V234=0,"△ Person not on People",IF($T234=0,"△ Row not on the Register",IF($U234=0,"△ Register row has no Status",IF($AA234=0,"△ From, To or days missing or not valid",IF($U234=3,"△ Row is Completed or Terminated. Clear the line.",IF($X234=1,"△ Booked past the forecast date",IF($U234=2,"○ Pencilled in","○ Clear"))))))))</f>
        <v/>
      </c>
      <c r="S234" s="31">
        <f>IF(COUNTA($A234:$E234)&gt;0,1,0)</f>
        <v/>
      </c>
      <c r="T234" s="31">
        <f>IF($A234="",0,IFERROR(MATCH($A234,Register!$A$6:$A$305,0),0))</f>
        <v/>
      </c>
      <c r="U234" s="31">
        <f>IF($T234=0,0,IF(INDEX(Register!$Q$6:$Q$305,$T234)=1,1,IF(INDEX(Register!$D$6:$D$305,$T234)="Proposed",2,IF(OR(INDEX(Register!$D$6:$D$305,$T234)="Completed",INDEX(Register!$D$6:$D$305,$T234)="Terminated"),3,0))))</f>
        <v/>
      </c>
      <c r="V234" s="31">
        <f>IF($B234="",0,IF(OR($B234="Outside team",COUNTIF($A$63:$A$102,$B234)&gt;0),1,0))</f>
        <v/>
      </c>
      <c r="W234" s="31">
        <f>IF($S234=0,0,1-$Y234)</f>
        <v/>
      </c>
      <c r="X234" s="31">
        <f>IF(OR($Y234=0,$U234&lt;&gt;1,$D$17=""),0,IF(AND(INDEX(Register!$B$6:$B$305,$T234)="Project",N(INDEX(Register!$U$6:$U$305,$T234))&gt;0,$D234&gt;N(INDEX(Register!$U$6:$U$305,$T234))),1,0))</f>
        <v/>
      </c>
      <c r="Y234" s="31">
        <f>IF($S234=0,0,IF(AND($V234=1,$T234&gt;0,$U234&gt;0,$AA234=1),1,0))</f>
        <v/>
      </c>
      <c r="Z234" s="31">
        <f>IF(OR($Y234=0,$D$17=""),0,$E234*MAX(0,(MIN($D234,$P$17)-MAX($C234,$D$17))/7+1))</f>
        <v/>
      </c>
      <c r="AA234" s="31">
        <f>IF($S234=0,0,IF(AND(ISNUMBER($C234),ISNUMBER($D234),ISNUMBER($E234)),IF(AND(WEEKDAY($C234,2)=1,WEEKDAY($D234,2)=1,$D234&gt;=$C234,$E234&gt;=0,$E234&lt;=7),1,0),0))</f>
        <v/>
      </c>
      <c r="BN234" s="31">
        <f>IF(IFERROR(INDEX(Register!$A$6:$A$305,ROW()-5),"")="",0,SUMIF($A$139:$A$288,IFERROR(INDEX(Register!$A$6:$A$305,ROW()-5),""),$Z$139:$Z$288))</f>
        <v/>
      </c>
      <c r="BO234" s="31">
        <f>IF(OR(IFERROR(INDEX(Register!$A$6:$A$305,ROW()-5),"")="",SUM($Z$139:$Z$288)=0),0,IF(AND(IFERROR(INDEX(Register!$B$6:$B$305,ROW()-5),"")="Project",IFERROR(INDEX(Register!$D$6:$D$305,ROW()-5),"")="Active",IFERROR(INDEX(Register!$Z$6:$Z$305,ROW()-5),"")=1,$BN234=0),1,0))</f>
        <v/>
      </c>
      <c r="BP234" s="31">
        <f>IF(AND(IFERROR(INDEX(Register!$A$6:$A$305,ROW()-5),"")&lt;&gt;"",IFERROR(INDEX(Register!$D$6:$D$305,ROW()-5),"")="Proposed"),$BN234,0)</f>
        <v/>
      </c>
    </row>
    <row r="235">
      <c r="A235" s="29" t="n"/>
      <c r="B235" s="29" t="n"/>
      <c r="C235" s="53" t="n"/>
      <c r="D235" s="53" t="n"/>
      <c r="E235" s="48" t="n"/>
      <c r="F235" s="31">
        <f>IF($S235=0,"",IF($V235=0,"△ Person not on People",IF($T235=0,"△ Row not on the Register",IF($U235=0,"△ Register row has no Status",IF($AA235=0,"△ From, To or days missing or not valid",IF($U235=3,"△ Row is Completed or Terminated. Clear the line.",IF($X235=1,"△ Booked past the forecast date",IF($U235=2,"○ Pencilled in","○ Clear"))))))))</f>
        <v/>
      </c>
      <c r="S235" s="31">
        <f>IF(COUNTA($A235:$E235)&gt;0,1,0)</f>
        <v/>
      </c>
      <c r="T235" s="31">
        <f>IF($A235="",0,IFERROR(MATCH($A235,Register!$A$6:$A$305,0),0))</f>
        <v/>
      </c>
      <c r="U235" s="31">
        <f>IF($T235=0,0,IF(INDEX(Register!$Q$6:$Q$305,$T235)=1,1,IF(INDEX(Register!$D$6:$D$305,$T235)="Proposed",2,IF(OR(INDEX(Register!$D$6:$D$305,$T235)="Completed",INDEX(Register!$D$6:$D$305,$T235)="Terminated"),3,0))))</f>
        <v/>
      </c>
      <c r="V235" s="31">
        <f>IF($B235="",0,IF(OR($B235="Outside team",COUNTIF($A$63:$A$102,$B235)&gt;0),1,0))</f>
        <v/>
      </c>
      <c r="W235" s="31">
        <f>IF($S235=0,0,1-$Y235)</f>
        <v/>
      </c>
      <c r="X235" s="31">
        <f>IF(OR($Y235=0,$U235&lt;&gt;1,$D$17=""),0,IF(AND(INDEX(Register!$B$6:$B$305,$T235)="Project",N(INDEX(Register!$U$6:$U$305,$T235))&gt;0,$D235&gt;N(INDEX(Register!$U$6:$U$305,$T235))),1,0))</f>
        <v/>
      </c>
      <c r="Y235" s="31">
        <f>IF($S235=0,0,IF(AND($V235=1,$T235&gt;0,$U235&gt;0,$AA235=1),1,0))</f>
        <v/>
      </c>
      <c r="Z235" s="31">
        <f>IF(OR($Y235=0,$D$17=""),0,$E235*MAX(0,(MIN($D235,$P$17)-MAX($C235,$D$17))/7+1))</f>
        <v/>
      </c>
      <c r="AA235" s="31">
        <f>IF($S235=0,0,IF(AND(ISNUMBER($C235),ISNUMBER($D235),ISNUMBER($E235)),IF(AND(WEEKDAY($C235,2)=1,WEEKDAY($D235,2)=1,$D235&gt;=$C235,$E235&gt;=0,$E235&lt;=7),1,0),0))</f>
        <v/>
      </c>
      <c r="BN235" s="31">
        <f>IF(IFERROR(INDEX(Register!$A$6:$A$305,ROW()-5),"")="",0,SUMIF($A$139:$A$288,IFERROR(INDEX(Register!$A$6:$A$305,ROW()-5),""),$Z$139:$Z$288))</f>
        <v/>
      </c>
      <c r="BO235" s="31">
        <f>IF(OR(IFERROR(INDEX(Register!$A$6:$A$305,ROW()-5),"")="",SUM($Z$139:$Z$288)=0),0,IF(AND(IFERROR(INDEX(Register!$B$6:$B$305,ROW()-5),"")="Project",IFERROR(INDEX(Register!$D$6:$D$305,ROW()-5),"")="Active",IFERROR(INDEX(Register!$Z$6:$Z$305,ROW()-5),"")=1,$BN235=0),1,0))</f>
        <v/>
      </c>
      <c r="BP235" s="31">
        <f>IF(AND(IFERROR(INDEX(Register!$A$6:$A$305,ROW()-5),"")&lt;&gt;"",IFERROR(INDEX(Register!$D$6:$D$305,ROW()-5),"")="Proposed"),$BN235,0)</f>
        <v/>
      </c>
    </row>
    <row r="236">
      <c r="A236" s="29" t="n"/>
      <c r="B236" s="29" t="n"/>
      <c r="C236" s="53" t="n"/>
      <c r="D236" s="53" t="n"/>
      <c r="E236" s="48" t="n"/>
      <c r="F236" s="31">
        <f>IF($S236=0,"",IF($V236=0,"△ Person not on People",IF($T236=0,"△ Row not on the Register",IF($U236=0,"△ Register row has no Status",IF($AA236=0,"△ From, To or days missing or not valid",IF($U236=3,"△ Row is Completed or Terminated. Clear the line.",IF($X236=1,"△ Booked past the forecast date",IF($U236=2,"○ Pencilled in","○ Clear"))))))))</f>
        <v/>
      </c>
      <c r="S236" s="31">
        <f>IF(COUNTA($A236:$E236)&gt;0,1,0)</f>
        <v/>
      </c>
      <c r="T236" s="31">
        <f>IF($A236="",0,IFERROR(MATCH($A236,Register!$A$6:$A$305,0),0))</f>
        <v/>
      </c>
      <c r="U236" s="31">
        <f>IF($T236=0,0,IF(INDEX(Register!$Q$6:$Q$305,$T236)=1,1,IF(INDEX(Register!$D$6:$D$305,$T236)="Proposed",2,IF(OR(INDEX(Register!$D$6:$D$305,$T236)="Completed",INDEX(Register!$D$6:$D$305,$T236)="Terminated"),3,0))))</f>
        <v/>
      </c>
      <c r="V236" s="31">
        <f>IF($B236="",0,IF(OR($B236="Outside team",COUNTIF($A$63:$A$102,$B236)&gt;0),1,0))</f>
        <v/>
      </c>
      <c r="W236" s="31">
        <f>IF($S236=0,0,1-$Y236)</f>
        <v/>
      </c>
      <c r="X236" s="31">
        <f>IF(OR($Y236=0,$U236&lt;&gt;1,$D$17=""),0,IF(AND(INDEX(Register!$B$6:$B$305,$T236)="Project",N(INDEX(Register!$U$6:$U$305,$T236))&gt;0,$D236&gt;N(INDEX(Register!$U$6:$U$305,$T236))),1,0))</f>
        <v/>
      </c>
      <c r="Y236" s="31">
        <f>IF($S236=0,0,IF(AND($V236=1,$T236&gt;0,$U236&gt;0,$AA236=1),1,0))</f>
        <v/>
      </c>
      <c r="Z236" s="31">
        <f>IF(OR($Y236=0,$D$17=""),0,$E236*MAX(0,(MIN($D236,$P$17)-MAX($C236,$D$17))/7+1))</f>
        <v/>
      </c>
      <c r="AA236" s="31">
        <f>IF($S236=0,0,IF(AND(ISNUMBER($C236),ISNUMBER($D236),ISNUMBER($E236)),IF(AND(WEEKDAY($C236,2)=1,WEEKDAY($D236,2)=1,$D236&gt;=$C236,$E236&gt;=0,$E236&lt;=7),1,0),0))</f>
        <v/>
      </c>
      <c r="BN236" s="31">
        <f>IF(IFERROR(INDEX(Register!$A$6:$A$305,ROW()-5),"")="",0,SUMIF($A$139:$A$288,IFERROR(INDEX(Register!$A$6:$A$305,ROW()-5),""),$Z$139:$Z$288))</f>
        <v/>
      </c>
      <c r="BO236" s="31">
        <f>IF(OR(IFERROR(INDEX(Register!$A$6:$A$305,ROW()-5),"")="",SUM($Z$139:$Z$288)=0),0,IF(AND(IFERROR(INDEX(Register!$B$6:$B$305,ROW()-5),"")="Project",IFERROR(INDEX(Register!$D$6:$D$305,ROW()-5),"")="Active",IFERROR(INDEX(Register!$Z$6:$Z$305,ROW()-5),"")=1,$BN236=0),1,0))</f>
        <v/>
      </c>
      <c r="BP236" s="31">
        <f>IF(AND(IFERROR(INDEX(Register!$A$6:$A$305,ROW()-5),"")&lt;&gt;"",IFERROR(INDEX(Register!$D$6:$D$305,ROW()-5),"")="Proposed"),$BN236,0)</f>
        <v/>
      </c>
    </row>
    <row r="237">
      <c r="A237" s="29" t="n"/>
      <c r="B237" s="29" t="n"/>
      <c r="C237" s="53" t="n"/>
      <c r="D237" s="53" t="n"/>
      <c r="E237" s="48" t="n"/>
      <c r="F237" s="31">
        <f>IF($S237=0,"",IF($V237=0,"△ Person not on People",IF($T237=0,"△ Row not on the Register",IF($U237=0,"△ Register row has no Status",IF($AA237=0,"△ From, To or days missing or not valid",IF($U237=3,"△ Row is Completed or Terminated. Clear the line.",IF($X237=1,"△ Booked past the forecast date",IF($U237=2,"○ Pencilled in","○ Clear"))))))))</f>
        <v/>
      </c>
      <c r="S237" s="31">
        <f>IF(COUNTA($A237:$E237)&gt;0,1,0)</f>
        <v/>
      </c>
      <c r="T237" s="31">
        <f>IF($A237="",0,IFERROR(MATCH($A237,Register!$A$6:$A$305,0),0))</f>
        <v/>
      </c>
      <c r="U237" s="31">
        <f>IF($T237=0,0,IF(INDEX(Register!$Q$6:$Q$305,$T237)=1,1,IF(INDEX(Register!$D$6:$D$305,$T237)="Proposed",2,IF(OR(INDEX(Register!$D$6:$D$305,$T237)="Completed",INDEX(Register!$D$6:$D$305,$T237)="Terminated"),3,0))))</f>
        <v/>
      </c>
      <c r="V237" s="31">
        <f>IF($B237="",0,IF(OR($B237="Outside team",COUNTIF($A$63:$A$102,$B237)&gt;0),1,0))</f>
        <v/>
      </c>
      <c r="W237" s="31">
        <f>IF($S237=0,0,1-$Y237)</f>
        <v/>
      </c>
      <c r="X237" s="31">
        <f>IF(OR($Y237=0,$U237&lt;&gt;1,$D$17=""),0,IF(AND(INDEX(Register!$B$6:$B$305,$T237)="Project",N(INDEX(Register!$U$6:$U$305,$T237))&gt;0,$D237&gt;N(INDEX(Register!$U$6:$U$305,$T237))),1,0))</f>
        <v/>
      </c>
      <c r="Y237" s="31">
        <f>IF($S237=0,0,IF(AND($V237=1,$T237&gt;0,$U237&gt;0,$AA237=1),1,0))</f>
        <v/>
      </c>
      <c r="Z237" s="31">
        <f>IF(OR($Y237=0,$D$17=""),0,$E237*MAX(0,(MIN($D237,$P$17)-MAX($C237,$D$17))/7+1))</f>
        <v/>
      </c>
      <c r="AA237" s="31">
        <f>IF($S237=0,0,IF(AND(ISNUMBER($C237),ISNUMBER($D237),ISNUMBER($E237)),IF(AND(WEEKDAY($C237,2)=1,WEEKDAY($D237,2)=1,$D237&gt;=$C237,$E237&gt;=0,$E237&lt;=7),1,0),0))</f>
        <v/>
      </c>
      <c r="BN237" s="31">
        <f>IF(IFERROR(INDEX(Register!$A$6:$A$305,ROW()-5),"")="",0,SUMIF($A$139:$A$288,IFERROR(INDEX(Register!$A$6:$A$305,ROW()-5),""),$Z$139:$Z$288))</f>
        <v/>
      </c>
      <c r="BO237" s="31">
        <f>IF(OR(IFERROR(INDEX(Register!$A$6:$A$305,ROW()-5),"")="",SUM($Z$139:$Z$288)=0),0,IF(AND(IFERROR(INDEX(Register!$B$6:$B$305,ROW()-5),"")="Project",IFERROR(INDEX(Register!$D$6:$D$305,ROW()-5),"")="Active",IFERROR(INDEX(Register!$Z$6:$Z$305,ROW()-5),"")=1,$BN237=0),1,0))</f>
        <v/>
      </c>
      <c r="BP237" s="31">
        <f>IF(AND(IFERROR(INDEX(Register!$A$6:$A$305,ROW()-5),"")&lt;&gt;"",IFERROR(INDEX(Register!$D$6:$D$305,ROW()-5),"")="Proposed"),$BN237,0)</f>
        <v/>
      </c>
    </row>
    <row r="238">
      <c r="A238" s="29" t="n"/>
      <c r="B238" s="29" t="n"/>
      <c r="C238" s="53" t="n"/>
      <c r="D238" s="53" t="n"/>
      <c r="E238" s="48" t="n"/>
      <c r="F238" s="31">
        <f>IF($S238=0,"",IF($V238=0,"△ Person not on People",IF($T238=0,"△ Row not on the Register",IF($U238=0,"△ Register row has no Status",IF($AA238=0,"△ From, To or days missing or not valid",IF($U238=3,"△ Row is Completed or Terminated. Clear the line.",IF($X238=1,"△ Booked past the forecast date",IF($U238=2,"○ Pencilled in","○ Clear"))))))))</f>
        <v/>
      </c>
      <c r="S238" s="31">
        <f>IF(COUNTA($A238:$E238)&gt;0,1,0)</f>
        <v/>
      </c>
      <c r="T238" s="31">
        <f>IF($A238="",0,IFERROR(MATCH($A238,Register!$A$6:$A$305,0),0))</f>
        <v/>
      </c>
      <c r="U238" s="31">
        <f>IF($T238=0,0,IF(INDEX(Register!$Q$6:$Q$305,$T238)=1,1,IF(INDEX(Register!$D$6:$D$305,$T238)="Proposed",2,IF(OR(INDEX(Register!$D$6:$D$305,$T238)="Completed",INDEX(Register!$D$6:$D$305,$T238)="Terminated"),3,0))))</f>
        <v/>
      </c>
      <c r="V238" s="31">
        <f>IF($B238="",0,IF(OR($B238="Outside team",COUNTIF($A$63:$A$102,$B238)&gt;0),1,0))</f>
        <v/>
      </c>
      <c r="W238" s="31">
        <f>IF($S238=0,0,1-$Y238)</f>
        <v/>
      </c>
      <c r="X238" s="31">
        <f>IF(OR($Y238=0,$U238&lt;&gt;1,$D$17=""),0,IF(AND(INDEX(Register!$B$6:$B$305,$T238)="Project",N(INDEX(Register!$U$6:$U$305,$T238))&gt;0,$D238&gt;N(INDEX(Register!$U$6:$U$305,$T238))),1,0))</f>
        <v/>
      </c>
      <c r="Y238" s="31">
        <f>IF($S238=0,0,IF(AND($V238=1,$T238&gt;0,$U238&gt;0,$AA238=1),1,0))</f>
        <v/>
      </c>
      <c r="Z238" s="31">
        <f>IF(OR($Y238=0,$D$17=""),0,$E238*MAX(0,(MIN($D238,$P$17)-MAX($C238,$D$17))/7+1))</f>
        <v/>
      </c>
      <c r="AA238" s="31">
        <f>IF($S238=0,0,IF(AND(ISNUMBER($C238),ISNUMBER($D238),ISNUMBER($E238)),IF(AND(WEEKDAY($C238,2)=1,WEEKDAY($D238,2)=1,$D238&gt;=$C238,$E238&gt;=0,$E238&lt;=7),1,0),0))</f>
        <v/>
      </c>
      <c r="BN238" s="31">
        <f>IF(IFERROR(INDEX(Register!$A$6:$A$305,ROW()-5),"")="",0,SUMIF($A$139:$A$288,IFERROR(INDEX(Register!$A$6:$A$305,ROW()-5),""),$Z$139:$Z$288))</f>
        <v/>
      </c>
      <c r="BO238" s="31">
        <f>IF(OR(IFERROR(INDEX(Register!$A$6:$A$305,ROW()-5),"")="",SUM($Z$139:$Z$288)=0),0,IF(AND(IFERROR(INDEX(Register!$B$6:$B$305,ROW()-5),"")="Project",IFERROR(INDEX(Register!$D$6:$D$305,ROW()-5),"")="Active",IFERROR(INDEX(Register!$Z$6:$Z$305,ROW()-5),"")=1,$BN238=0),1,0))</f>
        <v/>
      </c>
      <c r="BP238" s="31">
        <f>IF(AND(IFERROR(INDEX(Register!$A$6:$A$305,ROW()-5),"")&lt;&gt;"",IFERROR(INDEX(Register!$D$6:$D$305,ROW()-5),"")="Proposed"),$BN238,0)</f>
        <v/>
      </c>
    </row>
    <row r="239">
      <c r="A239" s="29" t="n"/>
      <c r="B239" s="29" t="n"/>
      <c r="C239" s="53" t="n"/>
      <c r="D239" s="53" t="n"/>
      <c r="E239" s="48" t="n"/>
      <c r="F239" s="31">
        <f>IF($S239=0,"",IF($V239=0,"△ Person not on People",IF($T239=0,"△ Row not on the Register",IF($U239=0,"△ Register row has no Status",IF($AA239=0,"△ From, To or days missing or not valid",IF($U239=3,"△ Row is Completed or Terminated. Clear the line.",IF($X239=1,"△ Booked past the forecast date",IF($U239=2,"○ Pencilled in","○ Clear"))))))))</f>
        <v/>
      </c>
      <c r="S239" s="31">
        <f>IF(COUNTA($A239:$E239)&gt;0,1,0)</f>
        <v/>
      </c>
      <c r="T239" s="31">
        <f>IF($A239="",0,IFERROR(MATCH($A239,Register!$A$6:$A$305,0),0))</f>
        <v/>
      </c>
      <c r="U239" s="31">
        <f>IF($T239=0,0,IF(INDEX(Register!$Q$6:$Q$305,$T239)=1,1,IF(INDEX(Register!$D$6:$D$305,$T239)="Proposed",2,IF(OR(INDEX(Register!$D$6:$D$305,$T239)="Completed",INDEX(Register!$D$6:$D$305,$T239)="Terminated"),3,0))))</f>
        <v/>
      </c>
      <c r="V239" s="31">
        <f>IF($B239="",0,IF(OR($B239="Outside team",COUNTIF($A$63:$A$102,$B239)&gt;0),1,0))</f>
        <v/>
      </c>
      <c r="W239" s="31">
        <f>IF($S239=0,0,1-$Y239)</f>
        <v/>
      </c>
      <c r="X239" s="31">
        <f>IF(OR($Y239=0,$U239&lt;&gt;1,$D$17=""),0,IF(AND(INDEX(Register!$B$6:$B$305,$T239)="Project",N(INDEX(Register!$U$6:$U$305,$T239))&gt;0,$D239&gt;N(INDEX(Register!$U$6:$U$305,$T239))),1,0))</f>
        <v/>
      </c>
      <c r="Y239" s="31">
        <f>IF($S239=0,0,IF(AND($V239=1,$T239&gt;0,$U239&gt;0,$AA239=1),1,0))</f>
        <v/>
      </c>
      <c r="Z239" s="31">
        <f>IF(OR($Y239=0,$D$17=""),0,$E239*MAX(0,(MIN($D239,$P$17)-MAX($C239,$D$17))/7+1))</f>
        <v/>
      </c>
      <c r="AA239" s="31">
        <f>IF($S239=0,0,IF(AND(ISNUMBER($C239),ISNUMBER($D239),ISNUMBER($E239)),IF(AND(WEEKDAY($C239,2)=1,WEEKDAY($D239,2)=1,$D239&gt;=$C239,$E239&gt;=0,$E239&lt;=7),1,0),0))</f>
        <v/>
      </c>
      <c r="BN239" s="31">
        <f>IF(IFERROR(INDEX(Register!$A$6:$A$305,ROW()-5),"")="",0,SUMIF($A$139:$A$288,IFERROR(INDEX(Register!$A$6:$A$305,ROW()-5),""),$Z$139:$Z$288))</f>
        <v/>
      </c>
      <c r="BO239" s="31">
        <f>IF(OR(IFERROR(INDEX(Register!$A$6:$A$305,ROW()-5),"")="",SUM($Z$139:$Z$288)=0),0,IF(AND(IFERROR(INDEX(Register!$B$6:$B$305,ROW()-5),"")="Project",IFERROR(INDEX(Register!$D$6:$D$305,ROW()-5),"")="Active",IFERROR(INDEX(Register!$Z$6:$Z$305,ROW()-5),"")=1,$BN239=0),1,0))</f>
        <v/>
      </c>
      <c r="BP239" s="31">
        <f>IF(AND(IFERROR(INDEX(Register!$A$6:$A$305,ROW()-5),"")&lt;&gt;"",IFERROR(INDEX(Register!$D$6:$D$305,ROW()-5),"")="Proposed"),$BN239,0)</f>
        <v/>
      </c>
    </row>
    <row r="240">
      <c r="A240" s="29" t="n"/>
      <c r="B240" s="29" t="n"/>
      <c r="C240" s="53" t="n"/>
      <c r="D240" s="53" t="n"/>
      <c r="E240" s="48" t="n"/>
      <c r="F240" s="31">
        <f>IF($S240=0,"",IF($V240=0,"△ Person not on People",IF($T240=0,"△ Row not on the Register",IF($U240=0,"△ Register row has no Status",IF($AA240=0,"△ From, To or days missing or not valid",IF($U240=3,"△ Row is Completed or Terminated. Clear the line.",IF($X240=1,"△ Booked past the forecast date",IF($U240=2,"○ Pencilled in","○ Clear"))))))))</f>
        <v/>
      </c>
      <c r="S240" s="31">
        <f>IF(COUNTA($A240:$E240)&gt;0,1,0)</f>
        <v/>
      </c>
      <c r="T240" s="31">
        <f>IF($A240="",0,IFERROR(MATCH($A240,Register!$A$6:$A$305,0),0))</f>
        <v/>
      </c>
      <c r="U240" s="31">
        <f>IF($T240=0,0,IF(INDEX(Register!$Q$6:$Q$305,$T240)=1,1,IF(INDEX(Register!$D$6:$D$305,$T240)="Proposed",2,IF(OR(INDEX(Register!$D$6:$D$305,$T240)="Completed",INDEX(Register!$D$6:$D$305,$T240)="Terminated"),3,0))))</f>
        <v/>
      </c>
      <c r="V240" s="31">
        <f>IF($B240="",0,IF(OR($B240="Outside team",COUNTIF($A$63:$A$102,$B240)&gt;0),1,0))</f>
        <v/>
      </c>
      <c r="W240" s="31">
        <f>IF($S240=0,0,1-$Y240)</f>
        <v/>
      </c>
      <c r="X240" s="31">
        <f>IF(OR($Y240=0,$U240&lt;&gt;1,$D$17=""),0,IF(AND(INDEX(Register!$B$6:$B$305,$T240)="Project",N(INDEX(Register!$U$6:$U$305,$T240))&gt;0,$D240&gt;N(INDEX(Register!$U$6:$U$305,$T240))),1,0))</f>
        <v/>
      </c>
      <c r="Y240" s="31">
        <f>IF($S240=0,0,IF(AND($V240=1,$T240&gt;0,$U240&gt;0,$AA240=1),1,0))</f>
        <v/>
      </c>
      <c r="Z240" s="31">
        <f>IF(OR($Y240=0,$D$17=""),0,$E240*MAX(0,(MIN($D240,$P$17)-MAX($C240,$D$17))/7+1))</f>
        <v/>
      </c>
      <c r="AA240" s="31">
        <f>IF($S240=0,0,IF(AND(ISNUMBER($C240),ISNUMBER($D240),ISNUMBER($E240)),IF(AND(WEEKDAY($C240,2)=1,WEEKDAY($D240,2)=1,$D240&gt;=$C240,$E240&gt;=0,$E240&lt;=7),1,0),0))</f>
        <v/>
      </c>
      <c r="BN240" s="31">
        <f>IF(IFERROR(INDEX(Register!$A$6:$A$305,ROW()-5),"")="",0,SUMIF($A$139:$A$288,IFERROR(INDEX(Register!$A$6:$A$305,ROW()-5),""),$Z$139:$Z$288))</f>
        <v/>
      </c>
      <c r="BO240" s="31">
        <f>IF(OR(IFERROR(INDEX(Register!$A$6:$A$305,ROW()-5),"")="",SUM($Z$139:$Z$288)=0),0,IF(AND(IFERROR(INDEX(Register!$B$6:$B$305,ROW()-5),"")="Project",IFERROR(INDEX(Register!$D$6:$D$305,ROW()-5),"")="Active",IFERROR(INDEX(Register!$Z$6:$Z$305,ROW()-5),"")=1,$BN240=0),1,0))</f>
        <v/>
      </c>
      <c r="BP240" s="31">
        <f>IF(AND(IFERROR(INDEX(Register!$A$6:$A$305,ROW()-5),"")&lt;&gt;"",IFERROR(INDEX(Register!$D$6:$D$305,ROW()-5),"")="Proposed"),$BN240,0)</f>
        <v/>
      </c>
    </row>
    <row r="241">
      <c r="A241" s="29" t="n"/>
      <c r="B241" s="29" t="n"/>
      <c r="C241" s="53" t="n"/>
      <c r="D241" s="53" t="n"/>
      <c r="E241" s="48" t="n"/>
      <c r="F241" s="31">
        <f>IF($S241=0,"",IF($V241=0,"△ Person not on People",IF($T241=0,"△ Row not on the Register",IF($U241=0,"△ Register row has no Status",IF($AA241=0,"△ From, To or days missing or not valid",IF($U241=3,"△ Row is Completed or Terminated. Clear the line.",IF($X241=1,"△ Booked past the forecast date",IF($U241=2,"○ Pencilled in","○ Clear"))))))))</f>
        <v/>
      </c>
      <c r="S241" s="31">
        <f>IF(COUNTA($A241:$E241)&gt;0,1,0)</f>
        <v/>
      </c>
      <c r="T241" s="31">
        <f>IF($A241="",0,IFERROR(MATCH($A241,Register!$A$6:$A$305,0),0))</f>
        <v/>
      </c>
      <c r="U241" s="31">
        <f>IF($T241=0,0,IF(INDEX(Register!$Q$6:$Q$305,$T241)=1,1,IF(INDEX(Register!$D$6:$D$305,$T241)="Proposed",2,IF(OR(INDEX(Register!$D$6:$D$305,$T241)="Completed",INDEX(Register!$D$6:$D$305,$T241)="Terminated"),3,0))))</f>
        <v/>
      </c>
      <c r="V241" s="31">
        <f>IF($B241="",0,IF(OR($B241="Outside team",COUNTIF($A$63:$A$102,$B241)&gt;0),1,0))</f>
        <v/>
      </c>
      <c r="W241" s="31">
        <f>IF($S241=0,0,1-$Y241)</f>
        <v/>
      </c>
      <c r="X241" s="31">
        <f>IF(OR($Y241=0,$U241&lt;&gt;1,$D$17=""),0,IF(AND(INDEX(Register!$B$6:$B$305,$T241)="Project",N(INDEX(Register!$U$6:$U$305,$T241))&gt;0,$D241&gt;N(INDEX(Register!$U$6:$U$305,$T241))),1,0))</f>
        <v/>
      </c>
      <c r="Y241" s="31">
        <f>IF($S241=0,0,IF(AND($V241=1,$T241&gt;0,$U241&gt;0,$AA241=1),1,0))</f>
        <v/>
      </c>
      <c r="Z241" s="31">
        <f>IF(OR($Y241=0,$D$17=""),0,$E241*MAX(0,(MIN($D241,$P$17)-MAX($C241,$D$17))/7+1))</f>
        <v/>
      </c>
      <c r="AA241" s="31">
        <f>IF($S241=0,0,IF(AND(ISNUMBER($C241),ISNUMBER($D241),ISNUMBER($E241)),IF(AND(WEEKDAY($C241,2)=1,WEEKDAY($D241,2)=1,$D241&gt;=$C241,$E241&gt;=0,$E241&lt;=7),1,0),0))</f>
        <v/>
      </c>
      <c r="BN241" s="31">
        <f>IF(IFERROR(INDEX(Register!$A$6:$A$305,ROW()-5),"")="",0,SUMIF($A$139:$A$288,IFERROR(INDEX(Register!$A$6:$A$305,ROW()-5),""),$Z$139:$Z$288))</f>
        <v/>
      </c>
      <c r="BO241" s="31">
        <f>IF(OR(IFERROR(INDEX(Register!$A$6:$A$305,ROW()-5),"")="",SUM($Z$139:$Z$288)=0),0,IF(AND(IFERROR(INDEX(Register!$B$6:$B$305,ROW()-5),"")="Project",IFERROR(INDEX(Register!$D$6:$D$305,ROW()-5),"")="Active",IFERROR(INDEX(Register!$Z$6:$Z$305,ROW()-5),"")=1,$BN241=0),1,0))</f>
        <v/>
      </c>
      <c r="BP241" s="31">
        <f>IF(AND(IFERROR(INDEX(Register!$A$6:$A$305,ROW()-5),"")&lt;&gt;"",IFERROR(INDEX(Register!$D$6:$D$305,ROW()-5),"")="Proposed"),$BN241,0)</f>
        <v/>
      </c>
    </row>
    <row r="242">
      <c r="A242" s="29" t="n"/>
      <c r="B242" s="29" t="n"/>
      <c r="C242" s="53" t="n"/>
      <c r="D242" s="53" t="n"/>
      <c r="E242" s="48" t="n"/>
      <c r="F242" s="31">
        <f>IF($S242=0,"",IF($V242=0,"△ Person not on People",IF($T242=0,"△ Row not on the Register",IF($U242=0,"△ Register row has no Status",IF($AA242=0,"△ From, To or days missing or not valid",IF($U242=3,"△ Row is Completed or Terminated. Clear the line.",IF($X242=1,"△ Booked past the forecast date",IF($U242=2,"○ Pencilled in","○ Clear"))))))))</f>
        <v/>
      </c>
      <c r="S242" s="31">
        <f>IF(COUNTA($A242:$E242)&gt;0,1,0)</f>
        <v/>
      </c>
      <c r="T242" s="31">
        <f>IF($A242="",0,IFERROR(MATCH($A242,Register!$A$6:$A$305,0),0))</f>
        <v/>
      </c>
      <c r="U242" s="31">
        <f>IF($T242=0,0,IF(INDEX(Register!$Q$6:$Q$305,$T242)=1,1,IF(INDEX(Register!$D$6:$D$305,$T242)="Proposed",2,IF(OR(INDEX(Register!$D$6:$D$305,$T242)="Completed",INDEX(Register!$D$6:$D$305,$T242)="Terminated"),3,0))))</f>
        <v/>
      </c>
      <c r="V242" s="31">
        <f>IF($B242="",0,IF(OR($B242="Outside team",COUNTIF($A$63:$A$102,$B242)&gt;0),1,0))</f>
        <v/>
      </c>
      <c r="W242" s="31">
        <f>IF($S242=0,0,1-$Y242)</f>
        <v/>
      </c>
      <c r="X242" s="31">
        <f>IF(OR($Y242=0,$U242&lt;&gt;1,$D$17=""),0,IF(AND(INDEX(Register!$B$6:$B$305,$T242)="Project",N(INDEX(Register!$U$6:$U$305,$T242))&gt;0,$D242&gt;N(INDEX(Register!$U$6:$U$305,$T242))),1,0))</f>
        <v/>
      </c>
      <c r="Y242" s="31">
        <f>IF($S242=0,0,IF(AND($V242=1,$T242&gt;0,$U242&gt;0,$AA242=1),1,0))</f>
        <v/>
      </c>
      <c r="Z242" s="31">
        <f>IF(OR($Y242=0,$D$17=""),0,$E242*MAX(0,(MIN($D242,$P$17)-MAX($C242,$D$17))/7+1))</f>
        <v/>
      </c>
      <c r="AA242" s="31">
        <f>IF($S242=0,0,IF(AND(ISNUMBER($C242),ISNUMBER($D242),ISNUMBER($E242)),IF(AND(WEEKDAY($C242,2)=1,WEEKDAY($D242,2)=1,$D242&gt;=$C242,$E242&gt;=0,$E242&lt;=7),1,0),0))</f>
        <v/>
      </c>
      <c r="BN242" s="31">
        <f>IF(IFERROR(INDEX(Register!$A$6:$A$305,ROW()-5),"")="",0,SUMIF($A$139:$A$288,IFERROR(INDEX(Register!$A$6:$A$305,ROW()-5),""),$Z$139:$Z$288))</f>
        <v/>
      </c>
      <c r="BO242" s="31">
        <f>IF(OR(IFERROR(INDEX(Register!$A$6:$A$305,ROW()-5),"")="",SUM($Z$139:$Z$288)=0),0,IF(AND(IFERROR(INDEX(Register!$B$6:$B$305,ROW()-5),"")="Project",IFERROR(INDEX(Register!$D$6:$D$305,ROW()-5),"")="Active",IFERROR(INDEX(Register!$Z$6:$Z$305,ROW()-5),"")=1,$BN242=0),1,0))</f>
        <v/>
      </c>
      <c r="BP242" s="31">
        <f>IF(AND(IFERROR(INDEX(Register!$A$6:$A$305,ROW()-5),"")&lt;&gt;"",IFERROR(INDEX(Register!$D$6:$D$305,ROW()-5),"")="Proposed"),$BN242,0)</f>
        <v/>
      </c>
    </row>
    <row r="243">
      <c r="A243" s="29" t="n"/>
      <c r="B243" s="29" t="n"/>
      <c r="C243" s="53" t="n"/>
      <c r="D243" s="53" t="n"/>
      <c r="E243" s="48" t="n"/>
      <c r="F243" s="31">
        <f>IF($S243=0,"",IF($V243=0,"△ Person not on People",IF($T243=0,"△ Row not on the Register",IF($U243=0,"△ Register row has no Status",IF($AA243=0,"△ From, To or days missing or not valid",IF($U243=3,"△ Row is Completed or Terminated. Clear the line.",IF($X243=1,"△ Booked past the forecast date",IF($U243=2,"○ Pencilled in","○ Clear"))))))))</f>
        <v/>
      </c>
      <c r="S243" s="31">
        <f>IF(COUNTA($A243:$E243)&gt;0,1,0)</f>
        <v/>
      </c>
      <c r="T243" s="31">
        <f>IF($A243="",0,IFERROR(MATCH($A243,Register!$A$6:$A$305,0),0))</f>
        <v/>
      </c>
      <c r="U243" s="31">
        <f>IF($T243=0,0,IF(INDEX(Register!$Q$6:$Q$305,$T243)=1,1,IF(INDEX(Register!$D$6:$D$305,$T243)="Proposed",2,IF(OR(INDEX(Register!$D$6:$D$305,$T243)="Completed",INDEX(Register!$D$6:$D$305,$T243)="Terminated"),3,0))))</f>
        <v/>
      </c>
      <c r="V243" s="31">
        <f>IF($B243="",0,IF(OR($B243="Outside team",COUNTIF($A$63:$A$102,$B243)&gt;0),1,0))</f>
        <v/>
      </c>
      <c r="W243" s="31">
        <f>IF($S243=0,0,1-$Y243)</f>
        <v/>
      </c>
      <c r="X243" s="31">
        <f>IF(OR($Y243=0,$U243&lt;&gt;1,$D$17=""),0,IF(AND(INDEX(Register!$B$6:$B$305,$T243)="Project",N(INDEX(Register!$U$6:$U$305,$T243))&gt;0,$D243&gt;N(INDEX(Register!$U$6:$U$305,$T243))),1,0))</f>
        <v/>
      </c>
      <c r="Y243" s="31">
        <f>IF($S243=0,0,IF(AND($V243=1,$T243&gt;0,$U243&gt;0,$AA243=1),1,0))</f>
        <v/>
      </c>
      <c r="Z243" s="31">
        <f>IF(OR($Y243=0,$D$17=""),0,$E243*MAX(0,(MIN($D243,$P$17)-MAX($C243,$D$17))/7+1))</f>
        <v/>
      </c>
      <c r="AA243" s="31">
        <f>IF($S243=0,0,IF(AND(ISNUMBER($C243),ISNUMBER($D243),ISNUMBER($E243)),IF(AND(WEEKDAY($C243,2)=1,WEEKDAY($D243,2)=1,$D243&gt;=$C243,$E243&gt;=0,$E243&lt;=7),1,0),0))</f>
        <v/>
      </c>
      <c r="BN243" s="31">
        <f>IF(IFERROR(INDEX(Register!$A$6:$A$305,ROW()-5),"")="",0,SUMIF($A$139:$A$288,IFERROR(INDEX(Register!$A$6:$A$305,ROW()-5),""),$Z$139:$Z$288))</f>
        <v/>
      </c>
      <c r="BO243" s="31">
        <f>IF(OR(IFERROR(INDEX(Register!$A$6:$A$305,ROW()-5),"")="",SUM($Z$139:$Z$288)=0),0,IF(AND(IFERROR(INDEX(Register!$B$6:$B$305,ROW()-5),"")="Project",IFERROR(INDEX(Register!$D$6:$D$305,ROW()-5),"")="Active",IFERROR(INDEX(Register!$Z$6:$Z$305,ROW()-5),"")=1,$BN243=0),1,0))</f>
        <v/>
      </c>
      <c r="BP243" s="31">
        <f>IF(AND(IFERROR(INDEX(Register!$A$6:$A$305,ROW()-5),"")&lt;&gt;"",IFERROR(INDEX(Register!$D$6:$D$305,ROW()-5),"")="Proposed"),$BN243,0)</f>
        <v/>
      </c>
    </row>
    <row r="244">
      <c r="A244" s="29" t="n"/>
      <c r="B244" s="29" t="n"/>
      <c r="C244" s="53" t="n"/>
      <c r="D244" s="53" t="n"/>
      <c r="E244" s="48" t="n"/>
      <c r="F244" s="31">
        <f>IF($S244=0,"",IF($V244=0,"△ Person not on People",IF($T244=0,"△ Row not on the Register",IF($U244=0,"△ Register row has no Status",IF($AA244=0,"△ From, To or days missing or not valid",IF($U244=3,"△ Row is Completed or Terminated. Clear the line.",IF($X244=1,"△ Booked past the forecast date",IF($U244=2,"○ Pencilled in","○ Clear"))))))))</f>
        <v/>
      </c>
      <c r="S244" s="31">
        <f>IF(COUNTA($A244:$E244)&gt;0,1,0)</f>
        <v/>
      </c>
      <c r="T244" s="31">
        <f>IF($A244="",0,IFERROR(MATCH($A244,Register!$A$6:$A$305,0),0))</f>
        <v/>
      </c>
      <c r="U244" s="31">
        <f>IF($T244=0,0,IF(INDEX(Register!$Q$6:$Q$305,$T244)=1,1,IF(INDEX(Register!$D$6:$D$305,$T244)="Proposed",2,IF(OR(INDEX(Register!$D$6:$D$305,$T244)="Completed",INDEX(Register!$D$6:$D$305,$T244)="Terminated"),3,0))))</f>
        <v/>
      </c>
      <c r="V244" s="31">
        <f>IF($B244="",0,IF(OR($B244="Outside team",COUNTIF($A$63:$A$102,$B244)&gt;0),1,0))</f>
        <v/>
      </c>
      <c r="W244" s="31">
        <f>IF($S244=0,0,1-$Y244)</f>
        <v/>
      </c>
      <c r="X244" s="31">
        <f>IF(OR($Y244=0,$U244&lt;&gt;1,$D$17=""),0,IF(AND(INDEX(Register!$B$6:$B$305,$T244)="Project",N(INDEX(Register!$U$6:$U$305,$T244))&gt;0,$D244&gt;N(INDEX(Register!$U$6:$U$305,$T244))),1,0))</f>
        <v/>
      </c>
      <c r="Y244" s="31">
        <f>IF($S244=0,0,IF(AND($V244=1,$T244&gt;0,$U244&gt;0,$AA244=1),1,0))</f>
        <v/>
      </c>
      <c r="Z244" s="31">
        <f>IF(OR($Y244=0,$D$17=""),0,$E244*MAX(0,(MIN($D244,$P$17)-MAX($C244,$D$17))/7+1))</f>
        <v/>
      </c>
      <c r="AA244" s="31">
        <f>IF($S244=0,0,IF(AND(ISNUMBER($C244),ISNUMBER($D244),ISNUMBER($E244)),IF(AND(WEEKDAY($C244,2)=1,WEEKDAY($D244,2)=1,$D244&gt;=$C244,$E244&gt;=0,$E244&lt;=7),1,0),0))</f>
        <v/>
      </c>
      <c r="BN244" s="31">
        <f>IF(IFERROR(INDEX(Register!$A$6:$A$305,ROW()-5),"")="",0,SUMIF($A$139:$A$288,IFERROR(INDEX(Register!$A$6:$A$305,ROW()-5),""),$Z$139:$Z$288))</f>
        <v/>
      </c>
      <c r="BO244" s="31">
        <f>IF(OR(IFERROR(INDEX(Register!$A$6:$A$305,ROW()-5),"")="",SUM($Z$139:$Z$288)=0),0,IF(AND(IFERROR(INDEX(Register!$B$6:$B$305,ROW()-5),"")="Project",IFERROR(INDEX(Register!$D$6:$D$305,ROW()-5),"")="Active",IFERROR(INDEX(Register!$Z$6:$Z$305,ROW()-5),"")=1,$BN244=0),1,0))</f>
        <v/>
      </c>
      <c r="BP244" s="31">
        <f>IF(AND(IFERROR(INDEX(Register!$A$6:$A$305,ROW()-5),"")&lt;&gt;"",IFERROR(INDEX(Register!$D$6:$D$305,ROW()-5),"")="Proposed"),$BN244,0)</f>
        <v/>
      </c>
    </row>
    <row r="245">
      <c r="A245" s="29" t="n"/>
      <c r="B245" s="29" t="n"/>
      <c r="C245" s="53" t="n"/>
      <c r="D245" s="53" t="n"/>
      <c r="E245" s="48" t="n"/>
      <c r="F245" s="31">
        <f>IF($S245=0,"",IF($V245=0,"△ Person not on People",IF($T245=0,"△ Row not on the Register",IF($U245=0,"△ Register row has no Status",IF($AA245=0,"△ From, To or days missing or not valid",IF($U245=3,"△ Row is Completed or Terminated. Clear the line.",IF($X245=1,"△ Booked past the forecast date",IF($U245=2,"○ Pencilled in","○ Clear"))))))))</f>
        <v/>
      </c>
      <c r="S245" s="31">
        <f>IF(COUNTA($A245:$E245)&gt;0,1,0)</f>
        <v/>
      </c>
      <c r="T245" s="31">
        <f>IF($A245="",0,IFERROR(MATCH($A245,Register!$A$6:$A$305,0),0))</f>
        <v/>
      </c>
      <c r="U245" s="31">
        <f>IF($T245=0,0,IF(INDEX(Register!$Q$6:$Q$305,$T245)=1,1,IF(INDEX(Register!$D$6:$D$305,$T245)="Proposed",2,IF(OR(INDEX(Register!$D$6:$D$305,$T245)="Completed",INDEX(Register!$D$6:$D$305,$T245)="Terminated"),3,0))))</f>
        <v/>
      </c>
      <c r="V245" s="31">
        <f>IF($B245="",0,IF(OR($B245="Outside team",COUNTIF($A$63:$A$102,$B245)&gt;0),1,0))</f>
        <v/>
      </c>
      <c r="W245" s="31">
        <f>IF($S245=0,0,1-$Y245)</f>
        <v/>
      </c>
      <c r="X245" s="31">
        <f>IF(OR($Y245=0,$U245&lt;&gt;1,$D$17=""),0,IF(AND(INDEX(Register!$B$6:$B$305,$T245)="Project",N(INDEX(Register!$U$6:$U$305,$T245))&gt;0,$D245&gt;N(INDEX(Register!$U$6:$U$305,$T245))),1,0))</f>
        <v/>
      </c>
      <c r="Y245" s="31">
        <f>IF($S245=0,0,IF(AND($V245=1,$T245&gt;0,$U245&gt;0,$AA245=1),1,0))</f>
        <v/>
      </c>
      <c r="Z245" s="31">
        <f>IF(OR($Y245=0,$D$17=""),0,$E245*MAX(0,(MIN($D245,$P$17)-MAX($C245,$D$17))/7+1))</f>
        <v/>
      </c>
      <c r="AA245" s="31">
        <f>IF($S245=0,0,IF(AND(ISNUMBER($C245),ISNUMBER($D245),ISNUMBER($E245)),IF(AND(WEEKDAY($C245,2)=1,WEEKDAY($D245,2)=1,$D245&gt;=$C245,$E245&gt;=0,$E245&lt;=7),1,0),0))</f>
        <v/>
      </c>
      <c r="BN245" s="31">
        <f>IF(IFERROR(INDEX(Register!$A$6:$A$305,ROW()-5),"")="",0,SUMIF($A$139:$A$288,IFERROR(INDEX(Register!$A$6:$A$305,ROW()-5),""),$Z$139:$Z$288))</f>
        <v/>
      </c>
      <c r="BO245" s="31">
        <f>IF(OR(IFERROR(INDEX(Register!$A$6:$A$305,ROW()-5),"")="",SUM($Z$139:$Z$288)=0),0,IF(AND(IFERROR(INDEX(Register!$B$6:$B$305,ROW()-5),"")="Project",IFERROR(INDEX(Register!$D$6:$D$305,ROW()-5),"")="Active",IFERROR(INDEX(Register!$Z$6:$Z$305,ROW()-5),"")=1,$BN245=0),1,0))</f>
        <v/>
      </c>
      <c r="BP245" s="31">
        <f>IF(AND(IFERROR(INDEX(Register!$A$6:$A$305,ROW()-5),"")&lt;&gt;"",IFERROR(INDEX(Register!$D$6:$D$305,ROW()-5),"")="Proposed"),$BN245,0)</f>
        <v/>
      </c>
    </row>
    <row r="246">
      <c r="A246" s="29" t="n"/>
      <c r="B246" s="29" t="n"/>
      <c r="C246" s="53" t="n"/>
      <c r="D246" s="53" t="n"/>
      <c r="E246" s="48" t="n"/>
      <c r="F246" s="31">
        <f>IF($S246=0,"",IF($V246=0,"△ Person not on People",IF($T246=0,"△ Row not on the Register",IF($U246=0,"△ Register row has no Status",IF($AA246=0,"△ From, To or days missing or not valid",IF($U246=3,"△ Row is Completed or Terminated. Clear the line.",IF($X246=1,"△ Booked past the forecast date",IF($U246=2,"○ Pencilled in","○ Clear"))))))))</f>
        <v/>
      </c>
      <c r="S246" s="31">
        <f>IF(COUNTA($A246:$E246)&gt;0,1,0)</f>
        <v/>
      </c>
      <c r="T246" s="31">
        <f>IF($A246="",0,IFERROR(MATCH($A246,Register!$A$6:$A$305,0),0))</f>
        <v/>
      </c>
      <c r="U246" s="31">
        <f>IF($T246=0,0,IF(INDEX(Register!$Q$6:$Q$305,$T246)=1,1,IF(INDEX(Register!$D$6:$D$305,$T246)="Proposed",2,IF(OR(INDEX(Register!$D$6:$D$305,$T246)="Completed",INDEX(Register!$D$6:$D$305,$T246)="Terminated"),3,0))))</f>
        <v/>
      </c>
      <c r="V246" s="31">
        <f>IF($B246="",0,IF(OR($B246="Outside team",COUNTIF($A$63:$A$102,$B246)&gt;0),1,0))</f>
        <v/>
      </c>
      <c r="W246" s="31">
        <f>IF($S246=0,0,1-$Y246)</f>
        <v/>
      </c>
      <c r="X246" s="31">
        <f>IF(OR($Y246=0,$U246&lt;&gt;1,$D$17=""),0,IF(AND(INDEX(Register!$B$6:$B$305,$T246)="Project",N(INDEX(Register!$U$6:$U$305,$T246))&gt;0,$D246&gt;N(INDEX(Register!$U$6:$U$305,$T246))),1,0))</f>
        <v/>
      </c>
      <c r="Y246" s="31">
        <f>IF($S246=0,0,IF(AND($V246=1,$T246&gt;0,$U246&gt;0,$AA246=1),1,0))</f>
        <v/>
      </c>
      <c r="Z246" s="31">
        <f>IF(OR($Y246=0,$D$17=""),0,$E246*MAX(0,(MIN($D246,$P$17)-MAX($C246,$D$17))/7+1))</f>
        <v/>
      </c>
      <c r="AA246" s="31">
        <f>IF($S246=0,0,IF(AND(ISNUMBER($C246),ISNUMBER($D246),ISNUMBER($E246)),IF(AND(WEEKDAY($C246,2)=1,WEEKDAY($D246,2)=1,$D246&gt;=$C246,$E246&gt;=0,$E246&lt;=7),1,0),0))</f>
        <v/>
      </c>
      <c r="BN246" s="31">
        <f>IF(IFERROR(INDEX(Register!$A$6:$A$305,ROW()-5),"")="",0,SUMIF($A$139:$A$288,IFERROR(INDEX(Register!$A$6:$A$305,ROW()-5),""),$Z$139:$Z$288))</f>
        <v/>
      </c>
      <c r="BO246" s="31">
        <f>IF(OR(IFERROR(INDEX(Register!$A$6:$A$305,ROW()-5),"")="",SUM($Z$139:$Z$288)=0),0,IF(AND(IFERROR(INDEX(Register!$B$6:$B$305,ROW()-5),"")="Project",IFERROR(INDEX(Register!$D$6:$D$305,ROW()-5),"")="Active",IFERROR(INDEX(Register!$Z$6:$Z$305,ROW()-5),"")=1,$BN246=0),1,0))</f>
        <v/>
      </c>
      <c r="BP246" s="31">
        <f>IF(AND(IFERROR(INDEX(Register!$A$6:$A$305,ROW()-5),"")&lt;&gt;"",IFERROR(INDEX(Register!$D$6:$D$305,ROW()-5),"")="Proposed"),$BN246,0)</f>
        <v/>
      </c>
    </row>
    <row r="247">
      <c r="A247" s="29" t="n"/>
      <c r="B247" s="29" t="n"/>
      <c r="C247" s="53" t="n"/>
      <c r="D247" s="53" t="n"/>
      <c r="E247" s="48" t="n"/>
      <c r="F247" s="31">
        <f>IF($S247=0,"",IF($V247=0,"△ Person not on People",IF($T247=0,"△ Row not on the Register",IF($U247=0,"△ Register row has no Status",IF($AA247=0,"△ From, To or days missing or not valid",IF($U247=3,"△ Row is Completed or Terminated. Clear the line.",IF($X247=1,"△ Booked past the forecast date",IF($U247=2,"○ Pencilled in","○ Clear"))))))))</f>
        <v/>
      </c>
      <c r="S247" s="31">
        <f>IF(COUNTA($A247:$E247)&gt;0,1,0)</f>
        <v/>
      </c>
      <c r="T247" s="31">
        <f>IF($A247="",0,IFERROR(MATCH($A247,Register!$A$6:$A$305,0),0))</f>
        <v/>
      </c>
      <c r="U247" s="31">
        <f>IF($T247=0,0,IF(INDEX(Register!$Q$6:$Q$305,$T247)=1,1,IF(INDEX(Register!$D$6:$D$305,$T247)="Proposed",2,IF(OR(INDEX(Register!$D$6:$D$305,$T247)="Completed",INDEX(Register!$D$6:$D$305,$T247)="Terminated"),3,0))))</f>
        <v/>
      </c>
      <c r="V247" s="31">
        <f>IF($B247="",0,IF(OR($B247="Outside team",COUNTIF($A$63:$A$102,$B247)&gt;0),1,0))</f>
        <v/>
      </c>
      <c r="W247" s="31">
        <f>IF($S247=0,0,1-$Y247)</f>
        <v/>
      </c>
      <c r="X247" s="31">
        <f>IF(OR($Y247=0,$U247&lt;&gt;1,$D$17=""),0,IF(AND(INDEX(Register!$B$6:$B$305,$T247)="Project",N(INDEX(Register!$U$6:$U$305,$T247))&gt;0,$D247&gt;N(INDEX(Register!$U$6:$U$305,$T247))),1,0))</f>
        <v/>
      </c>
      <c r="Y247" s="31">
        <f>IF($S247=0,0,IF(AND($V247=1,$T247&gt;0,$U247&gt;0,$AA247=1),1,0))</f>
        <v/>
      </c>
      <c r="Z247" s="31">
        <f>IF(OR($Y247=0,$D$17=""),0,$E247*MAX(0,(MIN($D247,$P$17)-MAX($C247,$D$17))/7+1))</f>
        <v/>
      </c>
      <c r="AA247" s="31">
        <f>IF($S247=0,0,IF(AND(ISNUMBER($C247),ISNUMBER($D247),ISNUMBER($E247)),IF(AND(WEEKDAY($C247,2)=1,WEEKDAY($D247,2)=1,$D247&gt;=$C247,$E247&gt;=0,$E247&lt;=7),1,0),0))</f>
        <v/>
      </c>
      <c r="BN247" s="31">
        <f>IF(IFERROR(INDEX(Register!$A$6:$A$305,ROW()-5),"")="",0,SUMIF($A$139:$A$288,IFERROR(INDEX(Register!$A$6:$A$305,ROW()-5),""),$Z$139:$Z$288))</f>
        <v/>
      </c>
      <c r="BO247" s="31">
        <f>IF(OR(IFERROR(INDEX(Register!$A$6:$A$305,ROW()-5),"")="",SUM($Z$139:$Z$288)=0),0,IF(AND(IFERROR(INDEX(Register!$B$6:$B$305,ROW()-5),"")="Project",IFERROR(INDEX(Register!$D$6:$D$305,ROW()-5),"")="Active",IFERROR(INDEX(Register!$Z$6:$Z$305,ROW()-5),"")=1,$BN247=0),1,0))</f>
        <v/>
      </c>
      <c r="BP247" s="31">
        <f>IF(AND(IFERROR(INDEX(Register!$A$6:$A$305,ROW()-5),"")&lt;&gt;"",IFERROR(INDEX(Register!$D$6:$D$305,ROW()-5),"")="Proposed"),$BN247,0)</f>
        <v/>
      </c>
    </row>
    <row r="248">
      <c r="A248" s="29" t="n"/>
      <c r="B248" s="29" t="n"/>
      <c r="C248" s="53" t="n"/>
      <c r="D248" s="53" t="n"/>
      <c r="E248" s="48" t="n"/>
      <c r="F248" s="31">
        <f>IF($S248=0,"",IF($V248=0,"△ Person not on People",IF($T248=0,"△ Row not on the Register",IF($U248=0,"△ Register row has no Status",IF($AA248=0,"△ From, To or days missing or not valid",IF($U248=3,"△ Row is Completed or Terminated. Clear the line.",IF($X248=1,"△ Booked past the forecast date",IF($U248=2,"○ Pencilled in","○ Clear"))))))))</f>
        <v/>
      </c>
      <c r="S248" s="31">
        <f>IF(COUNTA($A248:$E248)&gt;0,1,0)</f>
        <v/>
      </c>
      <c r="T248" s="31">
        <f>IF($A248="",0,IFERROR(MATCH($A248,Register!$A$6:$A$305,0),0))</f>
        <v/>
      </c>
      <c r="U248" s="31">
        <f>IF($T248=0,0,IF(INDEX(Register!$Q$6:$Q$305,$T248)=1,1,IF(INDEX(Register!$D$6:$D$305,$T248)="Proposed",2,IF(OR(INDEX(Register!$D$6:$D$305,$T248)="Completed",INDEX(Register!$D$6:$D$305,$T248)="Terminated"),3,0))))</f>
        <v/>
      </c>
      <c r="V248" s="31">
        <f>IF($B248="",0,IF(OR($B248="Outside team",COUNTIF($A$63:$A$102,$B248)&gt;0),1,0))</f>
        <v/>
      </c>
      <c r="W248" s="31">
        <f>IF($S248=0,0,1-$Y248)</f>
        <v/>
      </c>
      <c r="X248" s="31">
        <f>IF(OR($Y248=0,$U248&lt;&gt;1,$D$17=""),0,IF(AND(INDEX(Register!$B$6:$B$305,$T248)="Project",N(INDEX(Register!$U$6:$U$305,$T248))&gt;0,$D248&gt;N(INDEX(Register!$U$6:$U$305,$T248))),1,0))</f>
        <v/>
      </c>
      <c r="Y248" s="31">
        <f>IF($S248=0,0,IF(AND($V248=1,$T248&gt;0,$U248&gt;0,$AA248=1),1,0))</f>
        <v/>
      </c>
      <c r="Z248" s="31">
        <f>IF(OR($Y248=0,$D$17=""),0,$E248*MAX(0,(MIN($D248,$P$17)-MAX($C248,$D$17))/7+1))</f>
        <v/>
      </c>
      <c r="AA248" s="31">
        <f>IF($S248=0,0,IF(AND(ISNUMBER($C248),ISNUMBER($D248),ISNUMBER($E248)),IF(AND(WEEKDAY($C248,2)=1,WEEKDAY($D248,2)=1,$D248&gt;=$C248,$E248&gt;=0,$E248&lt;=7),1,0),0))</f>
        <v/>
      </c>
      <c r="BN248" s="31">
        <f>IF(IFERROR(INDEX(Register!$A$6:$A$305,ROW()-5),"")="",0,SUMIF($A$139:$A$288,IFERROR(INDEX(Register!$A$6:$A$305,ROW()-5),""),$Z$139:$Z$288))</f>
        <v/>
      </c>
      <c r="BO248" s="31">
        <f>IF(OR(IFERROR(INDEX(Register!$A$6:$A$305,ROW()-5),"")="",SUM($Z$139:$Z$288)=0),0,IF(AND(IFERROR(INDEX(Register!$B$6:$B$305,ROW()-5),"")="Project",IFERROR(INDEX(Register!$D$6:$D$305,ROW()-5),"")="Active",IFERROR(INDEX(Register!$Z$6:$Z$305,ROW()-5),"")=1,$BN248=0),1,0))</f>
        <v/>
      </c>
      <c r="BP248" s="31">
        <f>IF(AND(IFERROR(INDEX(Register!$A$6:$A$305,ROW()-5),"")&lt;&gt;"",IFERROR(INDEX(Register!$D$6:$D$305,ROW()-5),"")="Proposed"),$BN248,0)</f>
        <v/>
      </c>
    </row>
    <row r="249">
      <c r="A249" s="29" t="n"/>
      <c r="B249" s="29" t="n"/>
      <c r="C249" s="53" t="n"/>
      <c r="D249" s="53" t="n"/>
      <c r="E249" s="48" t="n"/>
      <c r="F249" s="31">
        <f>IF($S249=0,"",IF($V249=0,"△ Person not on People",IF($T249=0,"△ Row not on the Register",IF($U249=0,"△ Register row has no Status",IF($AA249=0,"△ From, To or days missing or not valid",IF($U249=3,"△ Row is Completed or Terminated. Clear the line.",IF($X249=1,"△ Booked past the forecast date",IF($U249=2,"○ Pencilled in","○ Clear"))))))))</f>
        <v/>
      </c>
      <c r="S249" s="31">
        <f>IF(COUNTA($A249:$E249)&gt;0,1,0)</f>
        <v/>
      </c>
      <c r="T249" s="31">
        <f>IF($A249="",0,IFERROR(MATCH($A249,Register!$A$6:$A$305,0),0))</f>
        <v/>
      </c>
      <c r="U249" s="31">
        <f>IF($T249=0,0,IF(INDEX(Register!$Q$6:$Q$305,$T249)=1,1,IF(INDEX(Register!$D$6:$D$305,$T249)="Proposed",2,IF(OR(INDEX(Register!$D$6:$D$305,$T249)="Completed",INDEX(Register!$D$6:$D$305,$T249)="Terminated"),3,0))))</f>
        <v/>
      </c>
      <c r="V249" s="31">
        <f>IF($B249="",0,IF(OR($B249="Outside team",COUNTIF($A$63:$A$102,$B249)&gt;0),1,0))</f>
        <v/>
      </c>
      <c r="W249" s="31">
        <f>IF($S249=0,0,1-$Y249)</f>
        <v/>
      </c>
      <c r="X249" s="31">
        <f>IF(OR($Y249=0,$U249&lt;&gt;1,$D$17=""),0,IF(AND(INDEX(Register!$B$6:$B$305,$T249)="Project",N(INDEX(Register!$U$6:$U$305,$T249))&gt;0,$D249&gt;N(INDEX(Register!$U$6:$U$305,$T249))),1,0))</f>
        <v/>
      </c>
      <c r="Y249" s="31">
        <f>IF($S249=0,0,IF(AND($V249=1,$T249&gt;0,$U249&gt;0,$AA249=1),1,0))</f>
        <v/>
      </c>
      <c r="Z249" s="31">
        <f>IF(OR($Y249=0,$D$17=""),0,$E249*MAX(0,(MIN($D249,$P$17)-MAX($C249,$D$17))/7+1))</f>
        <v/>
      </c>
      <c r="AA249" s="31">
        <f>IF($S249=0,0,IF(AND(ISNUMBER($C249),ISNUMBER($D249),ISNUMBER($E249)),IF(AND(WEEKDAY($C249,2)=1,WEEKDAY($D249,2)=1,$D249&gt;=$C249,$E249&gt;=0,$E249&lt;=7),1,0),0))</f>
        <v/>
      </c>
      <c r="BN249" s="31">
        <f>IF(IFERROR(INDEX(Register!$A$6:$A$305,ROW()-5),"")="",0,SUMIF($A$139:$A$288,IFERROR(INDEX(Register!$A$6:$A$305,ROW()-5),""),$Z$139:$Z$288))</f>
        <v/>
      </c>
      <c r="BO249" s="31">
        <f>IF(OR(IFERROR(INDEX(Register!$A$6:$A$305,ROW()-5),"")="",SUM($Z$139:$Z$288)=0),0,IF(AND(IFERROR(INDEX(Register!$B$6:$B$305,ROW()-5),"")="Project",IFERROR(INDEX(Register!$D$6:$D$305,ROW()-5),"")="Active",IFERROR(INDEX(Register!$Z$6:$Z$305,ROW()-5),"")=1,$BN249=0),1,0))</f>
        <v/>
      </c>
      <c r="BP249" s="31">
        <f>IF(AND(IFERROR(INDEX(Register!$A$6:$A$305,ROW()-5),"")&lt;&gt;"",IFERROR(INDEX(Register!$D$6:$D$305,ROW()-5),"")="Proposed"),$BN249,0)</f>
        <v/>
      </c>
    </row>
    <row r="250">
      <c r="A250" s="29" t="n"/>
      <c r="B250" s="29" t="n"/>
      <c r="C250" s="53" t="n"/>
      <c r="D250" s="53" t="n"/>
      <c r="E250" s="48" t="n"/>
      <c r="F250" s="31">
        <f>IF($S250=0,"",IF($V250=0,"△ Person not on People",IF($T250=0,"△ Row not on the Register",IF($U250=0,"△ Register row has no Status",IF($AA250=0,"△ From, To or days missing or not valid",IF($U250=3,"△ Row is Completed or Terminated. Clear the line.",IF($X250=1,"△ Booked past the forecast date",IF($U250=2,"○ Pencilled in","○ Clear"))))))))</f>
        <v/>
      </c>
      <c r="S250" s="31">
        <f>IF(COUNTA($A250:$E250)&gt;0,1,0)</f>
        <v/>
      </c>
      <c r="T250" s="31">
        <f>IF($A250="",0,IFERROR(MATCH($A250,Register!$A$6:$A$305,0),0))</f>
        <v/>
      </c>
      <c r="U250" s="31">
        <f>IF($T250=0,0,IF(INDEX(Register!$Q$6:$Q$305,$T250)=1,1,IF(INDEX(Register!$D$6:$D$305,$T250)="Proposed",2,IF(OR(INDEX(Register!$D$6:$D$305,$T250)="Completed",INDEX(Register!$D$6:$D$305,$T250)="Terminated"),3,0))))</f>
        <v/>
      </c>
      <c r="V250" s="31">
        <f>IF($B250="",0,IF(OR($B250="Outside team",COUNTIF($A$63:$A$102,$B250)&gt;0),1,0))</f>
        <v/>
      </c>
      <c r="W250" s="31">
        <f>IF($S250=0,0,1-$Y250)</f>
        <v/>
      </c>
      <c r="X250" s="31">
        <f>IF(OR($Y250=0,$U250&lt;&gt;1,$D$17=""),0,IF(AND(INDEX(Register!$B$6:$B$305,$T250)="Project",N(INDEX(Register!$U$6:$U$305,$T250))&gt;0,$D250&gt;N(INDEX(Register!$U$6:$U$305,$T250))),1,0))</f>
        <v/>
      </c>
      <c r="Y250" s="31">
        <f>IF($S250=0,0,IF(AND($V250=1,$T250&gt;0,$U250&gt;0,$AA250=1),1,0))</f>
        <v/>
      </c>
      <c r="Z250" s="31">
        <f>IF(OR($Y250=0,$D$17=""),0,$E250*MAX(0,(MIN($D250,$P$17)-MAX($C250,$D$17))/7+1))</f>
        <v/>
      </c>
      <c r="AA250" s="31">
        <f>IF($S250=0,0,IF(AND(ISNUMBER($C250),ISNUMBER($D250),ISNUMBER($E250)),IF(AND(WEEKDAY($C250,2)=1,WEEKDAY($D250,2)=1,$D250&gt;=$C250,$E250&gt;=0,$E250&lt;=7),1,0),0))</f>
        <v/>
      </c>
      <c r="BN250" s="31">
        <f>IF(IFERROR(INDEX(Register!$A$6:$A$305,ROW()-5),"")="",0,SUMIF($A$139:$A$288,IFERROR(INDEX(Register!$A$6:$A$305,ROW()-5),""),$Z$139:$Z$288))</f>
        <v/>
      </c>
      <c r="BO250" s="31">
        <f>IF(OR(IFERROR(INDEX(Register!$A$6:$A$305,ROW()-5),"")="",SUM($Z$139:$Z$288)=0),0,IF(AND(IFERROR(INDEX(Register!$B$6:$B$305,ROW()-5),"")="Project",IFERROR(INDEX(Register!$D$6:$D$305,ROW()-5),"")="Active",IFERROR(INDEX(Register!$Z$6:$Z$305,ROW()-5),"")=1,$BN250=0),1,0))</f>
        <v/>
      </c>
      <c r="BP250" s="31">
        <f>IF(AND(IFERROR(INDEX(Register!$A$6:$A$305,ROW()-5),"")&lt;&gt;"",IFERROR(INDEX(Register!$D$6:$D$305,ROW()-5),"")="Proposed"),$BN250,0)</f>
        <v/>
      </c>
    </row>
    <row r="251">
      <c r="A251" s="29" t="n"/>
      <c r="B251" s="29" t="n"/>
      <c r="C251" s="53" t="n"/>
      <c r="D251" s="53" t="n"/>
      <c r="E251" s="48" t="n"/>
      <c r="F251" s="31">
        <f>IF($S251=0,"",IF($V251=0,"△ Person not on People",IF($T251=0,"△ Row not on the Register",IF($U251=0,"△ Register row has no Status",IF($AA251=0,"△ From, To or days missing or not valid",IF($U251=3,"△ Row is Completed or Terminated. Clear the line.",IF($X251=1,"△ Booked past the forecast date",IF($U251=2,"○ Pencilled in","○ Clear"))))))))</f>
        <v/>
      </c>
      <c r="S251" s="31">
        <f>IF(COUNTA($A251:$E251)&gt;0,1,0)</f>
        <v/>
      </c>
      <c r="T251" s="31">
        <f>IF($A251="",0,IFERROR(MATCH($A251,Register!$A$6:$A$305,0),0))</f>
        <v/>
      </c>
      <c r="U251" s="31">
        <f>IF($T251=0,0,IF(INDEX(Register!$Q$6:$Q$305,$T251)=1,1,IF(INDEX(Register!$D$6:$D$305,$T251)="Proposed",2,IF(OR(INDEX(Register!$D$6:$D$305,$T251)="Completed",INDEX(Register!$D$6:$D$305,$T251)="Terminated"),3,0))))</f>
        <v/>
      </c>
      <c r="V251" s="31">
        <f>IF($B251="",0,IF(OR($B251="Outside team",COUNTIF($A$63:$A$102,$B251)&gt;0),1,0))</f>
        <v/>
      </c>
      <c r="W251" s="31">
        <f>IF($S251=0,0,1-$Y251)</f>
        <v/>
      </c>
      <c r="X251" s="31">
        <f>IF(OR($Y251=0,$U251&lt;&gt;1,$D$17=""),0,IF(AND(INDEX(Register!$B$6:$B$305,$T251)="Project",N(INDEX(Register!$U$6:$U$305,$T251))&gt;0,$D251&gt;N(INDEX(Register!$U$6:$U$305,$T251))),1,0))</f>
        <v/>
      </c>
      <c r="Y251" s="31">
        <f>IF($S251=0,0,IF(AND($V251=1,$T251&gt;0,$U251&gt;0,$AA251=1),1,0))</f>
        <v/>
      </c>
      <c r="Z251" s="31">
        <f>IF(OR($Y251=0,$D$17=""),0,$E251*MAX(0,(MIN($D251,$P$17)-MAX($C251,$D$17))/7+1))</f>
        <v/>
      </c>
      <c r="AA251" s="31">
        <f>IF($S251=0,0,IF(AND(ISNUMBER($C251),ISNUMBER($D251),ISNUMBER($E251)),IF(AND(WEEKDAY($C251,2)=1,WEEKDAY($D251,2)=1,$D251&gt;=$C251,$E251&gt;=0,$E251&lt;=7),1,0),0))</f>
        <v/>
      </c>
      <c r="BN251" s="31">
        <f>IF(IFERROR(INDEX(Register!$A$6:$A$305,ROW()-5),"")="",0,SUMIF($A$139:$A$288,IFERROR(INDEX(Register!$A$6:$A$305,ROW()-5),""),$Z$139:$Z$288))</f>
        <v/>
      </c>
      <c r="BO251" s="31">
        <f>IF(OR(IFERROR(INDEX(Register!$A$6:$A$305,ROW()-5),"")="",SUM($Z$139:$Z$288)=0),0,IF(AND(IFERROR(INDEX(Register!$B$6:$B$305,ROW()-5),"")="Project",IFERROR(INDEX(Register!$D$6:$D$305,ROW()-5),"")="Active",IFERROR(INDEX(Register!$Z$6:$Z$305,ROW()-5),"")=1,$BN251=0),1,0))</f>
        <v/>
      </c>
      <c r="BP251" s="31">
        <f>IF(AND(IFERROR(INDEX(Register!$A$6:$A$305,ROW()-5),"")&lt;&gt;"",IFERROR(INDEX(Register!$D$6:$D$305,ROW()-5),"")="Proposed"),$BN251,0)</f>
        <v/>
      </c>
    </row>
    <row r="252">
      <c r="A252" s="29" t="n"/>
      <c r="B252" s="29" t="n"/>
      <c r="C252" s="53" t="n"/>
      <c r="D252" s="53" t="n"/>
      <c r="E252" s="48" t="n"/>
      <c r="F252" s="31">
        <f>IF($S252=0,"",IF($V252=0,"△ Person not on People",IF($T252=0,"△ Row not on the Register",IF($U252=0,"△ Register row has no Status",IF($AA252=0,"△ From, To or days missing or not valid",IF($U252=3,"△ Row is Completed or Terminated. Clear the line.",IF($X252=1,"△ Booked past the forecast date",IF($U252=2,"○ Pencilled in","○ Clear"))))))))</f>
        <v/>
      </c>
      <c r="S252" s="31">
        <f>IF(COUNTA($A252:$E252)&gt;0,1,0)</f>
        <v/>
      </c>
      <c r="T252" s="31">
        <f>IF($A252="",0,IFERROR(MATCH($A252,Register!$A$6:$A$305,0),0))</f>
        <v/>
      </c>
      <c r="U252" s="31">
        <f>IF($T252=0,0,IF(INDEX(Register!$Q$6:$Q$305,$T252)=1,1,IF(INDEX(Register!$D$6:$D$305,$T252)="Proposed",2,IF(OR(INDEX(Register!$D$6:$D$305,$T252)="Completed",INDEX(Register!$D$6:$D$305,$T252)="Terminated"),3,0))))</f>
        <v/>
      </c>
      <c r="V252" s="31">
        <f>IF($B252="",0,IF(OR($B252="Outside team",COUNTIF($A$63:$A$102,$B252)&gt;0),1,0))</f>
        <v/>
      </c>
      <c r="W252" s="31">
        <f>IF($S252=0,0,1-$Y252)</f>
        <v/>
      </c>
      <c r="X252" s="31">
        <f>IF(OR($Y252=0,$U252&lt;&gt;1,$D$17=""),0,IF(AND(INDEX(Register!$B$6:$B$305,$T252)="Project",N(INDEX(Register!$U$6:$U$305,$T252))&gt;0,$D252&gt;N(INDEX(Register!$U$6:$U$305,$T252))),1,0))</f>
        <v/>
      </c>
      <c r="Y252" s="31">
        <f>IF($S252=0,0,IF(AND($V252=1,$T252&gt;0,$U252&gt;0,$AA252=1),1,0))</f>
        <v/>
      </c>
      <c r="Z252" s="31">
        <f>IF(OR($Y252=0,$D$17=""),0,$E252*MAX(0,(MIN($D252,$P$17)-MAX($C252,$D$17))/7+1))</f>
        <v/>
      </c>
      <c r="AA252" s="31">
        <f>IF($S252=0,0,IF(AND(ISNUMBER($C252),ISNUMBER($D252),ISNUMBER($E252)),IF(AND(WEEKDAY($C252,2)=1,WEEKDAY($D252,2)=1,$D252&gt;=$C252,$E252&gt;=0,$E252&lt;=7),1,0),0))</f>
        <v/>
      </c>
      <c r="BN252" s="31">
        <f>IF(IFERROR(INDEX(Register!$A$6:$A$305,ROW()-5),"")="",0,SUMIF($A$139:$A$288,IFERROR(INDEX(Register!$A$6:$A$305,ROW()-5),""),$Z$139:$Z$288))</f>
        <v/>
      </c>
      <c r="BO252" s="31">
        <f>IF(OR(IFERROR(INDEX(Register!$A$6:$A$305,ROW()-5),"")="",SUM($Z$139:$Z$288)=0),0,IF(AND(IFERROR(INDEX(Register!$B$6:$B$305,ROW()-5),"")="Project",IFERROR(INDEX(Register!$D$6:$D$305,ROW()-5),"")="Active",IFERROR(INDEX(Register!$Z$6:$Z$305,ROW()-5),"")=1,$BN252=0),1,0))</f>
        <v/>
      </c>
      <c r="BP252" s="31">
        <f>IF(AND(IFERROR(INDEX(Register!$A$6:$A$305,ROW()-5),"")&lt;&gt;"",IFERROR(INDEX(Register!$D$6:$D$305,ROW()-5),"")="Proposed"),$BN252,0)</f>
        <v/>
      </c>
    </row>
    <row r="253">
      <c r="A253" s="29" t="n"/>
      <c r="B253" s="29" t="n"/>
      <c r="C253" s="53" t="n"/>
      <c r="D253" s="53" t="n"/>
      <c r="E253" s="48" t="n"/>
      <c r="F253" s="31">
        <f>IF($S253=0,"",IF($V253=0,"△ Person not on People",IF($T253=0,"△ Row not on the Register",IF($U253=0,"△ Register row has no Status",IF($AA253=0,"△ From, To or days missing or not valid",IF($U253=3,"△ Row is Completed or Terminated. Clear the line.",IF($X253=1,"△ Booked past the forecast date",IF($U253=2,"○ Pencilled in","○ Clear"))))))))</f>
        <v/>
      </c>
      <c r="S253" s="31">
        <f>IF(COUNTA($A253:$E253)&gt;0,1,0)</f>
        <v/>
      </c>
      <c r="T253" s="31">
        <f>IF($A253="",0,IFERROR(MATCH($A253,Register!$A$6:$A$305,0),0))</f>
        <v/>
      </c>
      <c r="U253" s="31">
        <f>IF($T253=0,0,IF(INDEX(Register!$Q$6:$Q$305,$T253)=1,1,IF(INDEX(Register!$D$6:$D$305,$T253)="Proposed",2,IF(OR(INDEX(Register!$D$6:$D$305,$T253)="Completed",INDEX(Register!$D$6:$D$305,$T253)="Terminated"),3,0))))</f>
        <v/>
      </c>
      <c r="V253" s="31">
        <f>IF($B253="",0,IF(OR($B253="Outside team",COUNTIF($A$63:$A$102,$B253)&gt;0),1,0))</f>
        <v/>
      </c>
      <c r="W253" s="31">
        <f>IF($S253=0,0,1-$Y253)</f>
        <v/>
      </c>
      <c r="X253" s="31">
        <f>IF(OR($Y253=0,$U253&lt;&gt;1,$D$17=""),0,IF(AND(INDEX(Register!$B$6:$B$305,$T253)="Project",N(INDEX(Register!$U$6:$U$305,$T253))&gt;0,$D253&gt;N(INDEX(Register!$U$6:$U$305,$T253))),1,0))</f>
        <v/>
      </c>
      <c r="Y253" s="31">
        <f>IF($S253=0,0,IF(AND($V253=1,$T253&gt;0,$U253&gt;0,$AA253=1),1,0))</f>
        <v/>
      </c>
      <c r="Z253" s="31">
        <f>IF(OR($Y253=0,$D$17=""),0,$E253*MAX(0,(MIN($D253,$P$17)-MAX($C253,$D$17))/7+1))</f>
        <v/>
      </c>
      <c r="AA253" s="31">
        <f>IF($S253=0,0,IF(AND(ISNUMBER($C253),ISNUMBER($D253),ISNUMBER($E253)),IF(AND(WEEKDAY($C253,2)=1,WEEKDAY($D253,2)=1,$D253&gt;=$C253,$E253&gt;=0,$E253&lt;=7),1,0),0))</f>
        <v/>
      </c>
      <c r="BN253" s="31">
        <f>IF(IFERROR(INDEX(Register!$A$6:$A$305,ROW()-5),"")="",0,SUMIF($A$139:$A$288,IFERROR(INDEX(Register!$A$6:$A$305,ROW()-5),""),$Z$139:$Z$288))</f>
        <v/>
      </c>
      <c r="BO253" s="31">
        <f>IF(OR(IFERROR(INDEX(Register!$A$6:$A$305,ROW()-5),"")="",SUM($Z$139:$Z$288)=0),0,IF(AND(IFERROR(INDEX(Register!$B$6:$B$305,ROW()-5),"")="Project",IFERROR(INDEX(Register!$D$6:$D$305,ROW()-5),"")="Active",IFERROR(INDEX(Register!$Z$6:$Z$305,ROW()-5),"")=1,$BN253=0),1,0))</f>
        <v/>
      </c>
      <c r="BP253" s="31">
        <f>IF(AND(IFERROR(INDEX(Register!$A$6:$A$305,ROW()-5),"")&lt;&gt;"",IFERROR(INDEX(Register!$D$6:$D$305,ROW()-5),"")="Proposed"),$BN253,0)</f>
        <v/>
      </c>
    </row>
    <row r="254">
      <c r="A254" s="29" t="n"/>
      <c r="B254" s="29" t="n"/>
      <c r="C254" s="53" t="n"/>
      <c r="D254" s="53" t="n"/>
      <c r="E254" s="48" t="n"/>
      <c r="F254" s="31">
        <f>IF($S254=0,"",IF($V254=0,"△ Person not on People",IF($T254=0,"△ Row not on the Register",IF($U254=0,"△ Register row has no Status",IF($AA254=0,"△ From, To or days missing or not valid",IF($U254=3,"△ Row is Completed or Terminated. Clear the line.",IF($X254=1,"△ Booked past the forecast date",IF($U254=2,"○ Pencilled in","○ Clear"))))))))</f>
        <v/>
      </c>
      <c r="S254" s="31">
        <f>IF(COUNTA($A254:$E254)&gt;0,1,0)</f>
        <v/>
      </c>
      <c r="T254" s="31">
        <f>IF($A254="",0,IFERROR(MATCH($A254,Register!$A$6:$A$305,0),0))</f>
        <v/>
      </c>
      <c r="U254" s="31">
        <f>IF($T254=0,0,IF(INDEX(Register!$Q$6:$Q$305,$T254)=1,1,IF(INDEX(Register!$D$6:$D$305,$T254)="Proposed",2,IF(OR(INDEX(Register!$D$6:$D$305,$T254)="Completed",INDEX(Register!$D$6:$D$305,$T254)="Terminated"),3,0))))</f>
        <v/>
      </c>
      <c r="V254" s="31">
        <f>IF($B254="",0,IF(OR($B254="Outside team",COUNTIF($A$63:$A$102,$B254)&gt;0),1,0))</f>
        <v/>
      </c>
      <c r="W254" s="31">
        <f>IF($S254=0,0,1-$Y254)</f>
        <v/>
      </c>
      <c r="X254" s="31">
        <f>IF(OR($Y254=0,$U254&lt;&gt;1,$D$17=""),0,IF(AND(INDEX(Register!$B$6:$B$305,$T254)="Project",N(INDEX(Register!$U$6:$U$305,$T254))&gt;0,$D254&gt;N(INDEX(Register!$U$6:$U$305,$T254))),1,0))</f>
        <v/>
      </c>
      <c r="Y254" s="31">
        <f>IF($S254=0,0,IF(AND($V254=1,$T254&gt;0,$U254&gt;0,$AA254=1),1,0))</f>
        <v/>
      </c>
      <c r="Z254" s="31">
        <f>IF(OR($Y254=0,$D$17=""),0,$E254*MAX(0,(MIN($D254,$P$17)-MAX($C254,$D$17))/7+1))</f>
        <v/>
      </c>
      <c r="AA254" s="31">
        <f>IF($S254=0,0,IF(AND(ISNUMBER($C254),ISNUMBER($D254),ISNUMBER($E254)),IF(AND(WEEKDAY($C254,2)=1,WEEKDAY($D254,2)=1,$D254&gt;=$C254,$E254&gt;=0,$E254&lt;=7),1,0),0))</f>
        <v/>
      </c>
      <c r="BN254" s="31">
        <f>IF(IFERROR(INDEX(Register!$A$6:$A$305,ROW()-5),"")="",0,SUMIF($A$139:$A$288,IFERROR(INDEX(Register!$A$6:$A$305,ROW()-5),""),$Z$139:$Z$288))</f>
        <v/>
      </c>
      <c r="BO254" s="31">
        <f>IF(OR(IFERROR(INDEX(Register!$A$6:$A$305,ROW()-5),"")="",SUM($Z$139:$Z$288)=0),0,IF(AND(IFERROR(INDEX(Register!$B$6:$B$305,ROW()-5),"")="Project",IFERROR(INDEX(Register!$D$6:$D$305,ROW()-5),"")="Active",IFERROR(INDEX(Register!$Z$6:$Z$305,ROW()-5),"")=1,$BN254=0),1,0))</f>
        <v/>
      </c>
      <c r="BP254" s="31">
        <f>IF(AND(IFERROR(INDEX(Register!$A$6:$A$305,ROW()-5),"")&lt;&gt;"",IFERROR(INDEX(Register!$D$6:$D$305,ROW()-5),"")="Proposed"),$BN254,0)</f>
        <v/>
      </c>
    </row>
    <row r="255">
      <c r="A255" s="29" t="n"/>
      <c r="B255" s="29" t="n"/>
      <c r="C255" s="53" t="n"/>
      <c r="D255" s="53" t="n"/>
      <c r="E255" s="48" t="n"/>
      <c r="F255" s="31">
        <f>IF($S255=0,"",IF($V255=0,"△ Person not on People",IF($T255=0,"△ Row not on the Register",IF($U255=0,"△ Register row has no Status",IF($AA255=0,"△ From, To or days missing or not valid",IF($U255=3,"△ Row is Completed or Terminated. Clear the line.",IF($X255=1,"△ Booked past the forecast date",IF($U255=2,"○ Pencilled in","○ Clear"))))))))</f>
        <v/>
      </c>
      <c r="S255" s="31">
        <f>IF(COUNTA($A255:$E255)&gt;0,1,0)</f>
        <v/>
      </c>
      <c r="T255" s="31">
        <f>IF($A255="",0,IFERROR(MATCH($A255,Register!$A$6:$A$305,0),0))</f>
        <v/>
      </c>
      <c r="U255" s="31">
        <f>IF($T255=0,0,IF(INDEX(Register!$Q$6:$Q$305,$T255)=1,1,IF(INDEX(Register!$D$6:$D$305,$T255)="Proposed",2,IF(OR(INDEX(Register!$D$6:$D$305,$T255)="Completed",INDEX(Register!$D$6:$D$305,$T255)="Terminated"),3,0))))</f>
        <v/>
      </c>
      <c r="V255" s="31">
        <f>IF($B255="",0,IF(OR($B255="Outside team",COUNTIF($A$63:$A$102,$B255)&gt;0),1,0))</f>
        <v/>
      </c>
      <c r="W255" s="31">
        <f>IF($S255=0,0,1-$Y255)</f>
        <v/>
      </c>
      <c r="X255" s="31">
        <f>IF(OR($Y255=0,$U255&lt;&gt;1,$D$17=""),0,IF(AND(INDEX(Register!$B$6:$B$305,$T255)="Project",N(INDEX(Register!$U$6:$U$305,$T255))&gt;0,$D255&gt;N(INDEX(Register!$U$6:$U$305,$T255))),1,0))</f>
        <v/>
      </c>
      <c r="Y255" s="31">
        <f>IF($S255=0,0,IF(AND($V255=1,$T255&gt;0,$U255&gt;0,$AA255=1),1,0))</f>
        <v/>
      </c>
      <c r="Z255" s="31">
        <f>IF(OR($Y255=0,$D$17=""),0,$E255*MAX(0,(MIN($D255,$P$17)-MAX($C255,$D$17))/7+1))</f>
        <v/>
      </c>
      <c r="AA255" s="31">
        <f>IF($S255=0,0,IF(AND(ISNUMBER($C255),ISNUMBER($D255),ISNUMBER($E255)),IF(AND(WEEKDAY($C255,2)=1,WEEKDAY($D255,2)=1,$D255&gt;=$C255,$E255&gt;=0,$E255&lt;=7),1,0),0))</f>
        <v/>
      </c>
      <c r="BN255" s="31">
        <f>IF(IFERROR(INDEX(Register!$A$6:$A$305,ROW()-5),"")="",0,SUMIF($A$139:$A$288,IFERROR(INDEX(Register!$A$6:$A$305,ROW()-5),""),$Z$139:$Z$288))</f>
        <v/>
      </c>
      <c r="BO255" s="31">
        <f>IF(OR(IFERROR(INDEX(Register!$A$6:$A$305,ROW()-5),"")="",SUM($Z$139:$Z$288)=0),0,IF(AND(IFERROR(INDEX(Register!$B$6:$B$305,ROW()-5),"")="Project",IFERROR(INDEX(Register!$D$6:$D$305,ROW()-5),"")="Active",IFERROR(INDEX(Register!$Z$6:$Z$305,ROW()-5),"")=1,$BN255=0),1,0))</f>
        <v/>
      </c>
      <c r="BP255" s="31">
        <f>IF(AND(IFERROR(INDEX(Register!$A$6:$A$305,ROW()-5),"")&lt;&gt;"",IFERROR(INDEX(Register!$D$6:$D$305,ROW()-5),"")="Proposed"),$BN255,0)</f>
        <v/>
      </c>
    </row>
    <row r="256">
      <c r="A256" s="29" t="n"/>
      <c r="B256" s="29" t="n"/>
      <c r="C256" s="53" t="n"/>
      <c r="D256" s="53" t="n"/>
      <c r="E256" s="48" t="n"/>
      <c r="F256" s="31">
        <f>IF($S256=0,"",IF($V256=0,"△ Person not on People",IF($T256=0,"△ Row not on the Register",IF($U256=0,"△ Register row has no Status",IF($AA256=0,"△ From, To or days missing or not valid",IF($U256=3,"△ Row is Completed or Terminated. Clear the line.",IF($X256=1,"△ Booked past the forecast date",IF($U256=2,"○ Pencilled in","○ Clear"))))))))</f>
        <v/>
      </c>
      <c r="S256" s="31">
        <f>IF(COUNTA($A256:$E256)&gt;0,1,0)</f>
        <v/>
      </c>
      <c r="T256" s="31">
        <f>IF($A256="",0,IFERROR(MATCH($A256,Register!$A$6:$A$305,0),0))</f>
        <v/>
      </c>
      <c r="U256" s="31">
        <f>IF($T256=0,0,IF(INDEX(Register!$Q$6:$Q$305,$T256)=1,1,IF(INDEX(Register!$D$6:$D$305,$T256)="Proposed",2,IF(OR(INDEX(Register!$D$6:$D$305,$T256)="Completed",INDEX(Register!$D$6:$D$305,$T256)="Terminated"),3,0))))</f>
        <v/>
      </c>
      <c r="V256" s="31">
        <f>IF($B256="",0,IF(OR($B256="Outside team",COUNTIF($A$63:$A$102,$B256)&gt;0),1,0))</f>
        <v/>
      </c>
      <c r="W256" s="31">
        <f>IF($S256=0,0,1-$Y256)</f>
        <v/>
      </c>
      <c r="X256" s="31">
        <f>IF(OR($Y256=0,$U256&lt;&gt;1,$D$17=""),0,IF(AND(INDEX(Register!$B$6:$B$305,$T256)="Project",N(INDEX(Register!$U$6:$U$305,$T256))&gt;0,$D256&gt;N(INDEX(Register!$U$6:$U$305,$T256))),1,0))</f>
        <v/>
      </c>
      <c r="Y256" s="31">
        <f>IF($S256=0,0,IF(AND($V256=1,$T256&gt;0,$U256&gt;0,$AA256=1),1,0))</f>
        <v/>
      </c>
      <c r="Z256" s="31">
        <f>IF(OR($Y256=0,$D$17=""),0,$E256*MAX(0,(MIN($D256,$P$17)-MAX($C256,$D$17))/7+1))</f>
        <v/>
      </c>
      <c r="AA256" s="31">
        <f>IF($S256=0,0,IF(AND(ISNUMBER($C256),ISNUMBER($D256),ISNUMBER($E256)),IF(AND(WEEKDAY($C256,2)=1,WEEKDAY($D256,2)=1,$D256&gt;=$C256,$E256&gt;=0,$E256&lt;=7),1,0),0))</f>
        <v/>
      </c>
      <c r="BN256" s="31">
        <f>IF(IFERROR(INDEX(Register!$A$6:$A$305,ROW()-5),"")="",0,SUMIF($A$139:$A$288,IFERROR(INDEX(Register!$A$6:$A$305,ROW()-5),""),$Z$139:$Z$288))</f>
        <v/>
      </c>
      <c r="BO256" s="31">
        <f>IF(OR(IFERROR(INDEX(Register!$A$6:$A$305,ROW()-5),"")="",SUM($Z$139:$Z$288)=0),0,IF(AND(IFERROR(INDEX(Register!$B$6:$B$305,ROW()-5),"")="Project",IFERROR(INDEX(Register!$D$6:$D$305,ROW()-5),"")="Active",IFERROR(INDEX(Register!$Z$6:$Z$305,ROW()-5),"")=1,$BN256=0),1,0))</f>
        <v/>
      </c>
      <c r="BP256" s="31">
        <f>IF(AND(IFERROR(INDEX(Register!$A$6:$A$305,ROW()-5),"")&lt;&gt;"",IFERROR(INDEX(Register!$D$6:$D$305,ROW()-5),"")="Proposed"),$BN256,0)</f>
        <v/>
      </c>
    </row>
    <row r="257">
      <c r="A257" s="29" t="n"/>
      <c r="B257" s="29" t="n"/>
      <c r="C257" s="53" t="n"/>
      <c r="D257" s="53" t="n"/>
      <c r="E257" s="48" t="n"/>
      <c r="F257" s="31">
        <f>IF($S257=0,"",IF($V257=0,"△ Person not on People",IF($T257=0,"△ Row not on the Register",IF($U257=0,"△ Register row has no Status",IF($AA257=0,"△ From, To or days missing or not valid",IF($U257=3,"△ Row is Completed or Terminated. Clear the line.",IF($X257=1,"△ Booked past the forecast date",IF($U257=2,"○ Pencilled in","○ Clear"))))))))</f>
        <v/>
      </c>
      <c r="S257" s="31">
        <f>IF(COUNTA($A257:$E257)&gt;0,1,0)</f>
        <v/>
      </c>
      <c r="T257" s="31">
        <f>IF($A257="",0,IFERROR(MATCH($A257,Register!$A$6:$A$305,0),0))</f>
        <v/>
      </c>
      <c r="U257" s="31">
        <f>IF($T257=0,0,IF(INDEX(Register!$Q$6:$Q$305,$T257)=1,1,IF(INDEX(Register!$D$6:$D$305,$T257)="Proposed",2,IF(OR(INDEX(Register!$D$6:$D$305,$T257)="Completed",INDEX(Register!$D$6:$D$305,$T257)="Terminated"),3,0))))</f>
        <v/>
      </c>
      <c r="V257" s="31">
        <f>IF($B257="",0,IF(OR($B257="Outside team",COUNTIF($A$63:$A$102,$B257)&gt;0),1,0))</f>
        <v/>
      </c>
      <c r="W257" s="31">
        <f>IF($S257=0,0,1-$Y257)</f>
        <v/>
      </c>
      <c r="X257" s="31">
        <f>IF(OR($Y257=0,$U257&lt;&gt;1,$D$17=""),0,IF(AND(INDEX(Register!$B$6:$B$305,$T257)="Project",N(INDEX(Register!$U$6:$U$305,$T257))&gt;0,$D257&gt;N(INDEX(Register!$U$6:$U$305,$T257))),1,0))</f>
        <v/>
      </c>
      <c r="Y257" s="31">
        <f>IF($S257=0,0,IF(AND($V257=1,$T257&gt;0,$U257&gt;0,$AA257=1),1,0))</f>
        <v/>
      </c>
      <c r="Z257" s="31">
        <f>IF(OR($Y257=0,$D$17=""),0,$E257*MAX(0,(MIN($D257,$P$17)-MAX($C257,$D$17))/7+1))</f>
        <v/>
      </c>
      <c r="AA257" s="31">
        <f>IF($S257=0,0,IF(AND(ISNUMBER($C257),ISNUMBER($D257),ISNUMBER($E257)),IF(AND(WEEKDAY($C257,2)=1,WEEKDAY($D257,2)=1,$D257&gt;=$C257,$E257&gt;=0,$E257&lt;=7),1,0),0))</f>
        <v/>
      </c>
      <c r="BN257" s="31">
        <f>IF(IFERROR(INDEX(Register!$A$6:$A$305,ROW()-5),"")="",0,SUMIF($A$139:$A$288,IFERROR(INDEX(Register!$A$6:$A$305,ROW()-5),""),$Z$139:$Z$288))</f>
        <v/>
      </c>
      <c r="BO257" s="31">
        <f>IF(OR(IFERROR(INDEX(Register!$A$6:$A$305,ROW()-5),"")="",SUM($Z$139:$Z$288)=0),0,IF(AND(IFERROR(INDEX(Register!$B$6:$B$305,ROW()-5),"")="Project",IFERROR(INDEX(Register!$D$6:$D$305,ROW()-5),"")="Active",IFERROR(INDEX(Register!$Z$6:$Z$305,ROW()-5),"")=1,$BN257=0),1,0))</f>
        <v/>
      </c>
      <c r="BP257" s="31">
        <f>IF(AND(IFERROR(INDEX(Register!$A$6:$A$305,ROW()-5),"")&lt;&gt;"",IFERROR(INDEX(Register!$D$6:$D$305,ROW()-5),"")="Proposed"),$BN257,0)</f>
        <v/>
      </c>
    </row>
    <row r="258">
      <c r="A258" s="29" t="n"/>
      <c r="B258" s="29" t="n"/>
      <c r="C258" s="53" t="n"/>
      <c r="D258" s="53" t="n"/>
      <c r="E258" s="48" t="n"/>
      <c r="F258" s="31">
        <f>IF($S258=0,"",IF($V258=0,"△ Person not on People",IF($T258=0,"△ Row not on the Register",IF($U258=0,"△ Register row has no Status",IF($AA258=0,"△ From, To or days missing or not valid",IF($U258=3,"△ Row is Completed or Terminated. Clear the line.",IF($X258=1,"△ Booked past the forecast date",IF($U258=2,"○ Pencilled in","○ Clear"))))))))</f>
        <v/>
      </c>
      <c r="S258" s="31">
        <f>IF(COUNTA($A258:$E258)&gt;0,1,0)</f>
        <v/>
      </c>
      <c r="T258" s="31">
        <f>IF($A258="",0,IFERROR(MATCH($A258,Register!$A$6:$A$305,0),0))</f>
        <v/>
      </c>
      <c r="U258" s="31">
        <f>IF($T258=0,0,IF(INDEX(Register!$Q$6:$Q$305,$T258)=1,1,IF(INDEX(Register!$D$6:$D$305,$T258)="Proposed",2,IF(OR(INDEX(Register!$D$6:$D$305,$T258)="Completed",INDEX(Register!$D$6:$D$305,$T258)="Terminated"),3,0))))</f>
        <v/>
      </c>
      <c r="V258" s="31">
        <f>IF($B258="",0,IF(OR($B258="Outside team",COUNTIF($A$63:$A$102,$B258)&gt;0),1,0))</f>
        <v/>
      </c>
      <c r="W258" s="31">
        <f>IF($S258=0,0,1-$Y258)</f>
        <v/>
      </c>
      <c r="X258" s="31">
        <f>IF(OR($Y258=0,$U258&lt;&gt;1,$D$17=""),0,IF(AND(INDEX(Register!$B$6:$B$305,$T258)="Project",N(INDEX(Register!$U$6:$U$305,$T258))&gt;0,$D258&gt;N(INDEX(Register!$U$6:$U$305,$T258))),1,0))</f>
        <v/>
      </c>
      <c r="Y258" s="31">
        <f>IF($S258=0,0,IF(AND($V258=1,$T258&gt;0,$U258&gt;0,$AA258=1),1,0))</f>
        <v/>
      </c>
      <c r="Z258" s="31">
        <f>IF(OR($Y258=0,$D$17=""),0,$E258*MAX(0,(MIN($D258,$P$17)-MAX($C258,$D$17))/7+1))</f>
        <v/>
      </c>
      <c r="AA258" s="31">
        <f>IF($S258=0,0,IF(AND(ISNUMBER($C258),ISNUMBER($D258),ISNUMBER($E258)),IF(AND(WEEKDAY($C258,2)=1,WEEKDAY($D258,2)=1,$D258&gt;=$C258,$E258&gt;=0,$E258&lt;=7),1,0),0))</f>
        <v/>
      </c>
      <c r="BN258" s="31">
        <f>IF(IFERROR(INDEX(Register!$A$6:$A$305,ROW()-5),"")="",0,SUMIF($A$139:$A$288,IFERROR(INDEX(Register!$A$6:$A$305,ROW()-5),""),$Z$139:$Z$288))</f>
        <v/>
      </c>
      <c r="BO258" s="31">
        <f>IF(OR(IFERROR(INDEX(Register!$A$6:$A$305,ROW()-5),"")="",SUM($Z$139:$Z$288)=0),0,IF(AND(IFERROR(INDEX(Register!$B$6:$B$305,ROW()-5),"")="Project",IFERROR(INDEX(Register!$D$6:$D$305,ROW()-5),"")="Active",IFERROR(INDEX(Register!$Z$6:$Z$305,ROW()-5),"")=1,$BN258=0),1,0))</f>
        <v/>
      </c>
      <c r="BP258" s="31">
        <f>IF(AND(IFERROR(INDEX(Register!$A$6:$A$305,ROW()-5),"")&lt;&gt;"",IFERROR(INDEX(Register!$D$6:$D$305,ROW()-5),"")="Proposed"),$BN258,0)</f>
        <v/>
      </c>
    </row>
    <row r="259">
      <c r="A259" s="29" t="n"/>
      <c r="B259" s="29" t="n"/>
      <c r="C259" s="53" t="n"/>
      <c r="D259" s="53" t="n"/>
      <c r="E259" s="48" t="n"/>
      <c r="F259" s="31">
        <f>IF($S259=0,"",IF($V259=0,"△ Person not on People",IF($T259=0,"△ Row not on the Register",IF($U259=0,"△ Register row has no Status",IF($AA259=0,"△ From, To or days missing or not valid",IF($U259=3,"△ Row is Completed or Terminated. Clear the line.",IF($X259=1,"△ Booked past the forecast date",IF($U259=2,"○ Pencilled in","○ Clear"))))))))</f>
        <v/>
      </c>
      <c r="S259" s="31">
        <f>IF(COUNTA($A259:$E259)&gt;0,1,0)</f>
        <v/>
      </c>
      <c r="T259" s="31">
        <f>IF($A259="",0,IFERROR(MATCH($A259,Register!$A$6:$A$305,0),0))</f>
        <v/>
      </c>
      <c r="U259" s="31">
        <f>IF($T259=0,0,IF(INDEX(Register!$Q$6:$Q$305,$T259)=1,1,IF(INDEX(Register!$D$6:$D$305,$T259)="Proposed",2,IF(OR(INDEX(Register!$D$6:$D$305,$T259)="Completed",INDEX(Register!$D$6:$D$305,$T259)="Terminated"),3,0))))</f>
        <v/>
      </c>
      <c r="V259" s="31">
        <f>IF($B259="",0,IF(OR($B259="Outside team",COUNTIF($A$63:$A$102,$B259)&gt;0),1,0))</f>
        <v/>
      </c>
      <c r="W259" s="31">
        <f>IF($S259=0,0,1-$Y259)</f>
        <v/>
      </c>
      <c r="X259" s="31">
        <f>IF(OR($Y259=0,$U259&lt;&gt;1,$D$17=""),0,IF(AND(INDEX(Register!$B$6:$B$305,$T259)="Project",N(INDEX(Register!$U$6:$U$305,$T259))&gt;0,$D259&gt;N(INDEX(Register!$U$6:$U$305,$T259))),1,0))</f>
        <v/>
      </c>
      <c r="Y259" s="31">
        <f>IF($S259=0,0,IF(AND($V259=1,$T259&gt;0,$U259&gt;0,$AA259=1),1,0))</f>
        <v/>
      </c>
      <c r="Z259" s="31">
        <f>IF(OR($Y259=0,$D$17=""),0,$E259*MAX(0,(MIN($D259,$P$17)-MAX($C259,$D$17))/7+1))</f>
        <v/>
      </c>
      <c r="AA259" s="31">
        <f>IF($S259=0,0,IF(AND(ISNUMBER($C259),ISNUMBER($D259),ISNUMBER($E259)),IF(AND(WEEKDAY($C259,2)=1,WEEKDAY($D259,2)=1,$D259&gt;=$C259,$E259&gt;=0,$E259&lt;=7),1,0),0))</f>
        <v/>
      </c>
      <c r="BN259" s="31">
        <f>IF(IFERROR(INDEX(Register!$A$6:$A$305,ROW()-5),"")="",0,SUMIF($A$139:$A$288,IFERROR(INDEX(Register!$A$6:$A$305,ROW()-5),""),$Z$139:$Z$288))</f>
        <v/>
      </c>
      <c r="BO259" s="31">
        <f>IF(OR(IFERROR(INDEX(Register!$A$6:$A$305,ROW()-5),"")="",SUM($Z$139:$Z$288)=0),0,IF(AND(IFERROR(INDEX(Register!$B$6:$B$305,ROW()-5),"")="Project",IFERROR(INDEX(Register!$D$6:$D$305,ROW()-5),"")="Active",IFERROR(INDEX(Register!$Z$6:$Z$305,ROW()-5),"")=1,$BN259=0),1,0))</f>
        <v/>
      </c>
      <c r="BP259" s="31">
        <f>IF(AND(IFERROR(INDEX(Register!$A$6:$A$305,ROW()-5),"")&lt;&gt;"",IFERROR(INDEX(Register!$D$6:$D$305,ROW()-5),"")="Proposed"),$BN259,0)</f>
        <v/>
      </c>
    </row>
    <row r="260">
      <c r="A260" s="29" t="n"/>
      <c r="B260" s="29" t="n"/>
      <c r="C260" s="53" t="n"/>
      <c r="D260" s="53" t="n"/>
      <c r="E260" s="48" t="n"/>
      <c r="F260" s="31">
        <f>IF($S260=0,"",IF($V260=0,"△ Person not on People",IF($T260=0,"△ Row not on the Register",IF($U260=0,"△ Register row has no Status",IF($AA260=0,"△ From, To or days missing or not valid",IF($U260=3,"△ Row is Completed or Terminated. Clear the line.",IF($X260=1,"△ Booked past the forecast date",IF($U260=2,"○ Pencilled in","○ Clear"))))))))</f>
        <v/>
      </c>
      <c r="S260" s="31">
        <f>IF(COUNTA($A260:$E260)&gt;0,1,0)</f>
        <v/>
      </c>
      <c r="T260" s="31">
        <f>IF($A260="",0,IFERROR(MATCH($A260,Register!$A$6:$A$305,0),0))</f>
        <v/>
      </c>
      <c r="U260" s="31">
        <f>IF($T260=0,0,IF(INDEX(Register!$Q$6:$Q$305,$T260)=1,1,IF(INDEX(Register!$D$6:$D$305,$T260)="Proposed",2,IF(OR(INDEX(Register!$D$6:$D$305,$T260)="Completed",INDEX(Register!$D$6:$D$305,$T260)="Terminated"),3,0))))</f>
        <v/>
      </c>
      <c r="V260" s="31">
        <f>IF($B260="",0,IF(OR($B260="Outside team",COUNTIF($A$63:$A$102,$B260)&gt;0),1,0))</f>
        <v/>
      </c>
      <c r="W260" s="31">
        <f>IF($S260=0,0,1-$Y260)</f>
        <v/>
      </c>
      <c r="X260" s="31">
        <f>IF(OR($Y260=0,$U260&lt;&gt;1,$D$17=""),0,IF(AND(INDEX(Register!$B$6:$B$305,$T260)="Project",N(INDEX(Register!$U$6:$U$305,$T260))&gt;0,$D260&gt;N(INDEX(Register!$U$6:$U$305,$T260))),1,0))</f>
        <v/>
      </c>
      <c r="Y260" s="31">
        <f>IF($S260=0,0,IF(AND($V260=1,$T260&gt;0,$U260&gt;0,$AA260=1),1,0))</f>
        <v/>
      </c>
      <c r="Z260" s="31">
        <f>IF(OR($Y260=0,$D$17=""),0,$E260*MAX(0,(MIN($D260,$P$17)-MAX($C260,$D$17))/7+1))</f>
        <v/>
      </c>
      <c r="AA260" s="31">
        <f>IF($S260=0,0,IF(AND(ISNUMBER($C260),ISNUMBER($D260),ISNUMBER($E260)),IF(AND(WEEKDAY($C260,2)=1,WEEKDAY($D260,2)=1,$D260&gt;=$C260,$E260&gt;=0,$E260&lt;=7),1,0),0))</f>
        <v/>
      </c>
      <c r="BN260" s="31">
        <f>IF(IFERROR(INDEX(Register!$A$6:$A$305,ROW()-5),"")="",0,SUMIF($A$139:$A$288,IFERROR(INDEX(Register!$A$6:$A$305,ROW()-5),""),$Z$139:$Z$288))</f>
        <v/>
      </c>
      <c r="BO260" s="31">
        <f>IF(OR(IFERROR(INDEX(Register!$A$6:$A$305,ROW()-5),"")="",SUM($Z$139:$Z$288)=0),0,IF(AND(IFERROR(INDEX(Register!$B$6:$B$305,ROW()-5),"")="Project",IFERROR(INDEX(Register!$D$6:$D$305,ROW()-5),"")="Active",IFERROR(INDEX(Register!$Z$6:$Z$305,ROW()-5),"")=1,$BN260=0),1,0))</f>
        <v/>
      </c>
      <c r="BP260" s="31">
        <f>IF(AND(IFERROR(INDEX(Register!$A$6:$A$305,ROW()-5),"")&lt;&gt;"",IFERROR(INDEX(Register!$D$6:$D$305,ROW()-5),"")="Proposed"),$BN260,0)</f>
        <v/>
      </c>
    </row>
    <row r="261">
      <c r="A261" s="29" t="n"/>
      <c r="B261" s="29" t="n"/>
      <c r="C261" s="53" t="n"/>
      <c r="D261" s="53" t="n"/>
      <c r="E261" s="48" t="n"/>
      <c r="F261" s="31">
        <f>IF($S261=0,"",IF($V261=0,"△ Person not on People",IF($T261=0,"△ Row not on the Register",IF($U261=0,"△ Register row has no Status",IF($AA261=0,"△ From, To or days missing or not valid",IF($U261=3,"△ Row is Completed or Terminated. Clear the line.",IF($X261=1,"△ Booked past the forecast date",IF($U261=2,"○ Pencilled in","○ Clear"))))))))</f>
        <v/>
      </c>
      <c r="S261" s="31">
        <f>IF(COUNTA($A261:$E261)&gt;0,1,0)</f>
        <v/>
      </c>
      <c r="T261" s="31">
        <f>IF($A261="",0,IFERROR(MATCH($A261,Register!$A$6:$A$305,0),0))</f>
        <v/>
      </c>
      <c r="U261" s="31">
        <f>IF($T261=0,0,IF(INDEX(Register!$Q$6:$Q$305,$T261)=1,1,IF(INDEX(Register!$D$6:$D$305,$T261)="Proposed",2,IF(OR(INDEX(Register!$D$6:$D$305,$T261)="Completed",INDEX(Register!$D$6:$D$305,$T261)="Terminated"),3,0))))</f>
        <v/>
      </c>
      <c r="V261" s="31">
        <f>IF($B261="",0,IF(OR($B261="Outside team",COUNTIF($A$63:$A$102,$B261)&gt;0),1,0))</f>
        <v/>
      </c>
      <c r="W261" s="31">
        <f>IF($S261=0,0,1-$Y261)</f>
        <v/>
      </c>
      <c r="X261" s="31">
        <f>IF(OR($Y261=0,$U261&lt;&gt;1,$D$17=""),0,IF(AND(INDEX(Register!$B$6:$B$305,$T261)="Project",N(INDEX(Register!$U$6:$U$305,$T261))&gt;0,$D261&gt;N(INDEX(Register!$U$6:$U$305,$T261))),1,0))</f>
        <v/>
      </c>
      <c r="Y261" s="31">
        <f>IF($S261=0,0,IF(AND($V261=1,$T261&gt;0,$U261&gt;0,$AA261=1),1,0))</f>
        <v/>
      </c>
      <c r="Z261" s="31">
        <f>IF(OR($Y261=0,$D$17=""),0,$E261*MAX(0,(MIN($D261,$P$17)-MAX($C261,$D$17))/7+1))</f>
        <v/>
      </c>
      <c r="AA261" s="31">
        <f>IF($S261=0,0,IF(AND(ISNUMBER($C261),ISNUMBER($D261),ISNUMBER($E261)),IF(AND(WEEKDAY($C261,2)=1,WEEKDAY($D261,2)=1,$D261&gt;=$C261,$E261&gt;=0,$E261&lt;=7),1,0),0))</f>
        <v/>
      </c>
      <c r="BN261" s="31">
        <f>IF(IFERROR(INDEX(Register!$A$6:$A$305,ROW()-5),"")="",0,SUMIF($A$139:$A$288,IFERROR(INDEX(Register!$A$6:$A$305,ROW()-5),""),$Z$139:$Z$288))</f>
        <v/>
      </c>
      <c r="BO261" s="31">
        <f>IF(OR(IFERROR(INDEX(Register!$A$6:$A$305,ROW()-5),"")="",SUM($Z$139:$Z$288)=0),0,IF(AND(IFERROR(INDEX(Register!$B$6:$B$305,ROW()-5),"")="Project",IFERROR(INDEX(Register!$D$6:$D$305,ROW()-5),"")="Active",IFERROR(INDEX(Register!$Z$6:$Z$305,ROW()-5),"")=1,$BN261=0),1,0))</f>
        <v/>
      </c>
      <c r="BP261" s="31">
        <f>IF(AND(IFERROR(INDEX(Register!$A$6:$A$305,ROW()-5),"")&lt;&gt;"",IFERROR(INDEX(Register!$D$6:$D$305,ROW()-5),"")="Proposed"),$BN261,0)</f>
        <v/>
      </c>
    </row>
    <row r="262">
      <c r="A262" s="29" t="n"/>
      <c r="B262" s="29" t="n"/>
      <c r="C262" s="53" t="n"/>
      <c r="D262" s="53" t="n"/>
      <c r="E262" s="48" t="n"/>
      <c r="F262" s="31">
        <f>IF($S262=0,"",IF($V262=0,"△ Person not on People",IF($T262=0,"△ Row not on the Register",IF($U262=0,"△ Register row has no Status",IF($AA262=0,"△ From, To or days missing or not valid",IF($U262=3,"△ Row is Completed or Terminated. Clear the line.",IF($X262=1,"△ Booked past the forecast date",IF($U262=2,"○ Pencilled in","○ Clear"))))))))</f>
        <v/>
      </c>
      <c r="S262" s="31">
        <f>IF(COUNTA($A262:$E262)&gt;0,1,0)</f>
        <v/>
      </c>
      <c r="T262" s="31">
        <f>IF($A262="",0,IFERROR(MATCH($A262,Register!$A$6:$A$305,0),0))</f>
        <v/>
      </c>
      <c r="U262" s="31">
        <f>IF($T262=0,0,IF(INDEX(Register!$Q$6:$Q$305,$T262)=1,1,IF(INDEX(Register!$D$6:$D$305,$T262)="Proposed",2,IF(OR(INDEX(Register!$D$6:$D$305,$T262)="Completed",INDEX(Register!$D$6:$D$305,$T262)="Terminated"),3,0))))</f>
        <v/>
      </c>
      <c r="V262" s="31">
        <f>IF($B262="",0,IF(OR($B262="Outside team",COUNTIF($A$63:$A$102,$B262)&gt;0),1,0))</f>
        <v/>
      </c>
      <c r="W262" s="31">
        <f>IF($S262=0,0,1-$Y262)</f>
        <v/>
      </c>
      <c r="X262" s="31">
        <f>IF(OR($Y262=0,$U262&lt;&gt;1,$D$17=""),0,IF(AND(INDEX(Register!$B$6:$B$305,$T262)="Project",N(INDEX(Register!$U$6:$U$305,$T262))&gt;0,$D262&gt;N(INDEX(Register!$U$6:$U$305,$T262))),1,0))</f>
        <v/>
      </c>
      <c r="Y262" s="31">
        <f>IF($S262=0,0,IF(AND($V262=1,$T262&gt;0,$U262&gt;0,$AA262=1),1,0))</f>
        <v/>
      </c>
      <c r="Z262" s="31">
        <f>IF(OR($Y262=0,$D$17=""),0,$E262*MAX(0,(MIN($D262,$P$17)-MAX($C262,$D$17))/7+1))</f>
        <v/>
      </c>
      <c r="AA262" s="31">
        <f>IF($S262=0,0,IF(AND(ISNUMBER($C262),ISNUMBER($D262),ISNUMBER($E262)),IF(AND(WEEKDAY($C262,2)=1,WEEKDAY($D262,2)=1,$D262&gt;=$C262,$E262&gt;=0,$E262&lt;=7),1,0),0))</f>
        <v/>
      </c>
      <c r="BN262" s="31">
        <f>IF(IFERROR(INDEX(Register!$A$6:$A$305,ROW()-5),"")="",0,SUMIF($A$139:$A$288,IFERROR(INDEX(Register!$A$6:$A$305,ROW()-5),""),$Z$139:$Z$288))</f>
        <v/>
      </c>
      <c r="BO262" s="31">
        <f>IF(OR(IFERROR(INDEX(Register!$A$6:$A$305,ROW()-5),"")="",SUM($Z$139:$Z$288)=0),0,IF(AND(IFERROR(INDEX(Register!$B$6:$B$305,ROW()-5),"")="Project",IFERROR(INDEX(Register!$D$6:$D$305,ROW()-5),"")="Active",IFERROR(INDEX(Register!$Z$6:$Z$305,ROW()-5),"")=1,$BN262=0),1,0))</f>
        <v/>
      </c>
      <c r="BP262" s="31">
        <f>IF(AND(IFERROR(INDEX(Register!$A$6:$A$305,ROW()-5),"")&lt;&gt;"",IFERROR(INDEX(Register!$D$6:$D$305,ROW()-5),"")="Proposed"),$BN262,0)</f>
        <v/>
      </c>
    </row>
    <row r="263">
      <c r="A263" s="29" t="n"/>
      <c r="B263" s="29" t="n"/>
      <c r="C263" s="53" t="n"/>
      <c r="D263" s="53" t="n"/>
      <c r="E263" s="48" t="n"/>
      <c r="F263" s="31">
        <f>IF($S263=0,"",IF($V263=0,"△ Person not on People",IF($T263=0,"△ Row not on the Register",IF($U263=0,"△ Register row has no Status",IF($AA263=0,"△ From, To or days missing or not valid",IF($U263=3,"△ Row is Completed or Terminated. Clear the line.",IF($X263=1,"△ Booked past the forecast date",IF($U263=2,"○ Pencilled in","○ Clear"))))))))</f>
        <v/>
      </c>
      <c r="S263" s="31">
        <f>IF(COUNTA($A263:$E263)&gt;0,1,0)</f>
        <v/>
      </c>
      <c r="T263" s="31">
        <f>IF($A263="",0,IFERROR(MATCH($A263,Register!$A$6:$A$305,0),0))</f>
        <v/>
      </c>
      <c r="U263" s="31">
        <f>IF($T263=0,0,IF(INDEX(Register!$Q$6:$Q$305,$T263)=1,1,IF(INDEX(Register!$D$6:$D$305,$T263)="Proposed",2,IF(OR(INDEX(Register!$D$6:$D$305,$T263)="Completed",INDEX(Register!$D$6:$D$305,$T263)="Terminated"),3,0))))</f>
        <v/>
      </c>
      <c r="V263" s="31">
        <f>IF($B263="",0,IF(OR($B263="Outside team",COUNTIF($A$63:$A$102,$B263)&gt;0),1,0))</f>
        <v/>
      </c>
      <c r="W263" s="31">
        <f>IF($S263=0,0,1-$Y263)</f>
        <v/>
      </c>
      <c r="X263" s="31">
        <f>IF(OR($Y263=0,$U263&lt;&gt;1,$D$17=""),0,IF(AND(INDEX(Register!$B$6:$B$305,$T263)="Project",N(INDEX(Register!$U$6:$U$305,$T263))&gt;0,$D263&gt;N(INDEX(Register!$U$6:$U$305,$T263))),1,0))</f>
        <v/>
      </c>
      <c r="Y263" s="31">
        <f>IF($S263=0,0,IF(AND($V263=1,$T263&gt;0,$U263&gt;0,$AA263=1),1,0))</f>
        <v/>
      </c>
      <c r="Z263" s="31">
        <f>IF(OR($Y263=0,$D$17=""),0,$E263*MAX(0,(MIN($D263,$P$17)-MAX($C263,$D$17))/7+1))</f>
        <v/>
      </c>
      <c r="AA263" s="31">
        <f>IF($S263=0,0,IF(AND(ISNUMBER($C263),ISNUMBER($D263),ISNUMBER($E263)),IF(AND(WEEKDAY($C263,2)=1,WEEKDAY($D263,2)=1,$D263&gt;=$C263,$E263&gt;=0,$E263&lt;=7),1,0),0))</f>
        <v/>
      </c>
      <c r="BN263" s="31">
        <f>IF(IFERROR(INDEX(Register!$A$6:$A$305,ROW()-5),"")="",0,SUMIF($A$139:$A$288,IFERROR(INDEX(Register!$A$6:$A$305,ROW()-5),""),$Z$139:$Z$288))</f>
        <v/>
      </c>
      <c r="BO263" s="31">
        <f>IF(OR(IFERROR(INDEX(Register!$A$6:$A$305,ROW()-5),"")="",SUM($Z$139:$Z$288)=0),0,IF(AND(IFERROR(INDEX(Register!$B$6:$B$305,ROW()-5),"")="Project",IFERROR(INDEX(Register!$D$6:$D$305,ROW()-5),"")="Active",IFERROR(INDEX(Register!$Z$6:$Z$305,ROW()-5),"")=1,$BN263=0),1,0))</f>
        <v/>
      </c>
      <c r="BP263" s="31">
        <f>IF(AND(IFERROR(INDEX(Register!$A$6:$A$305,ROW()-5),"")&lt;&gt;"",IFERROR(INDEX(Register!$D$6:$D$305,ROW()-5),"")="Proposed"),$BN263,0)</f>
        <v/>
      </c>
    </row>
    <row r="264">
      <c r="A264" s="29" t="n"/>
      <c r="B264" s="29" t="n"/>
      <c r="C264" s="53" t="n"/>
      <c r="D264" s="53" t="n"/>
      <c r="E264" s="48" t="n"/>
      <c r="F264" s="31">
        <f>IF($S264=0,"",IF($V264=0,"△ Person not on People",IF($T264=0,"△ Row not on the Register",IF($U264=0,"△ Register row has no Status",IF($AA264=0,"△ From, To or days missing or not valid",IF($U264=3,"△ Row is Completed or Terminated. Clear the line.",IF($X264=1,"△ Booked past the forecast date",IF($U264=2,"○ Pencilled in","○ Clear"))))))))</f>
        <v/>
      </c>
      <c r="S264" s="31">
        <f>IF(COUNTA($A264:$E264)&gt;0,1,0)</f>
        <v/>
      </c>
      <c r="T264" s="31">
        <f>IF($A264="",0,IFERROR(MATCH($A264,Register!$A$6:$A$305,0),0))</f>
        <v/>
      </c>
      <c r="U264" s="31">
        <f>IF($T264=0,0,IF(INDEX(Register!$Q$6:$Q$305,$T264)=1,1,IF(INDEX(Register!$D$6:$D$305,$T264)="Proposed",2,IF(OR(INDEX(Register!$D$6:$D$305,$T264)="Completed",INDEX(Register!$D$6:$D$305,$T264)="Terminated"),3,0))))</f>
        <v/>
      </c>
      <c r="V264" s="31">
        <f>IF($B264="",0,IF(OR($B264="Outside team",COUNTIF($A$63:$A$102,$B264)&gt;0),1,0))</f>
        <v/>
      </c>
      <c r="W264" s="31">
        <f>IF($S264=0,0,1-$Y264)</f>
        <v/>
      </c>
      <c r="X264" s="31">
        <f>IF(OR($Y264=0,$U264&lt;&gt;1,$D$17=""),0,IF(AND(INDEX(Register!$B$6:$B$305,$T264)="Project",N(INDEX(Register!$U$6:$U$305,$T264))&gt;0,$D264&gt;N(INDEX(Register!$U$6:$U$305,$T264))),1,0))</f>
        <v/>
      </c>
      <c r="Y264" s="31">
        <f>IF($S264=0,0,IF(AND($V264=1,$T264&gt;0,$U264&gt;0,$AA264=1),1,0))</f>
        <v/>
      </c>
      <c r="Z264" s="31">
        <f>IF(OR($Y264=0,$D$17=""),0,$E264*MAX(0,(MIN($D264,$P$17)-MAX($C264,$D$17))/7+1))</f>
        <v/>
      </c>
      <c r="AA264" s="31">
        <f>IF($S264=0,0,IF(AND(ISNUMBER($C264),ISNUMBER($D264),ISNUMBER($E264)),IF(AND(WEEKDAY($C264,2)=1,WEEKDAY($D264,2)=1,$D264&gt;=$C264,$E264&gt;=0,$E264&lt;=7),1,0),0))</f>
        <v/>
      </c>
      <c r="BN264" s="31">
        <f>IF(IFERROR(INDEX(Register!$A$6:$A$305,ROW()-5),"")="",0,SUMIF($A$139:$A$288,IFERROR(INDEX(Register!$A$6:$A$305,ROW()-5),""),$Z$139:$Z$288))</f>
        <v/>
      </c>
      <c r="BO264" s="31">
        <f>IF(OR(IFERROR(INDEX(Register!$A$6:$A$305,ROW()-5),"")="",SUM($Z$139:$Z$288)=0),0,IF(AND(IFERROR(INDEX(Register!$B$6:$B$305,ROW()-5),"")="Project",IFERROR(INDEX(Register!$D$6:$D$305,ROW()-5),"")="Active",IFERROR(INDEX(Register!$Z$6:$Z$305,ROW()-5),"")=1,$BN264=0),1,0))</f>
        <v/>
      </c>
      <c r="BP264" s="31">
        <f>IF(AND(IFERROR(INDEX(Register!$A$6:$A$305,ROW()-5),"")&lt;&gt;"",IFERROR(INDEX(Register!$D$6:$D$305,ROW()-5),"")="Proposed"),$BN264,0)</f>
        <v/>
      </c>
    </row>
    <row r="265">
      <c r="A265" s="29" t="n"/>
      <c r="B265" s="29" t="n"/>
      <c r="C265" s="53" t="n"/>
      <c r="D265" s="53" t="n"/>
      <c r="E265" s="48" t="n"/>
      <c r="F265" s="31">
        <f>IF($S265=0,"",IF($V265=0,"△ Person not on People",IF($T265=0,"△ Row not on the Register",IF($U265=0,"△ Register row has no Status",IF($AA265=0,"△ From, To or days missing or not valid",IF($U265=3,"△ Row is Completed or Terminated. Clear the line.",IF($X265=1,"△ Booked past the forecast date",IF($U265=2,"○ Pencilled in","○ Clear"))))))))</f>
        <v/>
      </c>
      <c r="S265" s="31">
        <f>IF(COUNTA($A265:$E265)&gt;0,1,0)</f>
        <v/>
      </c>
      <c r="T265" s="31">
        <f>IF($A265="",0,IFERROR(MATCH($A265,Register!$A$6:$A$305,0),0))</f>
        <v/>
      </c>
      <c r="U265" s="31">
        <f>IF($T265=0,0,IF(INDEX(Register!$Q$6:$Q$305,$T265)=1,1,IF(INDEX(Register!$D$6:$D$305,$T265)="Proposed",2,IF(OR(INDEX(Register!$D$6:$D$305,$T265)="Completed",INDEX(Register!$D$6:$D$305,$T265)="Terminated"),3,0))))</f>
        <v/>
      </c>
      <c r="V265" s="31">
        <f>IF($B265="",0,IF(OR($B265="Outside team",COUNTIF($A$63:$A$102,$B265)&gt;0),1,0))</f>
        <v/>
      </c>
      <c r="W265" s="31">
        <f>IF($S265=0,0,1-$Y265)</f>
        <v/>
      </c>
      <c r="X265" s="31">
        <f>IF(OR($Y265=0,$U265&lt;&gt;1,$D$17=""),0,IF(AND(INDEX(Register!$B$6:$B$305,$T265)="Project",N(INDEX(Register!$U$6:$U$305,$T265))&gt;0,$D265&gt;N(INDEX(Register!$U$6:$U$305,$T265))),1,0))</f>
        <v/>
      </c>
      <c r="Y265" s="31">
        <f>IF($S265=0,0,IF(AND($V265=1,$T265&gt;0,$U265&gt;0,$AA265=1),1,0))</f>
        <v/>
      </c>
      <c r="Z265" s="31">
        <f>IF(OR($Y265=0,$D$17=""),0,$E265*MAX(0,(MIN($D265,$P$17)-MAX($C265,$D$17))/7+1))</f>
        <v/>
      </c>
      <c r="AA265" s="31">
        <f>IF($S265=0,0,IF(AND(ISNUMBER($C265),ISNUMBER($D265),ISNUMBER($E265)),IF(AND(WEEKDAY($C265,2)=1,WEEKDAY($D265,2)=1,$D265&gt;=$C265,$E265&gt;=0,$E265&lt;=7),1,0),0))</f>
        <v/>
      </c>
      <c r="BN265" s="31">
        <f>IF(IFERROR(INDEX(Register!$A$6:$A$305,ROW()-5),"")="",0,SUMIF($A$139:$A$288,IFERROR(INDEX(Register!$A$6:$A$305,ROW()-5),""),$Z$139:$Z$288))</f>
        <v/>
      </c>
      <c r="BO265" s="31">
        <f>IF(OR(IFERROR(INDEX(Register!$A$6:$A$305,ROW()-5),"")="",SUM($Z$139:$Z$288)=0),0,IF(AND(IFERROR(INDEX(Register!$B$6:$B$305,ROW()-5),"")="Project",IFERROR(INDEX(Register!$D$6:$D$305,ROW()-5),"")="Active",IFERROR(INDEX(Register!$Z$6:$Z$305,ROW()-5),"")=1,$BN265=0),1,0))</f>
        <v/>
      </c>
      <c r="BP265" s="31">
        <f>IF(AND(IFERROR(INDEX(Register!$A$6:$A$305,ROW()-5),"")&lt;&gt;"",IFERROR(INDEX(Register!$D$6:$D$305,ROW()-5),"")="Proposed"),$BN265,0)</f>
        <v/>
      </c>
    </row>
    <row r="266">
      <c r="A266" s="29" t="n"/>
      <c r="B266" s="29" t="n"/>
      <c r="C266" s="53" t="n"/>
      <c r="D266" s="53" t="n"/>
      <c r="E266" s="48" t="n"/>
      <c r="F266" s="31">
        <f>IF($S266=0,"",IF($V266=0,"△ Person not on People",IF($T266=0,"△ Row not on the Register",IF($U266=0,"△ Register row has no Status",IF($AA266=0,"△ From, To or days missing or not valid",IF($U266=3,"△ Row is Completed or Terminated. Clear the line.",IF($X266=1,"△ Booked past the forecast date",IF($U266=2,"○ Pencilled in","○ Clear"))))))))</f>
        <v/>
      </c>
      <c r="S266" s="31">
        <f>IF(COUNTA($A266:$E266)&gt;0,1,0)</f>
        <v/>
      </c>
      <c r="T266" s="31">
        <f>IF($A266="",0,IFERROR(MATCH($A266,Register!$A$6:$A$305,0),0))</f>
        <v/>
      </c>
      <c r="U266" s="31">
        <f>IF($T266=0,0,IF(INDEX(Register!$Q$6:$Q$305,$T266)=1,1,IF(INDEX(Register!$D$6:$D$305,$T266)="Proposed",2,IF(OR(INDEX(Register!$D$6:$D$305,$T266)="Completed",INDEX(Register!$D$6:$D$305,$T266)="Terminated"),3,0))))</f>
        <v/>
      </c>
      <c r="V266" s="31">
        <f>IF($B266="",0,IF(OR($B266="Outside team",COUNTIF($A$63:$A$102,$B266)&gt;0),1,0))</f>
        <v/>
      </c>
      <c r="W266" s="31">
        <f>IF($S266=0,0,1-$Y266)</f>
        <v/>
      </c>
      <c r="X266" s="31">
        <f>IF(OR($Y266=0,$U266&lt;&gt;1,$D$17=""),0,IF(AND(INDEX(Register!$B$6:$B$305,$T266)="Project",N(INDEX(Register!$U$6:$U$305,$T266))&gt;0,$D266&gt;N(INDEX(Register!$U$6:$U$305,$T266))),1,0))</f>
        <v/>
      </c>
      <c r="Y266" s="31">
        <f>IF($S266=0,0,IF(AND($V266=1,$T266&gt;0,$U266&gt;0,$AA266=1),1,0))</f>
        <v/>
      </c>
      <c r="Z266" s="31">
        <f>IF(OR($Y266=0,$D$17=""),0,$E266*MAX(0,(MIN($D266,$P$17)-MAX($C266,$D$17))/7+1))</f>
        <v/>
      </c>
      <c r="AA266" s="31">
        <f>IF($S266=0,0,IF(AND(ISNUMBER($C266),ISNUMBER($D266),ISNUMBER($E266)),IF(AND(WEEKDAY($C266,2)=1,WEEKDAY($D266,2)=1,$D266&gt;=$C266,$E266&gt;=0,$E266&lt;=7),1,0),0))</f>
        <v/>
      </c>
      <c r="BN266" s="31">
        <f>IF(IFERROR(INDEX(Register!$A$6:$A$305,ROW()-5),"")="",0,SUMIF($A$139:$A$288,IFERROR(INDEX(Register!$A$6:$A$305,ROW()-5),""),$Z$139:$Z$288))</f>
        <v/>
      </c>
      <c r="BO266" s="31">
        <f>IF(OR(IFERROR(INDEX(Register!$A$6:$A$305,ROW()-5),"")="",SUM($Z$139:$Z$288)=0),0,IF(AND(IFERROR(INDEX(Register!$B$6:$B$305,ROW()-5),"")="Project",IFERROR(INDEX(Register!$D$6:$D$305,ROW()-5),"")="Active",IFERROR(INDEX(Register!$Z$6:$Z$305,ROW()-5),"")=1,$BN266=0),1,0))</f>
        <v/>
      </c>
      <c r="BP266" s="31">
        <f>IF(AND(IFERROR(INDEX(Register!$A$6:$A$305,ROW()-5),"")&lt;&gt;"",IFERROR(INDEX(Register!$D$6:$D$305,ROW()-5),"")="Proposed"),$BN266,0)</f>
        <v/>
      </c>
    </row>
    <row r="267">
      <c r="A267" s="29" t="n"/>
      <c r="B267" s="29" t="n"/>
      <c r="C267" s="53" t="n"/>
      <c r="D267" s="53" t="n"/>
      <c r="E267" s="48" t="n"/>
      <c r="F267" s="31">
        <f>IF($S267=0,"",IF($V267=0,"△ Person not on People",IF($T267=0,"△ Row not on the Register",IF($U267=0,"△ Register row has no Status",IF($AA267=0,"△ From, To or days missing or not valid",IF($U267=3,"△ Row is Completed or Terminated. Clear the line.",IF($X267=1,"△ Booked past the forecast date",IF($U267=2,"○ Pencilled in","○ Clear"))))))))</f>
        <v/>
      </c>
      <c r="S267" s="31">
        <f>IF(COUNTA($A267:$E267)&gt;0,1,0)</f>
        <v/>
      </c>
      <c r="T267" s="31">
        <f>IF($A267="",0,IFERROR(MATCH($A267,Register!$A$6:$A$305,0),0))</f>
        <v/>
      </c>
      <c r="U267" s="31">
        <f>IF($T267=0,0,IF(INDEX(Register!$Q$6:$Q$305,$T267)=1,1,IF(INDEX(Register!$D$6:$D$305,$T267)="Proposed",2,IF(OR(INDEX(Register!$D$6:$D$305,$T267)="Completed",INDEX(Register!$D$6:$D$305,$T267)="Terminated"),3,0))))</f>
        <v/>
      </c>
      <c r="V267" s="31">
        <f>IF($B267="",0,IF(OR($B267="Outside team",COUNTIF($A$63:$A$102,$B267)&gt;0),1,0))</f>
        <v/>
      </c>
      <c r="W267" s="31">
        <f>IF($S267=0,0,1-$Y267)</f>
        <v/>
      </c>
      <c r="X267" s="31">
        <f>IF(OR($Y267=0,$U267&lt;&gt;1,$D$17=""),0,IF(AND(INDEX(Register!$B$6:$B$305,$T267)="Project",N(INDEX(Register!$U$6:$U$305,$T267))&gt;0,$D267&gt;N(INDEX(Register!$U$6:$U$305,$T267))),1,0))</f>
        <v/>
      </c>
      <c r="Y267" s="31">
        <f>IF($S267=0,0,IF(AND($V267=1,$T267&gt;0,$U267&gt;0,$AA267=1),1,0))</f>
        <v/>
      </c>
      <c r="Z267" s="31">
        <f>IF(OR($Y267=0,$D$17=""),0,$E267*MAX(0,(MIN($D267,$P$17)-MAX($C267,$D$17))/7+1))</f>
        <v/>
      </c>
      <c r="AA267" s="31">
        <f>IF($S267=0,0,IF(AND(ISNUMBER($C267),ISNUMBER($D267),ISNUMBER($E267)),IF(AND(WEEKDAY($C267,2)=1,WEEKDAY($D267,2)=1,$D267&gt;=$C267,$E267&gt;=0,$E267&lt;=7),1,0),0))</f>
        <v/>
      </c>
      <c r="BN267" s="31">
        <f>IF(IFERROR(INDEX(Register!$A$6:$A$305,ROW()-5),"")="",0,SUMIF($A$139:$A$288,IFERROR(INDEX(Register!$A$6:$A$305,ROW()-5),""),$Z$139:$Z$288))</f>
        <v/>
      </c>
      <c r="BO267" s="31">
        <f>IF(OR(IFERROR(INDEX(Register!$A$6:$A$305,ROW()-5),"")="",SUM($Z$139:$Z$288)=0),0,IF(AND(IFERROR(INDEX(Register!$B$6:$B$305,ROW()-5),"")="Project",IFERROR(INDEX(Register!$D$6:$D$305,ROW()-5),"")="Active",IFERROR(INDEX(Register!$Z$6:$Z$305,ROW()-5),"")=1,$BN267=0),1,0))</f>
        <v/>
      </c>
      <c r="BP267" s="31">
        <f>IF(AND(IFERROR(INDEX(Register!$A$6:$A$305,ROW()-5),"")&lt;&gt;"",IFERROR(INDEX(Register!$D$6:$D$305,ROW()-5),"")="Proposed"),$BN267,0)</f>
        <v/>
      </c>
    </row>
    <row r="268">
      <c r="A268" s="29" t="n"/>
      <c r="B268" s="29" t="n"/>
      <c r="C268" s="53" t="n"/>
      <c r="D268" s="53" t="n"/>
      <c r="E268" s="48" t="n"/>
      <c r="F268" s="31">
        <f>IF($S268=0,"",IF($V268=0,"△ Person not on People",IF($T268=0,"△ Row not on the Register",IF($U268=0,"△ Register row has no Status",IF($AA268=0,"△ From, To or days missing or not valid",IF($U268=3,"△ Row is Completed or Terminated. Clear the line.",IF($X268=1,"△ Booked past the forecast date",IF($U268=2,"○ Pencilled in","○ Clear"))))))))</f>
        <v/>
      </c>
      <c r="S268" s="31">
        <f>IF(COUNTA($A268:$E268)&gt;0,1,0)</f>
        <v/>
      </c>
      <c r="T268" s="31">
        <f>IF($A268="",0,IFERROR(MATCH($A268,Register!$A$6:$A$305,0),0))</f>
        <v/>
      </c>
      <c r="U268" s="31">
        <f>IF($T268=0,0,IF(INDEX(Register!$Q$6:$Q$305,$T268)=1,1,IF(INDEX(Register!$D$6:$D$305,$T268)="Proposed",2,IF(OR(INDEX(Register!$D$6:$D$305,$T268)="Completed",INDEX(Register!$D$6:$D$305,$T268)="Terminated"),3,0))))</f>
        <v/>
      </c>
      <c r="V268" s="31">
        <f>IF($B268="",0,IF(OR($B268="Outside team",COUNTIF($A$63:$A$102,$B268)&gt;0),1,0))</f>
        <v/>
      </c>
      <c r="W268" s="31">
        <f>IF($S268=0,0,1-$Y268)</f>
        <v/>
      </c>
      <c r="X268" s="31">
        <f>IF(OR($Y268=0,$U268&lt;&gt;1,$D$17=""),0,IF(AND(INDEX(Register!$B$6:$B$305,$T268)="Project",N(INDEX(Register!$U$6:$U$305,$T268))&gt;0,$D268&gt;N(INDEX(Register!$U$6:$U$305,$T268))),1,0))</f>
        <v/>
      </c>
      <c r="Y268" s="31">
        <f>IF($S268=0,0,IF(AND($V268=1,$T268&gt;0,$U268&gt;0,$AA268=1),1,0))</f>
        <v/>
      </c>
      <c r="Z268" s="31">
        <f>IF(OR($Y268=0,$D$17=""),0,$E268*MAX(0,(MIN($D268,$P$17)-MAX($C268,$D$17))/7+1))</f>
        <v/>
      </c>
      <c r="AA268" s="31">
        <f>IF($S268=0,0,IF(AND(ISNUMBER($C268),ISNUMBER($D268),ISNUMBER($E268)),IF(AND(WEEKDAY($C268,2)=1,WEEKDAY($D268,2)=1,$D268&gt;=$C268,$E268&gt;=0,$E268&lt;=7),1,0),0))</f>
        <v/>
      </c>
      <c r="BN268" s="31">
        <f>IF(IFERROR(INDEX(Register!$A$6:$A$305,ROW()-5),"")="",0,SUMIF($A$139:$A$288,IFERROR(INDEX(Register!$A$6:$A$305,ROW()-5),""),$Z$139:$Z$288))</f>
        <v/>
      </c>
      <c r="BO268" s="31">
        <f>IF(OR(IFERROR(INDEX(Register!$A$6:$A$305,ROW()-5),"")="",SUM($Z$139:$Z$288)=0),0,IF(AND(IFERROR(INDEX(Register!$B$6:$B$305,ROW()-5),"")="Project",IFERROR(INDEX(Register!$D$6:$D$305,ROW()-5),"")="Active",IFERROR(INDEX(Register!$Z$6:$Z$305,ROW()-5),"")=1,$BN268=0),1,0))</f>
        <v/>
      </c>
      <c r="BP268" s="31">
        <f>IF(AND(IFERROR(INDEX(Register!$A$6:$A$305,ROW()-5),"")&lt;&gt;"",IFERROR(INDEX(Register!$D$6:$D$305,ROW()-5),"")="Proposed"),$BN268,0)</f>
        <v/>
      </c>
    </row>
    <row r="269">
      <c r="A269" s="29" t="n"/>
      <c r="B269" s="29" t="n"/>
      <c r="C269" s="53" t="n"/>
      <c r="D269" s="53" t="n"/>
      <c r="E269" s="48" t="n"/>
      <c r="F269" s="31">
        <f>IF($S269=0,"",IF($V269=0,"△ Person not on People",IF($T269=0,"△ Row not on the Register",IF($U269=0,"△ Register row has no Status",IF($AA269=0,"△ From, To or days missing or not valid",IF($U269=3,"△ Row is Completed or Terminated. Clear the line.",IF($X269=1,"△ Booked past the forecast date",IF($U269=2,"○ Pencilled in","○ Clear"))))))))</f>
        <v/>
      </c>
      <c r="S269" s="31">
        <f>IF(COUNTA($A269:$E269)&gt;0,1,0)</f>
        <v/>
      </c>
      <c r="T269" s="31">
        <f>IF($A269="",0,IFERROR(MATCH($A269,Register!$A$6:$A$305,0),0))</f>
        <v/>
      </c>
      <c r="U269" s="31">
        <f>IF($T269=0,0,IF(INDEX(Register!$Q$6:$Q$305,$T269)=1,1,IF(INDEX(Register!$D$6:$D$305,$T269)="Proposed",2,IF(OR(INDEX(Register!$D$6:$D$305,$T269)="Completed",INDEX(Register!$D$6:$D$305,$T269)="Terminated"),3,0))))</f>
        <v/>
      </c>
      <c r="V269" s="31">
        <f>IF($B269="",0,IF(OR($B269="Outside team",COUNTIF($A$63:$A$102,$B269)&gt;0),1,0))</f>
        <v/>
      </c>
      <c r="W269" s="31">
        <f>IF($S269=0,0,1-$Y269)</f>
        <v/>
      </c>
      <c r="X269" s="31">
        <f>IF(OR($Y269=0,$U269&lt;&gt;1,$D$17=""),0,IF(AND(INDEX(Register!$B$6:$B$305,$T269)="Project",N(INDEX(Register!$U$6:$U$305,$T269))&gt;0,$D269&gt;N(INDEX(Register!$U$6:$U$305,$T269))),1,0))</f>
        <v/>
      </c>
      <c r="Y269" s="31">
        <f>IF($S269=0,0,IF(AND($V269=1,$T269&gt;0,$U269&gt;0,$AA269=1),1,0))</f>
        <v/>
      </c>
      <c r="Z269" s="31">
        <f>IF(OR($Y269=0,$D$17=""),0,$E269*MAX(0,(MIN($D269,$P$17)-MAX($C269,$D$17))/7+1))</f>
        <v/>
      </c>
      <c r="AA269" s="31">
        <f>IF($S269=0,0,IF(AND(ISNUMBER($C269),ISNUMBER($D269),ISNUMBER($E269)),IF(AND(WEEKDAY($C269,2)=1,WEEKDAY($D269,2)=1,$D269&gt;=$C269,$E269&gt;=0,$E269&lt;=7),1,0),0))</f>
        <v/>
      </c>
      <c r="BN269" s="31">
        <f>IF(IFERROR(INDEX(Register!$A$6:$A$305,ROW()-5),"")="",0,SUMIF($A$139:$A$288,IFERROR(INDEX(Register!$A$6:$A$305,ROW()-5),""),$Z$139:$Z$288))</f>
        <v/>
      </c>
      <c r="BO269" s="31">
        <f>IF(OR(IFERROR(INDEX(Register!$A$6:$A$305,ROW()-5),"")="",SUM($Z$139:$Z$288)=0),0,IF(AND(IFERROR(INDEX(Register!$B$6:$B$305,ROW()-5),"")="Project",IFERROR(INDEX(Register!$D$6:$D$305,ROW()-5),"")="Active",IFERROR(INDEX(Register!$Z$6:$Z$305,ROW()-5),"")=1,$BN269=0),1,0))</f>
        <v/>
      </c>
      <c r="BP269" s="31">
        <f>IF(AND(IFERROR(INDEX(Register!$A$6:$A$305,ROW()-5),"")&lt;&gt;"",IFERROR(INDEX(Register!$D$6:$D$305,ROW()-5),"")="Proposed"),$BN269,0)</f>
        <v/>
      </c>
    </row>
    <row r="270">
      <c r="A270" s="29" t="n"/>
      <c r="B270" s="29" t="n"/>
      <c r="C270" s="53" t="n"/>
      <c r="D270" s="53" t="n"/>
      <c r="E270" s="48" t="n"/>
      <c r="F270" s="31">
        <f>IF($S270=0,"",IF($V270=0,"△ Person not on People",IF($T270=0,"△ Row not on the Register",IF($U270=0,"△ Register row has no Status",IF($AA270=0,"△ From, To or days missing or not valid",IF($U270=3,"△ Row is Completed or Terminated. Clear the line.",IF($X270=1,"△ Booked past the forecast date",IF($U270=2,"○ Pencilled in","○ Clear"))))))))</f>
        <v/>
      </c>
      <c r="S270" s="31">
        <f>IF(COUNTA($A270:$E270)&gt;0,1,0)</f>
        <v/>
      </c>
      <c r="T270" s="31">
        <f>IF($A270="",0,IFERROR(MATCH($A270,Register!$A$6:$A$305,0),0))</f>
        <v/>
      </c>
      <c r="U270" s="31">
        <f>IF($T270=0,0,IF(INDEX(Register!$Q$6:$Q$305,$T270)=1,1,IF(INDEX(Register!$D$6:$D$305,$T270)="Proposed",2,IF(OR(INDEX(Register!$D$6:$D$305,$T270)="Completed",INDEX(Register!$D$6:$D$305,$T270)="Terminated"),3,0))))</f>
        <v/>
      </c>
      <c r="V270" s="31">
        <f>IF($B270="",0,IF(OR($B270="Outside team",COUNTIF($A$63:$A$102,$B270)&gt;0),1,0))</f>
        <v/>
      </c>
      <c r="W270" s="31">
        <f>IF($S270=0,0,1-$Y270)</f>
        <v/>
      </c>
      <c r="X270" s="31">
        <f>IF(OR($Y270=0,$U270&lt;&gt;1,$D$17=""),0,IF(AND(INDEX(Register!$B$6:$B$305,$T270)="Project",N(INDEX(Register!$U$6:$U$305,$T270))&gt;0,$D270&gt;N(INDEX(Register!$U$6:$U$305,$T270))),1,0))</f>
        <v/>
      </c>
      <c r="Y270" s="31">
        <f>IF($S270=0,0,IF(AND($V270=1,$T270&gt;0,$U270&gt;0,$AA270=1),1,0))</f>
        <v/>
      </c>
      <c r="Z270" s="31">
        <f>IF(OR($Y270=0,$D$17=""),0,$E270*MAX(0,(MIN($D270,$P$17)-MAX($C270,$D$17))/7+1))</f>
        <v/>
      </c>
      <c r="AA270" s="31">
        <f>IF($S270=0,0,IF(AND(ISNUMBER($C270),ISNUMBER($D270),ISNUMBER($E270)),IF(AND(WEEKDAY($C270,2)=1,WEEKDAY($D270,2)=1,$D270&gt;=$C270,$E270&gt;=0,$E270&lt;=7),1,0),0))</f>
        <v/>
      </c>
      <c r="BN270" s="31">
        <f>IF(IFERROR(INDEX(Register!$A$6:$A$305,ROW()-5),"")="",0,SUMIF($A$139:$A$288,IFERROR(INDEX(Register!$A$6:$A$305,ROW()-5),""),$Z$139:$Z$288))</f>
        <v/>
      </c>
      <c r="BO270" s="31">
        <f>IF(OR(IFERROR(INDEX(Register!$A$6:$A$305,ROW()-5),"")="",SUM($Z$139:$Z$288)=0),0,IF(AND(IFERROR(INDEX(Register!$B$6:$B$305,ROW()-5),"")="Project",IFERROR(INDEX(Register!$D$6:$D$305,ROW()-5),"")="Active",IFERROR(INDEX(Register!$Z$6:$Z$305,ROW()-5),"")=1,$BN270=0),1,0))</f>
        <v/>
      </c>
      <c r="BP270" s="31">
        <f>IF(AND(IFERROR(INDEX(Register!$A$6:$A$305,ROW()-5),"")&lt;&gt;"",IFERROR(INDEX(Register!$D$6:$D$305,ROW()-5),"")="Proposed"),$BN270,0)</f>
        <v/>
      </c>
    </row>
    <row r="271">
      <c r="A271" s="29" t="n"/>
      <c r="B271" s="29" t="n"/>
      <c r="C271" s="53" t="n"/>
      <c r="D271" s="53" t="n"/>
      <c r="E271" s="48" t="n"/>
      <c r="F271" s="31">
        <f>IF($S271=0,"",IF($V271=0,"△ Person not on People",IF($T271=0,"△ Row not on the Register",IF($U271=0,"△ Register row has no Status",IF($AA271=0,"△ From, To or days missing or not valid",IF($U271=3,"△ Row is Completed or Terminated. Clear the line.",IF($X271=1,"△ Booked past the forecast date",IF($U271=2,"○ Pencilled in","○ Clear"))))))))</f>
        <v/>
      </c>
      <c r="S271" s="31">
        <f>IF(COUNTA($A271:$E271)&gt;0,1,0)</f>
        <v/>
      </c>
      <c r="T271" s="31">
        <f>IF($A271="",0,IFERROR(MATCH($A271,Register!$A$6:$A$305,0),0))</f>
        <v/>
      </c>
      <c r="U271" s="31">
        <f>IF($T271=0,0,IF(INDEX(Register!$Q$6:$Q$305,$T271)=1,1,IF(INDEX(Register!$D$6:$D$305,$T271)="Proposed",2,IF(OR(INDEX(Register!$D$6:$D$305,$T271)="Completed",INDEX(Register!$D$6:$D$305,$T271)="Terminated"),3,0))))</f>
        <v/>
      </c>
      <c r="V271" s="31">
        <f>IF($B271="",0,IF(OR($B271="Outside team",COUNTIF($A$63:$A$102,$B271)&gt;0),1,0))</f>
        <v/>
      </c>
      <c r="W271" s="31">
        <f>IF($S271=0,0,1-$Y271)</f>
        <v/>
      </c>
      <c r="X271" s="31">
        <f>IF(OR($Y271=0,$U271&lt;&gt;1,$D$17=""),0,IF(AND(INDEX(Register!$B$6:$B$305,$T271)="Project",N(INDEX(Register!$U$6:$U$305,$T271))&gt;0,$D271&gt;N(INDEX(Register!$U$6:$U$305,$T271))),1,0))</f>
        <v/>
      </c>
      <c r="Y271" s="31">
        <f>IF($S271=0,0,IF(AND($V271=1,$T271&gt;0,$U271&gt;0,$AA271=1),1,0))</f>
        <v/>
      </c>
      <c r="Z271" s="31">
        <f>IF(OR($Y271=0,$D$17=""),0,$E271*MAX(0,(MIN($D271,$P$17)-MAX($C271,$D$17))/7+1))</f>
        <v/>
      </c>
      <c r="AA271" s="31">
        <f>IF($S271=0,0,IF(AND(ISNUMBER($C271),ISNUMBER($D271),ISNUMBER($E271)),IF(AND(WEEKDAY($C271,2)=1,WEEKDAY($D271,2)=1,$D271&gt;=$C271,$E271&gt;=0,$E271&lt;=7),1,0),0))</f>
        <v/>
      </c>
      <c r="BN271" s="31">
        <f>IF(IFERROR(INDEX(Register!$A$6:$A$305,ROW()-5),"")="",0,SUMIF($A$139:$A$288,IFERROR(INDEX(Register!$A$6:$A$305,ROW()-5),""),$Z$139:$Z$288))</f>
        <v/>
      </c>
      <c r="BO271" s="31">
        <f>IF(OR(IFERROR(INDEX(Register!$A$6:$A$305,ROW()-5),"")="",SUM($Z$139:$Z$288)=0),0,IF(AND(IFERROR(INDEX(Register!$B$6:$B$305,ROW()-5),"")="Project",IFERROR(INDEX(Register!$D$6:$D$305,ROW()-5),"")="Active",IFERROR(INDEX(Register!$Z$6:$Z$305,ROW()-5),"")=1,$BN271=0),1,0))</f>
        <v/>
      </c>
      <c r="BP271" s="31">
        <f>IF(AND(IFERROR(INDEX(Register!$A$6:$A$305,ROW()-5),"")&lt;&gt;"",IFERROR(INDEX(Register!$D$6:$D$305,ROW()-5),"")="Proposed"),$BN271,0)</f>
        <v/>
      </c>
    </row>
    <row r="272">
      <c r="A272" s="29" t="n"/>
      <c r="B272" s="29" t="n"/>
      <c r="C272" s="53" t="n"/>
      <c r="D272" s="53" t="n"/>
      <c r="E272" s="48" t="n"/>
      <c r="F272" s="31">
        <f>IF($S272=0,"",IF($V272=0,"△ Person not on People",IF($T272=0,"△ Row not on the Register",IF($U272=0,"△ Register row has no Status",IF($AA272=0,"△ From, To or days missing or not valid",IF($U272=3,"△ Row is Completed or Terminated. Clear the line.",IF($X272=1,"△ Booked past the forecast date",IF($U272=2,"○ Pencilled in","○ Clear"))))))))</f>
        <v/>
      </c>
      <c r="S272" s="31">
        <f>IF(COUNTA($A272:$E272)&gt;0,1,0)</f>
        <v/>
      </c>
      <c r="T272" s="31">
        <f>IF($A272="",0,IFERROR(MATCH($A272,Register!$A$6:$A$305,0),0))</f>
        <v/>
      </c>
      <c r="U272" s="31">
        <f>IF($T272=0,0,IF(INDEX(Register!$Q$6:$Q$305,$T272)=1,1,IF(INDEX(Register!$D$6:$D$305,$T272)="Proposed",2,IF(OR(INDEX(Register!$D$6:$D$305,$T272)="Completed",INDEX(Register!$D$6:$D$305,$T272)="Terminated"),3,0))))</f>
        <v/>
      </c>
      <c r="V272" s="31">
        <f>IF($B272="",0,IF(OR($B272="Outside team",COUNTIF($A$63:$A$102,$B272)&gt;0),1,0))</f>
        <v/>
      </c>
      <c r="W272" s="31">
        <f>IF($S272=0,0,1-$Y272)</f>
        <v/>
      </c>
      <c r="X272" s="31">
        <f>IF(OR($Y272=0,$U272&lt;&gt;1,$D$17=""),0,IF(AND(INDEX(Register!$B$6:$B$305,$T272)="Project",N(INDEX(Register!$U$6:$U$305,$T272))&gt;0,$D272&gt;N(INDEX(Register!$U$6:$U$305,$T272))),1,0))</f>
        <v/>
      </c>
      <c r="Y272" s="31">
        <f>IF($S272=0,0,IF(AND($V272=1,$T272&gt;0,$U272&gt;0,$AA272=1),1,0))</f>
        <v/>
      </c>
      <c r="Z272" s="31">
        <f>IF(OR($Y272=0,$D$17=""),0,$E272*MAX(0,(MIN($D272,$P$17)-MAX($C272,$D$17))/7+1))</f>
        <v/>
      </c>
      <c r="AA272" s="31">
        <f>IF($S272=0,0,IF(AND(ISNUMBER($C272),ISNUMBER($D272),ISNUMBER($E272)),IF(AND(WEEKDAY($C272,2)=1,WEEKDAY($D272,2)=1,$D272&gt;=$C272,$E272&gt;=0,$E272&lt;=7),1,0),0))</f>
        <v/>
      </c>
      <c r="BN272" s="31">
        <f>IF(IFERROR(INDEX(Register!$A$6:$A$305,ROW()-5),"")="",0,SUMIF($A$139:$A$288,IFERROR(INDEX(Register!$A$6:$A$305,ROW()-5),""),$Z$139:$Z$288))</f>
        <v/>
      </c>
      <c r="BO272" s="31">
        <f>IF(OR(IFERROR(INDEX(Register!$A$6:$A$305,ROW()-5),"")="",SUM($Z$139:$Z$288)=0),0,IF(AND(IFERROR(INDEX(Register!$B$6:$B$305,ROW()-5),"")="Project",IFERROR(INDEX(Register!$D$6:$D$305,ROW()-5),"")="Active",IFERROR(INDEX(Register!$Z$6:$Z$305,ROW()-5),"")=1,$BN272=0),1,0))</f>
        <v/>
      </c>
      <c r="BP272" s="31">
        <f>IF(AND(IFERROR(INDEX(Register!$A$6:$A$305,ROW()-5),"")&lt;&gt;"",IFERROR(INDEX(Register!$D$6:$D$305,ROW()-5),"")="Proposed"),$BN272,0)</f>
        <v/>
      </c>
    </row>
    <row r="273">
      <c r="A273" s="29" t="n"/>
      <c r="B273" s="29" t="n"/>
      <c r="C273" s="53" t="n"/>
      <c r="D273" s="53" t="n"/>
      <c r="E273" s="48" t="n"/>
      <c r="F273" s="31">
        <f>IF($S273=0,"",IF($V273=0,"△ Person not on People",IF($T273=0,"△ Row not on the Register",IF($U273=0,"△ Register row has no Status",IF($AA273=0,"△ From, To or days missing or not valid",IF($U273=3,"△ Row is Completed or Terminated. Clear the line.",IF($X273=1,"△ Booked past the forecast date",IF($U273=2,"○ Pencilled in","○ Clear"))))))))</f>
        <v/>
      </c>
      <c r="S273" s="31">
        <f>IF(COUNTA($A273:$E273)&gt;0,1,0)</f>
        <v/>
      </c>
      <c r="T273" s="31">
        <f>IF($A273="",0,IFERROR(MATCH($A273,Register!$A$6:$A$305,0),0))</f>
        <v/>
      </c>
      <c r="U273" s="31">
        <f>IF($T273=0,0,IF(INDEX(Register!$Q$6:$Q$305,$T273)=1,1,IF(INDEX(Register!$D$6:$D$305,$T273)="Proposed",2,IF(OR(INDEX(Register!$D$6:$D$305,$T273)="Completed",INDEX(Register!$D$6:$D$305,$T273)="Terminated"),3,0))))</f>
        <v/>
      </c>
      <c r="V273" s="31">
        <f>IF($B273="",0,IF(OR($B273="Outside team",COUNTIF($A$63:$A$102,$B273)&gt;0),1,0))</f>
        <v/>
      </c>
      <c r="W273" s="31">
        <f>IF($S273=0,0,1-$Y273)</f>
        <v/>
      </c>
      <c r="X273" s="31">
        <f>IF(OR($Y273=0,$U273&lt;&gt;1,$D$17=""),0,IF(AND(INDEX(Register!$B$6:$B$305,$T273)="Project",N(INDEX(Register!$U$6:$U$305,$T273))&gt;0,$D273&gt;N(INDEX(Register!$U$6:$U$305,$T273))),1,0))</f>
        <v/>
      </c>
      <c r="Y273" s="31">
        <f>IF($S273=0,0,IF(AND($V273=1,$T273&gt;0,$U273&gt;0,$AA273=1),1,0))</f>
        <v/>
      </c>
      <c r="Z273" s="31">
        <f>IF(OR($Y273=0,$D$17=""),0,$E273*MAX(0,(MIN($D273,$P$17)-MAX($C273,$D$17))/7+1))</f>
        <v/>
      </c>
      <c r="AA273" s="31">
        <f>IF($S273=0,0,IF(AND(ISNUMBER($C273),ISNUMBER($D273),ISNUMBER($E273)),IF(AND(WEEKDAY($C273,2)=1,WEEKDAY($D273,2)=1,$D273&gt;=$C273,$E273&gt;=0,$E273&lt;=7),1,0),0))</f>
        <v/>
      </c>
      <c r="BN273" s="31">
        <f>IF(IFERROR(INDEX(Register!$A$6:$A$305,ROW()-5),"")="",0,SUMIF($A$139:$A$288,IFERROR(INDEX(Register!$A$6:$A$305,ROW()-5),""),$Z$139:$Z$288))</f>
        <v/>
      </c>
      <c r="BO273" s="31">
        <f>IF(OR(IFERROR(INDEX(Register!$A$6:$A$305,ROW()-5),"")="",SUM($Z$139:$Z$288)=0),0,IF(AND(IFERROR(INDEX(Register!$B$6:$B$305,ROW()-5),"")="Project",IFERROR(INDEX(Register!$D$6:$D$305,ROW()-5),"")="Active",IFERROR(INDEX(Register!$Z$6:$Z$305,ROW()-5),"")=1,$BN273=0),1,0))</f>
        <v/>
      </c>
      <c r="BP273" s="31">
        <f>IF(AND(IFERROR(INDEX(Register!$A$6:$A$305,ROW()-5),"")&lt;&gt;"",IFERROR(INDEX(Register!$D$6:$D$305,ROW()-5),"")="Proposed"),$BN273,0)</f>
        <v/>
      </c>
    </row>
    <row r="274">
      <c r="A274" s="29" t="n"/>
      <c r="B274" s="29" t="n"/>
      <c r="C274" s="53" t="n"/>
      <c r="D274" s="53" t="n"/>
      <c r="E274" s="48" t="n"/>
      <c r="F274" s="31">
        <f>IF($S274=0,"",IF($V274=0,"△ Person not on People",IF($T274=0,"△ Row not on the Register",IF($U274=0,"△ Register row has no Status",IF($AA274=0,"△ From, To or days missing or not valid",IF($U274=3,"△ Row is Completed or Terminated. Clear the line.",IF($X274=1,"△ Booked past the forecast date",IF($U274=2,"○ Pencilled in","○ Clear"))))))))</f>
        <v/>
      </c>
      <c r="S274" s="31">
        <f>IF(COUNTA($A274:$E274)&gt;0,1,0)</f>
        <v/>
      </c>
      <c r="T274" s="31">
        <f>IF($A274="",0,IFERROR(MATCH($A274,Register!$A$6:$A$305,0),0))</f>
        <v/>
      </c>
      <c r="U274" s="31">
        <f>IF($T274=0,0,IF(INDEX(Register!$Q$6:$Q$305,$T274)=1,1,IF(INDEX(Register!$D$6:$D$305,$T274)="Proposed",2,IF(OR(INDEX(Register!$D$6:$D$305,$T274)="Completed",INDEX(Register!$D$6:$D$305,$T274)="Terminated"),3,0))))</f>
        <v/>
      </c>
      <c r="V274" s="31">
        <f>IF($B274="",0,IF(OR($B274="Outside team",COUNTIF($A$63:$A$102,$B274)&gt;0),1,0))</f>
        <v/>
      </c>
      <c r="W274" s="31">
        <f>IF($S274=0,0,1-$Y274)</f>
        <v/>
      </c>
      <c r="X274" s="31">
        <f>IF(OR($Y274=0,$U274&lt;&gt;1,$D$17=""),0,IF(AND(INDEX(Register!$B$6:$B$305,$T274)="Project",N(INDEX(Register!$U$6:$U$305,$T274))&gt;0,$D274&gt;N(INDEX(Register!$U$6:$U$305,$T274))),1,0))</f>
        <v/>
      </c>
      <c r="Y274" s="31">
        <f>IF($S274=0,0,IF(AND($V274=1,$T274&gt;0,$U274&gt;0,$AA274=1),1,0))</f>
        <v/>
      </c>
      <c r="Z274" s="31">
        <f>IF(OR($Y274=0,$D$17=""),0,$E274*MAX(0,(MIN($D274,$P$17)-MAX($C274,$D$17))/7+1))</f>
        <v/>
      </c>
      <c r="AA274" s="31">
        <f>IF($S274=0,0,IF(AND(ISNUMBER($C274),ISNUMBER($D274),ISNUMBER($E274)),IF(AND(WEEKDAY($C274,2)=1,WEEKDAY($D274,2)=1,$D274&gt;=$C274,$E274&gt;=0,$E274&lt;=7),1,0),0))</f>
        <v/>
      </c>
      <c r="BN274" s="31">
        <f>IF(IFERROR(INDEX(Register!$A$6:$A$305,ROW()-5),"")="",0,SUMIF($A$139:$A$288,IFERROR(INDEX(Register!$A$6:$A$305,ROW()-5),""),$Z$139:$Z$288))</f>
        <v/>
      </c>
      <c r="BO274" s="31">
        <f>IF(OR(IFERROR(INDEX(Register!$A$6:$A$305,ROW()-5),"")="",SUM($Z$139:$Z$288)=0),0,IF(AND(IFERROR(INDEX(Register!$B$6:$B$305,ROW()-5),"")="Project",IFERROR(INDEX(Register!$D$6:$D$305,ROW()-5),"")="Active",IFERROR(INDEX(Register!$Z$6:$Z$305,ROW()-5),"")=1,$BN274=0),1,0))</f>
        <v/>
      </c>
      <c r="BP274" s="31">
        <f>IF(AND(IFERROR(INDEX(Register!$A$6:$A$305,ROW()-5),"")&lt;&gt;"",IFERROR(INDEX(Register!$D$6:$D$305,ROW()-5),"")="Proposed"),$BN274,0)</f>
        <v/>
      </c>
    </row>
    <row r="275">
      <c r="A275" s="29" t="n"/>
      <c r="B275" s="29" t="n"/>
      <c r="C275" s="53" t="n"/>
      <c r="D275" s="53" t="n"/>
      <c r="E275" s="48" t="n"/>
      <c r="F275" s="31">
        <f>IF($S275=0,"",IF($V275=0,"△ Person not on People",IF($T275=0,"△ Row not on the Register",IF($U275=0,"△ Register row has no Status",IF($AA275=0,"△ From, To or days missing or not valid",IF($U275=3,"△ Row is Completed or Terminated. Clear the line.",IF($X275=1,"△ Booked past the forecast date",IF($U275=2,"○ Pencilled in","○ Clear"))))))))</f>
        <v/>
      </c>
      <c r="S275" s="31">
        <f>IF(COUNTA($A275:$E275)&gt;0,1,0)</f>
        <v/>
      </c>
      <c r="T275" s="31">
        <f>IF($A275="",0,IFERROR(MATCH($A275,Register!$A$6:$A$305,0),0))</f>
        <v/>
      </c>
      <c r="U275" s="31">
        <f>IF($T275=0,0,IF(INDEX(Register!$Q$6:$Q$305,$T275)=1,1,IF(INDEX(Register!$D$6:$D$305,$T275)="Proposed",2,IF(OR(INDEX(Register!$D$6:$D$305,$T275)="Completed",INDEX(Register!$D$6:$D$305,$T275)="Terminated"),3,0))))</f>
        <v/>
      </c>
      <c r="V275" s="31">
        <f>IF($B275="",0,IF(OR($B275="Outside team",COUNTIF($A$63:$A$102,$B275)&gt;0),1,0))</f>
        <v/>
      </c>
      <c r="W275" s="31">
        <f>IF($S275=0,0,1-$Y275)</f>
        <v/>
      </c>
      <c r="X275" s="31">
        <f>IF(OR($Y275=0,$U275&lt;&gt;1,$D$17=""),0,IF(AND(INDEX(Register!$B$6:$B$305,$T275)="Project",N(INDEX(Register!$U$6:$U$305,$T275))&gt;0,$D275&gt;N(INDEX(Register!$U$6:$U$305,$T275))),1,0))</f>
        <v/>
      </c>
      <c r="Y275" s="31">
        <f>IF($S275=0,0,IF(AND($V275=1,$T275&gt;0,$U275&gt;0,$AA275=1),1,0))</f>
        <v/>
      </c>
      <c r="Z275" s="31">
        <f>IF(OR($Y275=0,$D$17=""),0,$E275*MAX(0,(MIN($D275,$P$17)-MAX($C275,$D$17))/7+1))</f>
        <v/>
      </c>
      <c r="AA275" s="31">
        <f>IF($S275=0,0,IF(AND(ISNUMBER($C275),ISNUMBER($D275),ISNUMBER($E275)),IF(AND(WEEKDAY($C275,2)=1,WEEKDAY($D275,2)=1,$D275&gt;=$C275,$E275&gt;=0,$E275&lt;=7),1,0),0))</f>
        <v/>
      </c>
      <c r="BN275" s="31">
        <f>IF(IFERROR(INDEX(Register!$A$6:$A$305,ROW()-5),"")="",0,SUMIF($A$139:$A$288,IFERROR(INDEX(Register!$A$6:$A$305,ROW()-5),""),$Z$139:$Z$288))</f>
        <v/>
      </c>
      <c r="BO275" s="31">
        <f>IF(OR(IFERROR(INDEX(Register!$A$6:$A$305,ROW()-5),"")="",SUM($Z$139:$Z$288)=0),0,IF(AND(IFERROR(INDEX(Register!$B$6:$B$305,ROW()-5),"")="Project",IFERROR(INDEX(Register!$D$6:$D$305,ROW()-5),"")="Active",IFERROR(INDEX(Register!$Z$6:$Z$305,ROW()-5),"")=1,$BN275=0),1,0))</f>
        <v/>
      </c>
      <c r="BP275" s="31">
        <f>IF(AND(IFERROR(INDEX(Register!$A$6:$A$305,ROW()-5),"")&lt;&gt;"",IFERROR(INDEX(Register!$D$6:$D$305,ROW()-5),"")="Proposed"),$BN275,0)</f>
        <v/>
      </c>
    </row>
    <row r="276">
      <c r="A276" s="29" t="n"/>
      <c r="B276" s="29" t="n"/>
      <c r="C276" s="53" t="n"/>
      <c r="D276" s="53" t="n"/>
      <c r="E276" s="48" t="n"/>
      <c r="F276" s="31">
        <f>IF($S276=0,"",IF($V276=0,"△ Person not on People",IF($T276=0,"△ Row not on the Register",IF($U276=0,"△ Register row has no Status",IF($AA276=0,"△ From, To or days missing or not valid",IF($U276=3,"△ Row is Completed or Terminated. Clear the line.",IF($X276=1,"△ Booked past the forecast date",IF($U276=2,"○ Pencilled in","○ Clear"))))))))</f>
        <v/>
      </c>
      <c r="S276" s="31">
        <f>IF(COUNTA($A276:$E276)&gt;0,1,0)</f>
        <v/>
      </c>
      <c r="T276" s="31">
        <f>IF($A276="",0,IFERROR(MATCH($A276,Register!$A$6:$A$305,0),0))</f>
        <v/>
      </c>
      <c r="U276" s="31">
        <f>IF($T276=0,0,IF(INDEX(Register!$Q$6:$Q$305,$T276)=1,1,IF(INDEX(Register!$D$6:$D$305,$T276)="Proposed",2,IF(OR(INDEX(Register!$D$6:$D$305,$T276)="Completed",INDEX(Register!$D$6:$D$305,$T276)="Terminated"),3,0))))</f>
        <v/>
      </c>
      <c r="V276" s="31">
        <f>IF($B276="",0,IF(OR($B276="Outside team",COUNTIF($A$63:$A$102,$B276)&gt;0),1,0))</f>
        <v/>
      </c>
      <c r="W276" s="31">
        <f>IF($S276=0,0,1-$Y276)</f>
        <v/>
      </c>
      <c r="X276" s="31">
        <f>IF(OR($Y276=0,$U276&lt;&gt;1,$D$17=""),0,IF(AND(INDEX(Register!$B$6:$B$305,$T276)="Project",N(INDEX(Register!$U$6:$U$305,$T276))&gt;0,$D276&gt;N(INDEX(Register!$U$6:$U$305,$T276))),1,0))</f>
        <v/>
      </c>
      <c r="Y276" s="31">
        <f>IF($S276=0,0,IF(AND($V276=1,$T276&gt;0,$U276&gt;0,$AA276=1),1,0))</f>
        <v/>
      </c>
      <c r="Z276" s="31">
        <f>IF(OR($Y276=0,$D$17=""),0,$E276*MAX(0,(MIN($D276,$P$17)-MAX($C276,$D$17))/7+1))</f>
        <v/>
      </c>
      <c r="AA276" s="31">
        <f>IF($S276=0,0,IF(AND(ISNUMBER($C276),ISNUMBER($D276),ISNUMBER($E276)),IF(AND(WEEKDAY($C276,2)=1,WEEKDAY($D276,2)=1,$D276&gt;=$C276,$E276&gt;=0,$E276&lt;=7),1,0),0))</f>
        <v/>
      </c>
      <c r="BN276" s="31">
        <f>IF(IFERROR(INDEX(Register!$A$6:$A$305,ROW()-5),"")="",0,SUMIF($A$139:$A$288,IFERROR(INDEX(Register!$A$6:$A$305,ROW()-5),""),$Z$139:$Z$288))</f>
        <v/>
      </c>
      <c r="BO276" s="31">
        <f>IF(OR(IFERROR(INDEX(Register!$A$6:$A$305,ROW()-5),"")="",SUM($Z$139:$Z$288)=0),0,IF(AND(IFERROR(INDEX(Register!$B$6:$B$305,ROW()-5),"")="Project",IFERROR(INDEX(Register!$D$6:$D$305,ROW()-5),"")="Active",IFERROR(INDEX(Register!$Z$6:$Z$305,ROW()-5),"")=1,$BN276=0),1,0))</f>
        <v/>
      </c>
      <c r="BP276" s="31">
        <f>IF(AND(IFERROR(INDEX(Register!$A$6:$A$305,ROW()-5),"")&lt;&gt;"",IFERROR(INDEX(Register!$D$6:$D$305,ROW()-5),"")="Proposed"),$BN276,0)</f>
        <v/>
      </c>
    </row>
    <row r="277">
      <c r="A277" s="29" t="n"/>
      <c r="B277" s="29" t="n"/>
      <c r="C277" s="53" t="n"/>
      <c r="D277" s="53" t="n"/>
      <c r="E277" s="48" t="n"/>
      <c r="F277" s="31">
        <f>IF($S277=0,"",IF($V277=0,"△ Person not on People",IF($T277=0,"△ Row not on the Register",IF($U277=0,"△ Register row has no Status",IF($AA277=0,"△ From, To or days missing or not valid",IF($U277=3,"△ Row is Completed or Terminated. Clear the line.",IF($X277=1,"△ Booked past the forecast date",IF($U277=2,"○ Pencilled in","○ Clear"))))))))</f>
        <v/>
      </c>
      <c r="S277" s="31">
        <f>IF(COUNTA($A277:$E277)&gt;0,1,0)</f>
        <v/>
      </c>
      <c r="T277" s="31">
        <f>IF($A277="",0,IFERROR(MATCH($A277,Register!$A$6:$A$305,0),0))</f>
        <v/>
      </c>
      <c r="U277" s="31">
        <f>IF($T277=0,0,IF(INDEX(Register!$Q$6:$Q$305,$T277)=1,1,IF(INDEX(Register!$D$6:$D$305,$T277)="Proposed",2,IF(OR(INDEX(Register!$D$6:$D$305,$T277)="Completed",INDEX(Register!$D$6:$D$305,$T277)="Terminated"),3,0))))</f>
        <v/>
      </c>
      <c r="V277" s="31">
        <f>IF($B277="",0,IF(OR($B277="Outside team",COUNTIF($A$63:$A$102,$B277)&gt;0),1,0))</f>
        <v/>
      </c>
      <c r="W277" s="31">
        <f>IF($S277=0,0,1-$Y277)</f>
        <v/>
      </c>
      <c r="X277" s="31">
        <f>IF(OR($Y277=0,$U277&lt;&gt;1,$D$17=""),0,IF(AND(INDEX(Register!$B$6:$B$305,$T277)="Project",N(INDEX(Register!$U$6:$U$305,$T277))&gt;0,$D277&gt;N(INDEX(Register!$U$6:$U$305,$T277))),1,0))</f>
        <v/>
      </c>
      <c r="Y277" s="31">
        <f>IF($S277=0,0,IF(AND($V277=1,$T277&gt;0,$U277&gt;0,$AA277=1),1,0))</f>
        <v/>
      </c>
      <c r="Z277" s="31">
        <f>IF(OR($Y277=0,$D$17=""),0,$E277*MAX(0,(MIN($D277,$P$17)-MAX($C277,$D$17))/7+1))</f>
        <v/>
      </c>
      <c r="AA277" s="31">
        <f>IF($S277=0,0,IF(AND(ISNUMBER($C277),ISNUMBER($D277),ISNUMBER($E277)),IF(AND(WEEKDAY($C277,2)=1,WEEKDAY($D277,2)=1,$D277&gt;=$C277,$E277&gt;=0,$E277&lt;=7),1,0),0))</f>
        <v/>
      </c>
      <c r="BN277" s="31">
        <f>IF(IFERROR(INDEX(Register!$A$6:$A$305,ROW()-5),"")="",0,SUMIF($A$139:$A$288,IFERROR(INDEX(Register!$A$6:$A$305,ROW()-5),""),$Z$139:$Z$288))</f>
        <v/>
      </c>
      <c r="BO277" s="31">
        <f>IF(OR(IFERROR(INDEX(Register!$A$6:$A$305,ROW()-5),"")="",SUM($Z$139:$Z$288)=0),0,IF(AND(IFERROR(INDEX(Register!$B$6:$B$305,ROW()-5),"")="Project",IFERROR(INDEX(Register!$D$6:$D$305,ROW()-5),"")="Active",IFERROR(INDEX(Register!$Z$6:$Z$305,ROW()-5),"")=1,$BN277=0),1,0))</f>
        <v/>
      </c>
      <c r="BP277" s="31">
        <f>IF(AND(IFERROR(INDEX(Register!$A$6:$A$305,ROW()-5),"")&lt;&gt;"",IFERROR(INDEX(Register!$D$6:$D$305,ROW()-5),"")="Proposed"),$BN277,0)</f>
        <v/>
      </c>
    </row>
    <row r="278">
      <c r="A278" s="29" t="n"/>
      <c r="B278" s="29" t="n"/>
      <c r="C278" s="53" t="n"/>
      <c r="D278" s="53" t="n"/>
      <c r="E278" s="48" t="n"/>
      <c r="F278" s="31">
        <f>IF($S278=0,"",IF($V278=0,"△ Person not on People",IF($T278=0,"△ Row not on the Register",IF($U278=0,"△ Register row has no Status",IF($AA278=0,"△ From, To or days missing or not valid",IF($U278=3,"△ Row is Completed or Terminated. Clear the line.",IF($X278=1,"△ Booked past the forecast date",IF($U278=2,"○ Pencilled in","○ Clear"))))))))</f>
        <v/>
      </c>
      <c r="S278" s="31">
        <f>IF(COUNTA($A278:$E278)&gt;0,1,0)</f>
        <v/>
      </c>
      <c r="T278" s="31">
        <f>IF($A278="",0,IFERROR(MATCH($A278,Register!$A$6:$A$305,0),0))</f>
        <v/>
      </c>
      <c r="U278" s="31">
        <f>IF($T278=0,0,IF(INDEX(Register!$Q$6:$Q$305,$T278)=1,1,IF(INDEX(Register!$D$6:$D$305,$T278)="Proposed",2,IF(OR(INDEX(Register!$D$6:$D$305,$T278)="Completed",INDEX(Register!$D$6:$D$305,$T278)="Terminated"),3,0))))</f>
        <v/>
      </c>
      <c r="V278" s="31">
        <f>IF($B278="",0,IF(OR($B278="Outside team",COUNTIF($A$63:$A$102,$B278)&gt;0),1,0))</f>
        <v/>
      </c>
      <c r="W278" s="31">
        <f>IF($S278=0,0,1-$Y278)</f>
        <v/>
      </c>
      <c r="X278" s="31">
        <f>IF(OR($Y278=0,$U278&lt;&gt;1,$D$17=""),0,IF(AND(INDEX(Register!$B$6:$B$305,$T278)="Project",N(INDEX(Register!$U$6:$U$305,$T278))&gt;0,$D278&gt;N(INDEX(Register!$U$6:$U$305,$T278))),1,0))</f>
        <v/>
      </c>
      <c r="Y278" s="31">
        <f>IF($S278=0,0,IF(AND($V278=1,$T278&gt;0,$U278&gt;0,$AA278=1),1,0))</f>
        <v/>
      </c>
      <c r="Z278" s="31">
        <f>IF(OR($Y278=0,$D$17=""),0,$E278*MAX(0,(MIN($D278,$P$17)-MAX($C278,$D$17))/7+1))</f>
        <v/>
      </c>
      <c r="AA278" s="31">
        <f>IF($S278=0,0,IF(AND(ISNUMBER($C278),ISNUMBER($D278),ISNUMBER($E278)),IF(AND(WEEKDAY($C278,2)=1,WEEKDAY($D278,2)=1,$D278&gt;=$C278,$E278&gt;=0,$E278&lt;=7),1,0),0))</f>
        <v/>
      </c>
      <c r="BN278" s="31">
        <f>IF(IFERROR(INDEX(Register!$A$6:$A$305,ROW()-5),"")="",0,SUMIF($A$139:$A$288,IFERROR(INDEX(Register!$A$6:$A$305,ROW()-5),""),$Z$139:$Z$288))</f>
        <v/>
      </c>
      <c r="BO278" s="31">
        <f>IF(OR(IFERROR(INDEX(Register!$A$6:$A$305,ROW()-5),"")="",SUM($Z$139:$Z$288)=0),0,IF(AND(IFERROR(INDEX(Register!$B$6:$B$305,ROW()-5),"")="Project",IFERROR(INDEX(Register!$D$6:$D$305,ROW()-5),"")="Active",IFERROR(INDEX(Register!$Z$6:$Z$305,ROW()-5),"")=1,$BN278=0),1,0))</f>
        <v/>
      </c>
      <c r="BP278" s="31">
        <f>IF(AND(IFERROR(INDEX(Register!$A$6:$A$305,ROW()-5),"")&lt;&gt;"",IFERROR(INDEX(Register!$D$6:$D$305,ROW()-5),"")="Proposed"),$BN278,0)</f>
        <v/>
      </c>
    </row>
    <row r="279">
      <c r="A279" s="29" t="n"/>
      <c r="B279" s="29" t="n"/>
      <c r="C279" s="53" t="n"/>
      <c r="D279" s="53" t="n"/>
      <c r="E279" s="48" t="n"/>
      <c r="F279" s="31">
        <f>IF($S279=0,"",IF($V279=0,"△ Person not on People",IF($T279=0,"△ Row not on the Register",IF($U279=0,"△ Register row has no Status",IF($AA279=0,"△ From, To or days missing or not valid",IF($U279=3,"△ Row is Completed or Terminated. Clear the line.",IF($X279=1,"△ Booked past the forecast date",IF($U279=2,"○ Pencilled in","○ Clear"))))))))</f>
        <v/>
      </c>
      <c r="S279" s="31">
        <f>IF(COUNTA($A279:$E279)&gt;0,1,0)</f>
        <v/>
      </c>
      <c r="T279" s="31">
        <f>IF($A279="",0,IFERROR(MATCH($A279,Register!$A$6:$A$305,0),0))</f>
        <v/>
      </c>
      <c r="U279" s="31">
        <f>IF($T279=0,0,IF(INDEX(Register!$Q$6:$Q$305,$T279)=1,1,IF(INDEX(Register!$D$6:$D$305,$T279)="Proposed",2,IF(OR(INDEX(Register!$D$6:$D$305,$T279)="Completed",INDEX(Register!$D$6:$D$305,$T279)="Terminated"),3,0))))</f>
        <v/>
      </c>
      <c r="V279" s="31">
        <f>IF($B279="",0,IF(OR($B279="Outside team",COUNTIF($A$63:$A$102,$B279)&gt;0),1,0))</f>
        <v/>
      </c>
      <c r="W279" s="31">
        <f>IF($S279=0,0,1-$Y279)</f>
        <v/>
      </c>
      <c r="X279" s="31">
        <f>IF(OR($Y279=0,$U279&lt;&gt;1,$D$17=""),0,IF(AND(INDEX(Register!$B$6:$B$305,$T279)="Project",N(INDEX(Register!$U$6:$U$305,$T279))&gt;0,$D279&gt;N(INDEX(Register!$U$6:$U$305,$T279))),1,0))</f>
        <v/>
      </c>
      <c r="Y279" s="31">
        <f>IF($S279=0,0,IF(AND($V279=1,$T279&gt;0,$U279&gt;0,$AA279=1),1,0))</f>
        <v/>
      </c>
      <c r="Z279" s="31">
        <f>IF(OR($Y279=0,$D$17=""),0,$E279*MAX(0,(MIN($D279,$P$17)-MAX($C279,$D$17))/7+1))</f>
        <v/>
      </c>
      <c r="AA279" s="31">
        <f>IF($S279=0,0,IF(AND(ISNUMBER($C279),ISNUMBER($D279),ISNUMBER($E279)),IF(AND(WEEKDAY($C279,2)=1,WEEKDAY($D279,2)=1,$D279&gt;=$C279,$E279&gt;=0,$E279&lt;=7),1,0),0))</f>
        <v/>
      </c>
      <c r="BN279" s="31">
        <f>IF(IFERROR(INDEX(Register!$A$6:$A$305,ROW()-5),"")="",0,SUMIF($A$139:$A$288,IFERROR(INDEX(Register!$A$6:$A$305,ROW()-5),""),$Z$139:$Z$288))</f>
        <v/>
      </c>
      <c r="BO279" s="31">
        <f>IF(OR(IFERROR(INDEX(Register!$A$6:$A$305,ROW()-5),"")="",SUM($Z$139:$Z$288)=0),0,IF(AND(IFERROR(INDEX(Register!$B$6:$B$305,ROW()-5),"")="Project",IFERROR(INDEX(Register!$D$6:$D$305,ROW()-5),"")="Active",IFERROR(INDEX(Register!$Z$6:$Z$305,ROW()-5),"")=1,$BN279=0),1,0))</f>
        <v/>
      </c>
      <c r="BP279" s="31">
        <f>IF(AND(IFERROR(INDEX(Register!$A$6:$A$305,ROW()-5),"")&lt;&gt;"",IFERROR(INDEX(Register!$D$6:$D$305,ROW()-5),"")="Proposed"),$BN279,0)</f>
        <v/>
      </c>
    </row>
    <row r="280">
      <c r="A280" s="29" t="n"/>
      <c r="B280" s="29" t="n"/>
      <c r="C280" s="53" t="n"/>
      <c r="D280" s="53" t="n"/>
      <c r="E280" s="48" t="n"/>
      <c r="F280" s="31">
        <f>IF($S280=0,"",IF($V280=0,"△ Person not on People",IF($T280=0,"△ Row not on the Register",IF($U280=0,"△ Register row has no Status",IF($AA280=0,"△ From, To or days missing or not valid",IF($U280=3,"△ Row is Completed or Terminated. Clear the line.",IF($X280=1,"△ Booked past the forecast date",IF($U280=2,"○ Pencilled in","○ Clear"))))))))</f>
        <v/>
      </c>
      <c r="S280" s="31">
        <f>IF(COUNTA($A280:$E280)&gt;0,1,0)</f>
        <v/>
      </c>
      <c r="T280" s="31">
        <f>IF($A280="",0,IFERROR(MATCH($A280,Register!$A$6:$A$305,0),0))</f>
        <v/>
      </c>
      <c r="U280" s="31">
        <f>IF($T280=0,0,IF(INDEX(Register!$Q$6:$Q$305,$T280)=1,1,IF(INDEX(Register!$D$6:$D$305,$T280)="Proposed",2,IF(OR(INDEX(Register!$D$6:$D$305,$T280)="Completed",INDEX(Register!$D$6:$D$305,$T280)="Terminated"),3,0))))</f>
        <v/>
      </c>
      <c r="V280" s="31">
        <f>IF($B280="",0,IF(OR($B280="Outside team",COUNTIF($A$63:$A$102,$B280)&gt;0),1,0))</f>
        <v/>
      </c>
      <c r="W280" s="31">
        <f>IF($S280=0,0,1-$Y280)</f>
        <v/>
      </c>
      <c r="X280" s="31">
        <f>IF(OR($Y280=0,$U280&lt;&gt;1,$D$17=""),0,IF(AND(INDEX(Register!$B$6:$B$305,$T280)="Project",N(INDEX(Register!$U$6:$U$305,$T280))&gt;0,$D280&gt;N(INDEX(Register!$U$6:$U$305,$T280))),1,0))</f>
        <v/>
      </c>
      <c r="Y280" s="31">
        <f>IF($S280=0,0,IF(AND($V280=1,$T280&gt;0,$U280&gt;0,$AA280=1),1,0))</f>
        <v/>
      </c>
      <c r="Z280" s="31">
        <f>IF(OR($Y280=0,$D$17=""),0,$E280*MAX(0,(MIN($D280,$P$17)-MAX($C280,$D$17))/7+1))</f>
        <v/>
      </c>
      <c r="AA280" s="31">
        <f>IF($S280=0,0,IF(AND(ISNUMBER($C280),ISNUMBER($D280),ISNUMBER($E280)),IF(AND(WEEKDAY($C280,2)=1,WEEKDAY($D280,2)=1,$D280&gt;=$C280,$E280&gt;=0,$E280&lt;=7),1,0),0))</f>
        <v/>
      </c>
      <c r="BN280" s="31">
        <f>IF(IFERROR(INDEX(Register!$A$6:$A$305,ROW()-5),"")="",0,SUMIF($A$139:$A$288,IFERROR(INDEX(Register!$A$6:$A$305,ROW()-5),""),$Z$139:$Z$288))</f>
        <v/>
      </c>
      <c r="BO280" s="31">
        <f>IF(OR(IFERROR(INDEX(Register!$A$6:$A$305,ROW()-5),"")="",SUM($Z$139:$Z$288)=0),0,IF(AND(IFERROR(INDEX(Register!$B$6:$B$305,ROW()-5),"")="Project",IFERROR(INDEX(Register!$D$6:$D$305,ROW()-5),"")="Active",IFERROR(INDEX(Register!$Z$6:$Z$305,ROW()-5),"")=1,$BN280=0),1,0))</f>
        <v/>
      </c>
      <c r="BP280" s="31">
        <f>IF(AND(IFERROR(INDEX(Register!$A$6:$A$305,ROW()-5),"")&lt;&gt;"",IFERROR(INDEX(Register!$D$6:$D$305,ROW()-5),"")="Proposed"),$BN280,0)</f>
        <v/>
      </c>
    </row>
    <row r="281">
      <c r="A281" s="29" t="n"/>
      <c r="B281" s="29" t="n"/>
      <c r="C281" s="53" t="n"/>
      <c r="D281" s="53" t="n"/>
      <c r="E281" s="48" t="n"/>
      <c r="F281" s="31">
        <f>IF($S281=0,"",IF($V281=0,"△ Person not on People",IF($T281=0,"△ Row not on the Register",IF($U281=0,"△ Register row has no Status",IF($AA281=0,"△ From, To or days missing or not valid",IF($U281=3,"△ Row is Completed or Terminated. Clear the line.",IF($X281=1,"△ Booked past the forecast date",IF($U281=2,"○ Pencilled in","○ Clear"))))))))</f>
        <v/>
      </c>
      <c r="S281" s="31">
        <f>IF(COUNTA($A281:$E281)&gt;0,1,0)</f>
        <v/>
      </c>
      <c r="T281" s="31">
        <f>IF($A281="",0,IFERROR(MATCH($A281,Register!$A$6:$A$305,0),0))</f>
        <v/>
      </c>
      <c r="U281" s="31">
        <f>IF($T281=0,0,IF(INDEX(Register!$Q$6:$Q$305,$T281)=1,1,IF(INDEX(Register!$D$6:$D$305,$T281)="Proposed",2,IF(OR(INDEX(Register!$D$6:$D$305,$T281)="Completed",INDEX(Register!$D$6:$D$305,$T281)="Terminated"),3,0))))</f>
        <v/>
      </c>
      <c r="V281" s="31">
        <f>IF($B281="",0,IF(OR($B281="Outside team",COUNTIF($A$63:$A$102,$B281)&gt;0),1,0))</f>
        <v/>
      </c>
      <c r="W281" s="31">
        <f>IF($S281=0,0,1-$Y281)</f>
        <v/>
      </c>
      <c r="X281" s="31">
        <f>IF(OR($Y281=0,$U281&lt;&gt;1,$D$17=""),0,IF(AND(INDEX(Register!$B$6:$B$305,$T281)="Project",N(INDEX(Register!$U$6:$U$305,$T281))&gt;0,$D281&gt;N(INDEX(Register!$U$6:$U$305,$T281))),1,0))</f>
        <v/>
      </c>
      <c r="Y281" s="31">
        <f>IF($S281=0,0,IF(AND($V281=1,$T281&gt;0,$U281&gt;0,$AA281=1),1,0))</f>
        <v/>
      </c>
      <c r="Z281" s="31">
        <f>IF(OR($Y281=0,$D$17=""),0,$E281*MAX(0,(MIN($D281,$P$17)-MAX($C281,$D$17))/7+1))</f>
        <v/>
      </c>
      <c r="AA281" s="31">
        <f>IF($S281=0,0,IF(AND(ISNUMBER($C281),ISNUMBER($D281),ISNUMBER($E281)),IF(AND(WEEKDAY($C281,2)=1,WEEKDAY($D281,2)=1,$D281&gt;=$C281,$E281&gt;=0,$E281&lt;=7),1,0),0))</f>
        <v/>
      </c>
      <c r="BN281" s="31">
        <f>IF(IFERROR(INDEX(Register!$A$6:$A$305,ROW()-5),"")="",0,SUMIF($A$139:$A$288,IFERROR(INDEX(Register!$A$6:$A$305,ROW()-5),""),$Z$139:$Z$288))</f>
        <v/>
      </c>
      <c r="BO281" s="31">
        <f>IF(OR(IFERROR(INDEX(Register!$A$6:$A$305,ROW()-5),"")="",SUM($Z$139:$Z$288)=0),0,IF(AND(IFERROR(INDEX(Register!$B$6:$B$305,ROW()-5),"")="Project",IFERROR(INDEX(Register!$D$6:$D$305,ROW()-5),"")="Active",IFERROR(INDEX(Register!$Z$6:$Z$305,ROW()-5),"")=1,$BN281=0),1,0))</f>
        <v/>
      </c>
      <c r="BP281" s="31">
        <f>IF(AND(IFERROR(INDEX(Register!$A$6:$A$305,ROW()-5),"")&lt;&gt;"",IFERROR(INDEX(Register!$D$6:$D$305,ROW()-5),"")="Proposed"),$BN281,0)</f>
        <v/>
      </c>
    </row>
    <row r="282">
      <c r="A282" s="29" t="n"/>
      <c r="B282" s="29" t="n"/>
      <c r="C282" s="53" t="n"/>
      <c r="D282" s="53" t="n"/>
      <c r="E282" s="48" t="n"/>
      <c r="F282" s="31">
        <f>IF($S282=0,"",IF($V282=0,"△ Person not on People",IF($T282=0,"△ Row not on the Register",IF($U282=0,"△ Register row has no Status",IF($AA282=0,"△ From, To or days missing or not valid",IF($U282=3,"△ Row is Completed or Terminated. Clear the line.",IF($X282=1,"△ Booked past the forecast date",IF($U282=2,"○ Pencilled in","○ Clear"))))))))</f>
        <v/>
      </c>
      <c r="S282" s="31">
        <f>IF(COUNTA($A282:$E282)&gt;0,1,0)</f>
        <v/>
      </c>
      <c r="T282" s="31">
        <f>IF($A282="",0,IFERROR(MATCH($A282,Register!$A$6:$A$305,0),0))</f>
        <v/>
      </c>
      <c r="U282" s="31">
        <f>IF($T282=0,0,IF(INDEX(Register!$Q$6:$Q$305,$T282)=1,1,IF(INDEX(Register!$D$6:$D$305,$T282)="Proposed",2,IF(OR(INDEX(Register!$D$6:$D$305,$T282)="Completed",INDEX(Register!$D$6:$D$305,$T282)="Terminated"),3,0))))</f>
        <v/>
      </c>
      <c r="V282" s="31">
        <f>IF($B282="",0,IF(OR($B282="Outside team",COUNTIF($A$63:$A$102,$B282)&gt;0),1,0))</f>
        <v/>
      </c>
      <c r="W282" s="31">
        <f>IF($S282=0,0,1-$Y282)</f>
        <v/>
      </c>
      <c r="X282" s="31">
        <f>IF(OR($Y282=0,$U282&lt;&gt;1,$D$17=""),0,IF(AND(INDEX(Register!$B$6:$B$305,$T282)="Project",N(INDEX(Register!$U$6:$U$305,$T282))&gt;0,$D282&gt;N(INDEX(Register!$U$6:$U$305,$T282))),1,0))</f>
        <v/>
      </c>
      <c r="Y282" s="31">
        <f>IF($S282=0,0,IF(AND($V282=1,$T282&gt;0,$U282&gt;0,$AA282=1),1,0))</f>
        <v/>
      </c>
      <c r="Z282" s="31">
        <f>IF(OR($Y282=0,$D$17=""),0,$E282*MAX(0,(MIN($D282,$P$17)-MAX($C282,$D$17))/7+1))</f>
        <v/>
      </c>
      <c r="AA282" s="31">
        <f>IF($S282=0,0,IF(AND(ISNUMBER($C282),ISNUMBER($D282),ISNUMBER($E282)),IF(AND(WEEKDAY($C282,2)=1,WEEKDAY($D282,2)=1,$D282&gt;=$C282,$E282&gt;=0,$E282&lt;=7),1,0),0))</f>
        <v/>
      </c>
      <c r="BN282" s="31">
        <f>IF(IFERROR(INDEX(Register!$A$6:$A$305,ROW()-5),"")="",0,SUMIF($A$139:$A$288,IFERROR(INDEX(Register!$A$6:$A$305,ROW()-5),""),$Z$139:$Z$288))</f>
        <v/>
      </c>
      <c r="BO282" s="31">
        <f>IF(OR(IFERROR(INDEX(Register!$A$6:$A$305,ROW()-5),"")="",SUM($Z$139:$Z$288)=0),0,IF(AND(IFERROR(INDEX(Register!$B$6:$B$305,ROW()-5),"")="Project",IFERROR(INDEX(Register!$D$6:$D$305,ROW()-5),"")="Active",IFERROR(INDEX(Register!$Z$6:$Z$305,ROW()-5),"")=1,$BN282=0),1,0))</f>
        <v/>
      </c>
      <c r="BP282" s="31">
        <f>IF(AND(IFERROR(INDEX(Register!$A$6:$A$305,ROW()-5),"")&lt;&gt;"",IFERROR(INDEX(Register!$D$6:$D$305,ROW()-5),"")="Proposed"),$BN282,0)</f>
        <v/>
      </c>
    </row>
    <row r="283">
      <c r="A283" s="29" t="n"/>
      <c r="B283" s="29" t="n"/>
      <c r="C283" s="53" t="n"/>
      <c r="D283" s="53" t="n"/>
      <c r="E283" s="48" t="n"/>
      <c r="F283" s="31">
        <f>IF($S283=0,"",IF($V283=0,"△ Person not on People",IF($T283=0,"△ Row not on the Register",IF($U283=0,"△ Register row has no Status",IF($AA283=0,"△ From, To or days missing or not valid",IF($U283=3,"△ Row is Completed or Terminated. Clear the line.",IF($X283=1,"△ Booked past the forecast date",IF($U283=2,"○ Pencilled in","○ Clear"))))))))</f>
        <v/>
      </c>
      <c r="S283" s="31">
        <f>IF(COUNTA($A283:$E283)&gt;0,1,0)</f>
        <v/>
      </c>
      <c r="T283" s="31">
        <f>IF($A283="",0,IFERROR(MATCH($A283,Register!$A$6:$A$305,0),0))</f>
        <v/>
      </c>
      <c r="U283" s="31">
        <f>IF($T283=0,0,IF(INDEX(Register!$Q$6:$Q$305,$T283)=1,1,IF(INDEX(Register!$D$6:$D$305,$T283)="Proposed",2,IF(OR(INDEX(Register!$D$6:$D$305,$T283)="Completed",INDEX(Register!$D$6:$D$305,$T283)="Terminated"),3,0))))</f>
        <v/>
      </c>
      <c r="V283" s="31">
        <f>IF($B283="",0,IF(OR($B283="Outside team",COUNTIF($A$63:$A$102,$B283)&gt;0),1,0))</f>
        <v/>
      </c>
      <c r="W283" s="31">
        <f>IF($S283=0,0,1-$Y283)</f>
        <v/>
      </c>
      <c r="X283" s="31">
        <f>IF(OR($Y283=0,$U283&lt;&gt;1,$D$17=""),0,IF(AND(INDEX(Register!$B$6:$B$305,$T283)="Project",N(INDEX(Register!$U$6:$U$305,$T283))&gt;0,$D283&gt;N(INDEX(Register!$U$6:$U$305,$T283))),1,0))</f>
        <v/>
      </c>
      <c r="Y283" s="31">
        <f>IF($S283=0,0,IF(AND($V283=1,$T283&gt;0,$U283&gt;0,$AA283=1),1,0))</f>
        <v/>
      </c>
      <c r="Z283" s="31">
        <f>IF(OR($Y283=0,$D$17=""),0,$E283*MAX(0,(MIN($D283,$P$17)-MAX($C283,$D$17))/7+1))</f>
        <v/>
      </c>
      <c r="AA283" s="31">
        <f>IF($S283=0,0,IF(AND(ISNUMBER($C283),ISNUMBER($D283),ISNUMBER($E283)),IF(AND(WEEKDAY($C283,2)=1,WEEKDAY($D283,2)=1,$D283&gt;=$C283,$E283&gt;=0,$E283&lt;=7),1,0),0))</f>
        <v/>
      </c>
      <c r="BN283" s="31">
        <f>IF(IFERROR(INDEX(Register!$A$6:$A$305,ROW()-5),"")="",0,SUMIF($A$139:$A$288,IFERROR(INDEX(Register!$A$6:$A$305,ROW()-5),""),$Z$139:$Z$288))</f>
        <v/>
      </c>
      <c r="BO283" s="31">
        <f>IF(OR(IFERROR(INDEX(Register!$A$6:$A$305,ROW()-5),"")="",SUM($Z$139:$Z$288)=0),0,IF(AND(IFERROR(INDEX(Register!$B$6:$B$305,ROW()-5),"")="Project",IFERROR(INDEX(Register!$D$6:$D$305,ROW()-5),"")="Active",IFERROR(INDEX(Register!$Z$6:$Z$305,ROW()-5),"")=1,$BN283=0),1,0))</f>
        <v/>
      </c>
      <c r="BP283" s="31">
        <f>IF(AND(IFERROR(INDEX(Register!$A$6:$A$305,ROW()-5),"")&lt;&gt;"",IFERROR(INDEX(Register!$D$6:$D$305,ROW()-5),"")="Proposed"),$BN283,0)</f>
        <v/>
      </c>
    </row>
    <row r="284">
      <c r="A284" s="29" t="n"/>
      <c r="B284" s="29" t="n"/>
      <c r="C284" s="53" t="n"/>
      <c r="D284" s="53" t="n"/>
      <c r="E284" s="48" t="n"/>
      <c r="F284" s="31">
        <f>IF($S284=0,"",IF($V284=0,"△ Person not on People",IF($T284=0,"△ Row not on the Register",IF($U284=0,"△ Register row has no Status",IF($AA284=0,"△ From, To or days missing or not valid",IF($U284=3,"△ Row is Completed or Terminated. Clear the line.",IF($X284=1,"△ Booked past the forecast date",IF($U284=2,"○ Pencilled in","○ Clear"))))))))</f>
        <v/>
      </c>
      <c r="S284" s="31">
        <f>IF(COUNTA($A284:$E284)&gt;0,1,0)</f>
        <v/>
      </c>
      <c r="T284" s="31">
        <f>IF($A284="",0,IFERROR(MATCH($A284,Register!$A$6:$A$305,0),0))</f>
        <v/>
      </c>
      <c r="U284" s="31">
        <f>IF($T284=0,0,IF(INDEX(Register!$Q$6:$Q$305,$T284)=1,1,IF(INDEX(Register!$D$6:$D$305,$T284)="Proposed",2,IF(OR(INDEX(Register!$D$6:$D$305,$T284)="Completed",INDEX(Register!$D$6:$D$305,$T284)="Terminated"),3,0))))</f>
        <v/>
      </c>
      <c r="V284" s="31">
        <f>IF($B284="",0,IF(OR($B284="Outside team",COUNTIF($A$63:$A$102,$B284)&gt;0),1,0))</f>
        <v/>
      </c>
      <c r="W284" s="31">
        <f>IF($S284=0,0,1-$Y284)</f>
        <v/>
      </c>
      <c r="X284" s="31">
        <f>IF(OR($Y284=0,$U284&lt;&gt;1,$D$17=""),0,IF(AND(INDEX(Register!$B$6:$B$305,$T284)="Project",N(INDEX(Register!$U$6:$U$305,$T284))&gt;0,$D284&gt;N(INDEX(Register!$U$6:$U$305,$T284))),1,0))</f>
        <v/>
      </c>
      <c r="Y284" s="31">
        <f>IF($S284=0,0,IF(AND($V284=1,$T284&gt;0,$U284&gt;0,$AA284=1),1,0))</f>
        <v/>
      </c>
      <c r="Z284" s="31">
        <f>IF(OR($Y284=0,$D$17=""),0,$E284*MAX(0,(MIN($D284,$P$17)-MAX($C284,$D$17))/7+1))</f>
        <v/>
      </c>
      <c r="AA284" s="31">
        <f>IF($S284=0,0,IF(AND(ISNUMBER($C284),ISNUMBER($D284),ISNUMBER($E284)),IF(AND(WEEKDAY($C284,2)=1,WEEKDAY($D284,2)=1,$D284&gt;=$C284,$E284&gt;=0,$E284&lt;=7),1,0),0))</f>
        <v/>
      </c>
      <c r="BN284" s="31">
        <f>IF(IFERROR(INDEX(Register!$A$6:$A$305,ROW()-5),"")="",0,SUMIF($A$139:$A$288,IFERROR(INDEX(Register!$A$6:$A$305,ROW()-5),""),$Z$139:$Z$288))</f>
        <v/>
      </c>
      <c r="BO284" s="31">
        <f>IF(OR(IFERROR(INDEX(Register!$A$6:$A$305,ROW()-5),"")="",SUM($Z$139:$Z$288)=0),0,IF(AND(IFERROR(INDEX(Register!$B$6:$B$305,ROW()-5),"")="Project",IFERROR(INDEX(Register!$D$6:$D$305,ROW()-5),"")="Active",IFERROR(INDEX(Register!$Z$6:$Z$305,ROW()-5),"")=1,$BN284=0),1,0))</f>
        <v/>
      </c>
      <c r="BP284" s="31">
        <f>IF(AND(IFERROR(INDEX(Register!$A$6:$A$305,ROW()-5),"")&lt;&gt;"",IFERROR(INDEX(Register!$D$6:$D$305,ROW()-5),"")="Proposed"),$BN284,0)</f>
        <v/>
      </c>
    </row>
    <row r="285">
      <c r="A285" s="29" t="n"/>
      <c r="B285" s="29" t="n"/>
      <c r="C285" s="53" t="n"/>
      <c r="D285" s="53" t="n"/>
      <c r="E285" s="48" t="n"/>
      <c r="F285" s="31">
        <f>IF($S285=0,"",IF($V285=0,"△ Person not on People",IF($T285=0,"△ Row not on the Register",IF($U285=0,"△ Register row has no Status",IF($AA285=0,"△ From, To or days missing or not valid",IF($U285=3,"△ Row is Completed or Terminated. Clear the line.",IF($X285=1,"△ Booked past the forecast date",IF($U285=2,"○ Pencilled in","○ Clear"))))))))</f>
        <v/>
      </c>
      <c r="S285" s="31">
        <f>IF(COUNTA($A285:$E285)&gt;0,1,0)</f>
        <v/>
      </c>
      <c r="T285" s="31">
        <f>IF($A285="",0,IFERROR(MATCH($A285,Register!$A$6:$A$305,0),0))</f>
        <v/>
      </c>
      <c r="U285" s="31">
        <f>IF($T285=0,0,IF(INDEX(Register!$Q$6:$Q$305,$T285)=1,1,IF(INDEX(Register!$D$6:$D$305,$T285)="Proposed",2,IF(OR(INDEX(Register!$D$6:$D$305,$T285)="Completed",INDEX(Register!$D$6:$D$305,$T285)="Terminated"),3,0))))</f>
        <v/>
      </c>
      <c r="V285" s="31">
        <f>IF($B285="",0,IF(OR($B285="Outside team",COUNTIF($A$63:$A$102,$B285)&gt;0),1,0))</f>
        <v/>
      </c>
      <c r="W285" s="31">
        <f>IF($S285=0,0,1-$Y285)</f>
        <v/>
      </c>
      <c r="X285" s="31">
        <f>IF(OR($Y285=0,$U285&lt;&gt;1,$D$17=""),0,IF(AND(INDEX(Register!$B$6:$B$305,$T285)="Project",N(INDEX(Register!$U$6:$U$305,$T285))&gt;0,$D285&gt;N(INDEX(Register!$U$6:$U$305,$T285))),1,0))</f>
        <v/>
      </c>
      <c r="Y285" s="31">
        <f>IF($S285=0,0,IF(AND($V285=1,$T285&gt;0,$U285&gt;0,$AA285=1),1,0))</f>
        <v/>
      </c>
      <c r="Z285" s="31">
        <f>IF(OR($Y285=0,$D$17=""),0,$E285*MAX(0,(MIN($D285,$P$17)-MAX($C285,$D$17))/7+1))</f>
        <v/>
      </c>
      <c r="AA285" s="31">
        <f>IF($S285=0,0,IF(AND(ISNUMBER($C285),ISNUMBER($D285),ISNUMBER($E285)),IF(AND(WEEKDAY($C285,2)=1,WEEKDAY($D285,2)=1,$D285&gt;=$C285,$E285&gt;=0,$E285&lt;=7),1,0),0))</f>
        <v/>
      </c>
      <c r="BN285" s="31">
        <f>IF(IFERROR(INDEX(Register!$A$6:$A$305,ROW()-5),"")="",0,SUMIF($A$139:$A$288,IFERROR(INDEX(Register!$A$6:$A$305,ROW()-5),""),$Z$139:$Z$288))</f>
        <v/>
      </c>
      <c r="BO285" s="31">
        <f>IF(OR(IFERROR(INDEX(Register!$A$6:$A$305,ROW()-5),"")="",SUM($Z$139:$Z$288)=0),0,IF(AND(IFERROR(INDEX(Register!$B$6:$B$305,ROW()-5),"")="Project",IFERROR(INDEX(Register!$D$6:$D$305,ROW()-5),"")="Active",IFERROR(INDEX(Register!$Z$6:$Z$305,ROW()-5),"")=1,$BN285=0),1,0))</f>
        <v/>
      </c>
      <c r="BP285" s="31">
        <f>IF(AND(IFERROR(INDEX(Register!$A$6:$A$305,ROW()-5),"")&lt;&gt;"",IFERROR(INDEX(Register!$D$6:$D$305,ROW()-5),"")="Proposed"),$BN285,0)</f>
        <v/>
      </c>
    </row>
    <row r="286">
      <c r="A286" s="29" t="n"/>
      <c r="B286" s="29" t="n"/>
      <c r="C286" s="53" t="n"/>
      <c r="D286" s="53" t="n"/>
      <c r="E286" s="48" t="n"/>
      <c r="F286" s="31">
        <f>IF($S286=0,"",IF($V286=0,"△ Person not on People",IF($T286=0,"△ Row not on the Register",IF($U286=0,"△ Register row has no Status",IF($AA286=0,"△ From, To or days missing or not valid",IF($U286=3,"△ Row is Completed or Terminated. Clear the line.",IF($X286=1,"△ Booked past the forecast date",IF($U286=2,"○ Pencilled in","○ Clear"))))))))</f>
        <v/>
      </c>
      <c r="S286" s="31">
        <f>IF(COUNTA($A286:$E286)&gt;0,1,0)</f>
        <v/>
      </c>
      <c r="T286" s="31">
        <f>IF($A286="",0,IFERROR(MATCH($A286,Register!$A$6:$A$305,0),0))</f>
        <v/>
      </c>
      <c r="U286" s="31">
        <f>IF($T286=0,0,IF(INDEX(Register!$Q$6:$Q$305,$T286)=1,1,IF(INDEX(Register!$D$6:$D$305,$T286)="Proposed",2,IF(OR(INDEX(Register!$D$6:$D$305,$T286)="Completed",INDEX(Register!$D$6:$D$305,$T286)="Terminated"),3,0))))</f>
        <v/>
      </c>
      <c r="V286" s="31">
        <f>IF($B286="",0,IF(OR($B286="Outside team",COUNTIF($A$63:$A$102,$B286)&gt;0),1,0))</f>
        <v/>
      </c>
      <c r="W286" s="31">
        <f>IF($S286=0,0,1-$Y286)</f>
        <v/>
      </c>
      <c r="X286" s="31">
        <f>IF(OR($Y286=0,$U286&lt;&gt;1,$D$17=""),0,IF(AND(INDEX(Register!$B$6:$B$305,$T286)="Project",N(INDEX(Register!$U$6:$U$305,$T286))&gt;0,$D286&gt;N(INDEX(Register!$U$6:$U$305,$T286))),1,0))</f>
        <v/>
      </c>
      <c r="Y286" s="31">
        <f>IF($S286=0,0,IF(AND($V286=1,$T286&gt;0,$U286&gt;0,$AA286=1),1,0))</f>
        <v/>
      </c>
      <c r="Z286" s="31">
        <f>IF(OR($Y286=0,$D$17=""),0,$E286*MAX(0,(MIN($D286,$P$17)-MAX($C286,$D$17))/7+1))</f>
        <v/>
      </c>
      <c r="AA286" s="31">
        <f>IF($S286=0,0,IF(AND(ISNUMBER($C286),ISNUMBER($D286),ISNUMBER($E286)),IF(AND(WEEKDAY($C286,2)=1,WEEKDAY($D286,2)=1,$D286&gt;=$C286,$E286&gt;=0,$E286&lt;=7),1,0),0))</f>
        <v/>
      </c>
      <c r="BN286" s="31">
        <f>IF(IFERROR(INDEX(Register!$A$6:$A$305,ROW()-5),"")="",0,SUMIF($A$139:$A$288,IFERROR(INDEX(Register!$A$6:$A$305,ROW()-5),""),$Z$139:$Z$288))</f>
        <v/>
      </c>
      <c r="BO286" s="31">
        <f>IF(OR(IFERROR(INDEX(Register!$A$6:$A$305,ROW()-5),"")="",SUM($Z$139:$Z$288)=0),0,IF(AND(IFERROR(INDEX(Register!$B$6:$B$305,ROW()-5),"")="Project",IFERROR(INDEX(Register!$D$6:$D$305,ROW()-5),"")="Active",IFERROR(INDEX(Register!$Z$6:$Z$305,ROW()-5),"")=1,$BN286=0),1,0))</f>
        <v/>
      </c>
      <c r="BP286" s="31">
        <f>IF(AND(IFERROR(INDEX(Register!$A$6:$A$305,ROW()-5),"")&lt;&gt;"",IFERROR(INDEX(Register!$D$6:$D$305,ROW()-5),"")="Proposed"),$BN286,0)</f>
        <v/>
      </c>
    </row>
    <row r="287">
      <c r="A287" s="29" t="n"/>
      <c r="B287" s="29" t="n"/>
      <c r="C287" s="53" t="n"/>
      <c r="D287" s="53" t="n"/>
      <c r="E287" s="48" t="n"/>
      <c r="F287" s="31">
        <f>IF($S287=0,"",IF($V287=0,"△ Person not on People",IF($T287=0,"△ Row not on the Register",IF($U287=0,"△ Register row has no Status",IF($AA287=0,"△ From, To or days missing or not valid",IF($U287=3,"△ Row is Completed or Terminated. Clear the line.",IF($X287=1,"△ Booked past the forecast date",IF($U287=2,"○ Pencilled in","○ Clear"))))))))</f>
        <v/>
      </c>
      <c r="S287" s="31">
        <f>IF(COUNTA($A287:$E287)&gt;0,1,0)</f>
        <v/>
      </c>
      <c r="T287" s="31">
        <f>IF($A287="",0,IFERROR(MATCH($A287,Register!$A$6:$A$305,0),0))</f>
        <v/>
      </c>
      <c r="U287" s="31">
        <f>IF($T287=0,0,IF(INDEX(Register!$Q$6:$Q$305,$T287)=1,1,IF(INDEX(Register!$D$6:$D$305,$T287)="Proposed",2,IF(OR(INDEX(Register!$D$6:$D$305,$T287)="Completed",INDEX(Register!$D$6:$D$305,$T287)="Terminated"),3,0))))</f>
        <v/>
      </c>
      <c r="V287" s="31">
        <f>IF($B287="",0,IF(OR($B287="Outside team",COUNTIF($A$63:$A$102,$B287)&gt;0),1,0))</f>
        <v/>
      </c>
      <c r="W287" s="31">
        <f>IF($S287=0,0,1-$Y287)</f>
        <v/>
      </c>
      <c r="X287" s="31">
        <f>IF(OR($Y287=0,$U287&lt;&gt;1,$D$17=""),0,IF(AND(INDEX(Register!$B$6:$B$305,$T287)="Project",N(INDEX(Register!$U$6:$U$305,$T287))&gt;0,$D287&gt;N(INDEX(Register!$U$6:$U$305,$T287))),1,0))</f>
        <v/>
      </c>
      <c r="Y287" s="31">
        <f>IF($S287=0,0,IF(AND($V287=1,$T287&gt;0,$U287&gt;0,$AA287=1),1,0))</f>
        <v/>
      </c>
      <c r="Z287" s="31">
        <f>IF(OR($Y287=0,$D$17=""),0,$E287*MAX(0,(MIN($D287,$P$17)-MAX($C287,$D$17))/7+1))</f>
        <v/>
      </c>
      <c r="AA287" s="31">
        <f>IF($S287=0,0,IF(AND(ISNUMBER($C287),ISNUMBER($D287),ISNUMBER($E287)),IF(AND(WEEKDAY($C287,2)=1,WEEKDAY($D287,2)=1,$D287&gt;=$C287,$E287&gt;=0,$E287&lt;=7),1,0),0))</f>
        <v/>
      </c>
      <c r="BN287" s="31">
        <f>IF(IFERROR(INDEX(Register!$A$6:$A$305,ROW()-5),"")="",0,SUMIF($A$139:$A$288,IFERROR(INDEX(Register!$A$6:$A$305,ROW()-5),""),$Z$139:$Z$288))</f>
        <v/>
      </c>
      <c r="BO287" s="31">
        <f>IF(OR(IFERROR(INDEX(Register!$A$6:$A$305,ROW()-5),"")="",SUM($Z$139:$Z$288)=0),0,IF(AND(IFERROR(INDEX(Register!$B$6:$B$305,ROW()-5),"")="Project",IFERROR(INDEX(Register!$D$6:$D$305,ROW()-5),"")="Active",IFERROR(INDEX(Register!$Z$6:$Z$305,ROW()-5),"")=1,$BN287=0),1,0))</f>
        <v/>
      </c>
      <c r="BP287" s="31">
        <f>IF(AND(IFERROR(INDEX(Register!$A$6:$A$305,ROW()-5),"")&lt;&gt;"",IFERROR(INDEX(Register!$D$6:$D$305,ROW()-5),"")="Proposed"),$BN287,0)</f>
        <v/>
      </c>
    </row>
    <row r="288">
      <c r="A288" s="29" t="n"/>
      <c r="B288" s="29" t="n"/>
      <c r="C288" s="53" t="n"/>
      <c r="D288" s="53" t="n"/>
      <c r="E288" s="48" t="n"/>
      <c r="F288" s="31">
        <f>IF($S288=0,"",IF($V288=0,"△ Person not on People",IF($T288=0,"△ Row not on the Register",IF($U288=0,"△ Register row has no Status",IF($AA288=0,"△ From, To or days missing or not valid",IF($U288=3,"△ Row is Completed or Terminated. Clear the line.",IF($X288=1,"△ Booked past the forecast date",IF($U288=2,"○ Pencilled in","○ Clear"))))))))</f>
        <v/>
      </c>
      <c r="S288" s="31">
        <f>IF(COUNTA($A288:$E288)&gt;0,1,0)</f>
        <v/>
      </c>
      <c r="T288" s="31">
        <f>IF($A288="",0,IFERROR(MATCH($A288,Register!$A$6:$A$305,0),0))</f>
        <v/>
      </c>
      <c r="U288" s="31">
        <f>IF($T288=0,0,IF(INDEX(Register!$Q$6:$Q$305,$T288)=1,1,IF(INDEX(Register!$D$6:$D$305,$T288)="Proposed",2,IF(OR(INDEX(Register!$D$6:$D$305,$T288)="Completed",INDEX(Register!$D$6:$D$305,$T288)="Terminated"),3,0))))</f>
        <v/>
      </c>
      <c r="V288" s="31">
        <f>IF($B288="",0,IF(OR($B288="Outside team",COUNTIF($A$63:$A$102,$B288)&gt;0),1,0))</f>
        <v/>
      </c>
      <c r="W288" s="31">
        <f>IF($S288=0,0,1-$Y288)</f>
        <v/>
      </c>
      <c r="X288" s="31">
        <f>IF(OR($Y288=0,$U288&lt;&gt;1,$D$17=""),0,IF(AND(INDEX(Register!$B$6:$B$305,$T288)="Project",N(INDEX(Register!$U$6:$U$305,$T288))&gt;0,$D288&gt;N(INDEX(Register!$U$6:$U$305,$T288))),1,0))</f>
        <v/>
      </c>
      <c r="Y288" s="31">
        <f>IF($S288=0,0,IF(AND($V288=1,$T288&gt;0,$U288&gt;0,$AA288=1),1,0))</f>
        <v/>
      </c>
      <c r="Z288" s="31">
        <f>IF(OR($Y288=0,$D$17=""),0,$E288*MAX(0,(MIN($D288,$P$17)-MAX($C288,$D$17))/7+1))</f>
        <v/>
      </c>
      <c r="AA288" s="31">
        <f>IF($S288=0,0,IF(AND(ISNUMBER($C288),ISNUMBER($D288),ISNUMBER($E288)),IF(AND(WEEKDAY($C288,2)=1,WEEKDAY($D288,2)=1,$D288&gt;=$C288,$E288&gt;=0,$E288&lt;=7),1,0),0))</f>
        <v/>
      </c>
      <c r="BN288" s="31">
        <f>IF(IFERROR(INDEX(Register!$A$6:$A$305,ROW()-5),"")="",0,SUMIF($A$139:$A$288,IFERROR(INDEX(Register!$A$6:$A$305,ROW()-5),""),$Z$139:$Z$288))</f>
        <v/>
      </c>
      <c r="BO288" s="31">
        <f>IF(OR(IFERROR(INDEX(Register!$A$6:$A$305,ROW()-5),"")="",SUM($Z$139:$Z$288)=0),0,IF(AND(IFERROR(INDEX(Register!$B$6:$B$305,ROW()-5),"")="Project",IFERROR(INDEX(Register!$D$6:$D$305,ROW()-5),"")="Active",IFERROR(INDEX(Register!$Z$6:$Z$305,ROW()-5),"")=1,$BN288=0),1,0))</f>
        <v/>
      </c>
      <c r="BP288" s="31">
        <f>IF(AND(IFERROR(INDEX(Register!$A$6:$A$305,ROW()-5),"")&lt;&gt;"",IFERROR(INDEX(Register!$D$6:$D$305,ROW()-5),"")="Proposed"),$BN288,0)</f>
        <v/>
      </c>
    </row>
    <row r="289">
      <c r="BN289" s="31">
        <f>IF(IFERROR(INDEX(Register!$A$6:$A$305,ROW()-5),"")="",0,SUMIF($A$139:$A$288,IFERROR(INDEX(Register!$A$6:$A$305,ROW()-5),""),$Z$139:$Z$288))</f>
        <v/>
      </c>
      <c r="BO289" s="31">
        <f>IF(OR(IFERROR(INDEX(Register!$A$6:$A$305,ROW()-5),"")="",SUM($Z$139:$Z$288)=0),0,IF(AND(IFERROR(INDEX(Register!$B$6:$B$305,ROW()-5),"")="Project",IFERROR(INDEX(Register!$D$6:$D$305,ROW()-5),"")="Active",IFERROR(INDEX(Register!$Z$6:$Z$305,ROW()-5),"")=1,$BN289=0),1,0))</f>
        <v/>
      </c>
      <c r="BP289" s="31">
        <f>IF(AND(IFERROR(INDEX(Register!$A$6:$A$305,ROW()-5),"")&lt;&gt;"",IFERROR(INDEX(Register!$D$6:$D$305,ROW()-5),"")="Proposed"),$BN289,0)</f>
        <v/>
      </c>
    </row>
    <row r="290">
      <c r="BN290" s="31">
        <f>IF(IFERROR(INDEX(Register!$A$6:$A$305,ROW()-5),"")="",0,SUMIF($A$139:$A$288,IFERROR(INDEX(Register!$A$6:$A$305,ROW()-5),""),$Z$139:$Z$288))</f>
        <v/>
      </c>
      <c r="BO290" s="31">
        <f>IF(OR(IFERROR(INDEX(Register!$A$6:$A$305,ROW()-5),"")="",SUM($Z$139:$Z$288)=0),0,IF(AND(IFERROR(INDEX(Register!$B$6:$B$305,ROW()-5),"")="Project",IFERROR(INDEX(Register!$D$6:$D$305,ROW()-5),"")="Active",IFERROR(INDEX(Register!$Z$6:$Z$305,ROW()-5),"")=1,$BN290=0),1,0))</f>
        <v/>
      </c>
      <c r="BP290" s="31">
        <f>IF(AND(IFERROR(INDEX(Register!$A$6:$A$305,ROW()-5),"")&lt;&gt;"",IFERROR(INDEX(Register!$D$6:$D$305,ROW()-5),"")="Proposed"),$BN290,0)</f>
        <v/>
      </c>
    </row>
    <row r="291">
      <c r="BN291" s="31">
        <f>IF(IFERROR(INDEX(Register!$A$6:$A$305,ROW()-5),"")="",0,SUMIF($A$139:$A$288,IFERROR(INDEX(Register!$A$6:$A$305,ROW()-5),""),$Z$139:$Z$288))</f>
        <v/>
      </c>
      <c r="BO291" s="31">
        <f>IF(OR(IFERROR(INDEX(Register!$A$6:$A$305,ROW()-5),"")="",SUM($Z$139:$Z$288)=0),0,IF(AND(IFERROR(INDEX(Register!$B$6:$B$305,ROW()-5),"")="Project",IFERROR(INDEX(Register!$D$6:$D$305,ROW()-5),"")="Active",IFERROR(INDEX(Register!$Z$6:$Z$305,ROW()-5),"")=1,$BN291=0),1,0))</f>
        <v/>
      </c>
      <c r="BP291" s="31">
        <f>IF(AND(IFERROR(INDEX(Register!$A$6:$A$305,ROW()-5),"")&lt;&gt;"",IFERROR(INDEX(Register!$D$6:$D$305,ROW()-5),"")="Proposed"),$BN291,0)</f>
        <v/>
      </c>
    </row>
    <row r="292">
      <c r="BN292" s="31">
        <f>IF(IFERROR(INDEX(Register!$A$6:$A$305,ROW()-5),"")="",0,SUMIF($A$139:$A$288,IFERROR(INDEX(Register!$A$6:$A$305,ROW()-5),""),$Z$139:$Z$288))</f>
        <v/>
      </c>
      <c r="BO292" s="31">
        <f>IF(OR(IFERROR(INDEX(Register!$A$6:$A$305,ROW()-5),"")="",SUM($Z$139:$Z$288)=0),0,IF(AND(IFERROR(INDEX(Register!$B$6:$B$305,ROW()-5),"")="Project",IFERROR(INDEX(Register!$D$6:$D$305,ROW()-5),"")="Active",IFERROR(INDEX(Register!$Z$6:$Z$305,ROW()-5),"")=1,$BN292=0),1,0))</f>
        <v/>
      </c>
      <c r="BP292" s="31">
        <f>IF(AND(IFERROR(INDEX(Register!$A$6:$A$305,ROW()-5),"")&lt;&gt;"",IFERROR(INDEX(Register!$D$6:$D$305,ROW()-5),"")="Proposed"),$BN292,0)</f>
        <v/>
      </c>
    </row>
    <row r="293">
      <c r="BN293" s="31">
        <f>IF(IFERROR(INDEX(Register!$A$6:$A$305,ROW()-5),"")="",0,SUMIF($A$139:$A$288,IFERROR(INDEX(Register!$A$6:$A$305,ROW()-5),""),$Z$139:$Z$288))</f>
        <v/>
      </c>
      <c r="BO293" s="31">
        <f>IF(OR(IFERROR(INDEX(Register!$A$6:$A$305,ROW()-5),"")="",SUM($Z$139:$Z$288)=0),0,IF(AND(IFERROR(INDEX(Register!$B$6:$B$305,ROW()-5),"")="Project",IFERROR(INDEX(Register!$D$6:$D$305,ROW()-5),"")="Active",IFERROR(INDEX(Register!$Z$6:$Z$305,ROW()-5),"")=1,$BN293=0),1,0))</f>
        <v/>
      </c>
      <c r="BP293" s="31">
        <f>IF(AND(IFERROR(INDEX(Register!$A$6:$A$305,ROW()-5),"")&lt;&gt;"",IFERROR(INDEX(Register!$D$6:$D$305,ROW()-5),"")="Proposed"),$BN293,0)</f>
        <v/>
      </c>
    </row>
    <row r="294">
      <c r="BN294" s="31">
        <f>IF(IFERROR(INDEX(Register!$A$6:$A$305,ROW()-5),"")="",0,SUMIF($A$139:$A$288,IFERROR(INDEX(Register!$A$6:$A$305,ROW()-5),""),$Z$139:$Z$288))</f>
        <v/>
      </c>
      <c r="BO294" s="31">
        <f>IF(OR(IFERROR(INDEX(Register!$A$6:$A$305,ROW()-5),"")="",SUM($Z$139:$Z$288)=0),0,IF(AND(IFERROR(INDEX(Register!$B$6:$B$305,ROW()-5),"")="Project",IFERROR(INDEX(Register!$D$6:$D$305,ROW()-5),"")="Active",IFERROR(INDEX(Register!$Z$6:$Z$305,ROW()-5),"")=1,$BN294=0),1,0))</f>
        <v/>
      </c>
      <c r="BP294" s="31">
        <f>IF(AND(IFERROR(INDEX(Register!$A$6:$A$305,ROW()-5),"")&lt;&gt;"",IFERROR(INDEX(Register!$D$6:$D$305,ROW()-5),"")="Proposed"),$BN294,0)</f>
        <v/>
      </c>
    </row>
    <row r="295">
      <c r="BN295" s="31">
        <f>IF(IFERROR(INDEX(Register!$A$6:$A$305,ROW()-5),"")="",0,SUMIF($A$139:$A$288,IFERROR(INDEX(Register!$A$6:$A$305,ROW()-5),""),$Z$139:$Z$288))</f>
        <v/>
      </c>
      <c r="BO295" s="31">
        <f>IF(OR(IFERROR(INDEX(Register!$A$6:$A$305,ROW()-5),"")="",SUM($Z$139:$Z$288)=0),0,IF(AND(IFERROR(INDEX(Register!$B$6:$B$305,ROW()-5),"")="Project",IFERROR(INDEX(Register!$D$6:$D$305,ROW()-5),"")="Active",IFERROR(INDEX(Register!$Z$6:$Z$305,ROW()-5),"")=1,$BN295=0),1,0))</f>
        <v/>
      </c>
      <c r="BP295" s="31">
        <f>IF(AND(IFERROR(INDEX(Register!$A$6:$A$305,ROW()-5),"")&lt;&gt;"",IFERROR(INDEX(Register!$D$6:$D$305,ROW()-5),"")="Proposed"),$BN295,0)</f>
        <v/>
      </c>
    </row>
    <row r="296">
      <c r="BN296" s="31">
        <f>IF(IFERROR(INDEX(Register!$A$6:$A$305,ROW()-5),"")="",0,SUMIF($A$139:$A$288,IFERROR(INDEX(Register!$A$6:$A$305,ROW()-5),""),$Z$139:$Z$288))</f>
        <v/>
      </c>
      <c r="BO296" s="31">
        <f>IF(OR(IFERROR(INDEX(Register!$A$6:$A$305,ROW()-5),"")="",SUM($Z$139:$Z$288)=0),0,IF(AND(IFERROR(INDEX(Register!$B$6:$B$305,ROW()-5),"")="Project",IFERROR(INDEX(Register!$D$6:$D$305,ROW()-5),"")="Active",IFERROR(INDEX(Register!$Z$6:$Z$305,ROW()-5),"")=1,$BN296=0),1,0))</f>
        <v/>
      </c>
      <c r="BP296" s="31">
        <f>IF(AND(IFERROR(INDEX(Register!$A$6:$A$305,ROW()-5),"")&lt;&gt;"",IFERROR(INDEX(Register!$D$6:$D$305,ROW()-5),"")="Proposed"),$BN296,0)</f>
        <v/>
      </c>
    </row>
    <row r="297">
      <c r="BN297" s="31">
        <f>IF(IFERROR(INDEX(Register!$A$6:$A$305,ROW()-5),"")="",0,SUMIF($A$139:$A$288,IFERROR(INDEX(Register!$A$6:$A$305,ROW()-5),""),$Z$139:$Z$288))</f>
        <v/>
      </c>
      <c r="BO297" s="31">
        <f>IF(OR(IFERROR(INDEX(Register!$A$6:$A$305,ROW()-5),"")="",SUM($Z$139:$Z$288)=0),0,IF(AND(IFERROR(INDEX(Register!$B$6:$B$305,ROW()-5),"")="Project",IFERROR(INDEX(Register!$D$6:$D$305,ROW()-5),"")="Active",IFERROR(INDEX(Register!$Z$6:$Z$305,ROW()-5),"")=1,$BN297=0),1,0))</f>
        <v/>
      </c>
      <c r="BP297" s="31">
        <f>IF(AND(IFERROR(INDEX(Register!$A$6:$A$305,ROW()-5),"")&lt;&gt;"",IFERROR(INDEX(Register!$D$6:$D$305,ROW()-5),"")="Proposed"),$BN297,0)</f>
        <v/>
      </c>
    </row>
    <row r="298">
      <c r="BN298" s="31">
        <f>IF(IFERROR(INDEX(Register!$A$6:$A$305,ROW()-5),"")="",0,SUMIF($A$139:$A$288,IFERROR(INDEX(Register!$A$6:$A$305,ROW()-5),""),$Z$139:$Z$288))</f>
        <v/>
      </c>
      <c r="BO298" s="31">
        <f>IF(OR(IFERROR(INDEX(Register!$A$6:$A$305,ROW()-5),"")="",SUM($Z$139:$Z$288)=0),0,IF(AND(IFERROR(INDEX(Register!$B$6:$B$305,ROW()-5),"")="Project",IFERROR(INDEX(Register!$D$6:$D$305,ROW()-5),"")="Active",IFERROR(INDEX(Register!$Z$6:$Z$305,ROW()-5),"")=1,$BN298=0),1,0))</f>
        <v/>
      </c>
      <c r="BP298" s="31">
        <f>IF(AND(IFERROR(INDEX(Register!$A$6:$A$305,ROW()-5),"")&lt;&gt;"",IFERROR(INDEX(Register!$D$6:$D$305,ROW()-5),"")="Proposed"),$BN298,0)</f>
        <v/>
      </c>
    </row>
    <row r="299">
      <c r="BN299" s="31">
        <f>IF(IFERROR(INDEX(Register!$A$6:$A$305,ROW()-5),"")="",0,SUMIF($A$139:$A$288,IFERROR(INDEX(Register!$A$6:$A$305,ROW()-5),""),$Z$139:$Z$288))</f>
        <v/>
      </c>
      <c r="BO299" s="31">
        <f>IF(OR(IFERROR(INDEX(Register!$A$6:$A$305,ROW()-5),"")="",SUM($Z$139:$Z$288)=0),0,IF(AND(IFERROR(INDEX(Register!$B$6:$B$305,ROW()-5),"")="Project",IFERROR(INDEX(Register!$D$6:$D$305,ROW()-5),"")="Active",IFERROR(INDEX(Register!$Z$6:$Z$305,ROW()-5),"")=1,$BN299=0),1,0))</f>
        <v/>
      </c>
      <c r="BP299" s="31">
        <f>IF(AND(IFERROR(INDEX(Register!$A$6:$A$305,ROW()-5),"")&lt;&gt;"",IFERROR(INDEX(Register!$D$6:$D$305,ROW()-5),"")="Proposed"),$BN299,0)</f>
        <v/>
      </c>
    </row>
    <row r="300">
      <c r="BN300" s="31">
        <f>IF(IFERROR(INDEX(Register!$A$6:$A$305,ROW()-5),"")="",0,SUMIF($A$139:$A$288,IFERROR(INDEX(Register!$A$6:$A$305,ROW()-5),""),$Z$139:$Z$288))</f>
        <v/>
      </c>
      <c r="BO300" s="31">
        <f>IF(OR(IFERROR(INDEX(Register!$A$6:$A$305,ROW()-5),"")="",SUM($Z$139:$Z$288)=0),0,IF(AND(IFERROR(INDEX(Register!$B$6:$B$305,ROW()-5),"")="Project",IFERROR(INDEX(Register!$D$6:$D$305,ROW()-5),"")="Active",IFERROR(INDEX(Register!$Z$6:$Z$305,ROW()-5),"")=1,$BN300=0),1,0))</f>
        <v/>
      </c>
      <c r="BP300" s="31">
        <f>IF(AND(IFERROR(INDEX(Register!$A$6:$A$305,ROW()-5),"")&lt;&gt;"",IFERROR(INDEX(Register!$D$6:$D$305,ROW()-5),"")="Proposed"),$BN300,0)</f>
        <v/>
      </c>
    </row>
    <row r="301">
      <c r="BN301" s="31">
        <f>IF(IFERROR(INDEX(Register!$A$6:$A$305,ROW()-5),"")="",0,SUMIF($A$139:$A$288,IFERROR(INDEX(Register!$A$6:$A$305,ROW()-5),""),$Z$139:$Z$288))</f>
        <v/>
      </c>
      <c r="BO301" s="31">
        <f>IF(OR(IFERROR(INDEX(Register!$A$6:$A$305,ROW()-5),"")="",SUM($Z$139:$Z$288)=0),0,IF(AND(IFERROR(INDEX(Register!$B$6:$B$305,ROW()-5),"")="Project",IFERROR(INDEX(Register!$D$6:$D$305,ROW()-5),"")="Active",IFERROR(INDEX(Register!$Z$6:$Z$305,ROW()-5),"")=1,$BN301=0),1,0))</f>
        <v/>
      </c>
      <c r="BP301" s="31">
        <f>IF(AND(IFERROR(INDEX(Register!$A$6:$A$305,ROW()-5),"")&lt;&gt;"",IFERROR(INDEX(Register!$D$6:$D$305,ROW()-5),"")="Proposed"),$BN301,0)</f>
        <v/>
      </c>
    </row>
    <row r="302">
      <c r="BN302" s="31">
        <f>IF(IFERROR(INDEX(Register!$A$6:$A$305,ROW()-5),"")="",0,SUMIF($A$139:$A$288,IFERROR(INDEX(Register!$A$6:$A$305,ROW()-5),""),$Z$139:$Z$288))</f>
        <v/>
      </c>
      <c r="BO302" s="31">
        <f>IF(OR(IFERROR(INDEX(Register!$A$6:$A$305,ROW()-5),"")="",SUM($Z$139:$Z$288)=0),0,IF(AND(IFERROR(INDEX(Register!$B$6:$B$305,ROW()-5),"")="Project",IFERROR(INDEX(Register!$D$6:$D$305,ROW()-5),"")="Active",IFERROR(INDEX(Register!$Z$6:$Z$305,ROW()-5),"")=1,$BN302=0),1,0))</f>
        <v/>
      </c>
      <c r="BP302" s="31">
        <f>IF(AND(IFERROR(INDEX(Register!$A$6:$A$305,ROW()-5),"")&lt;&gt;"",IFERROR(INDEX(Register!$D$6:$D$305,ROW()-5),"")="Proposed"),$BN302,0)</f>
        <v/>
      </c>
    </row>
    <row r="303">
      <c r="BN303" s="31">
        <f>IF(IFERROR(INDEX(Register!$A$6:$A$305,ROW()-5),"")="",0,SUMIF($A$139:$A$288,IFERROR(INDEX(Register!$A$6:$A$305,ROW()-5),""),$Z$139:$Z$288))</f>
        <v/>
      </c>
      <c r="BO303" s="31">
        <f>IF(OR(IFERROR(INDEX(Register!$A$6:$A$305,ROW()-5),"")="",SUM($Z$139:$Z$288)=0),0,IF(AND(IFERROR(INDEX(Register!$B$6:$B$305,ROW()-5),"")="Project",IFERROR(INDEX(Register!$D$6:$D$305,ROW()-5),"")="Active",IFERROR(INDEX(Register!$Z$6:$Z$305,ROW()-5),"")=1,$BN303=0),1,0))</f>
        <v/>
      </c>
      <c r="BP303" s="31">
        <f>IF(AND(IFERROR(INDEX(Register!$A$6:$A$305,ROW()-5),"")&lt;&gt;"",IFERROR(INDEX(Register!$D$6:$D$305,ROW()-5),"")="Proposed"),$BN303,0)</f>
        <v/>
      </c>
    </row>
    <row r="304">
      <c r="BN304" s="31">
        <f>IF(IFERROR(INDEX(Register!$A$6:$A$305,ROW()-5),"")="",0,SUMIF($A$139:$A$288,IFERROR(INDEX(Register!$A$6:$A$305,ROW()-5),""),$Z$139:$Z$288))</f>
        <v/>
      </c>
      <c r="BO304" s="31">
        <f>IF(OR(IFERROR(INDEX(Register!$A$6:$A$305,ROW()-5),"")="",SUM($Z$139:$Z$288)=0),0,IF(AND(IFERROR(INDEX(Register!$B$6:$B$305,ROW()-5),"")="Project",IFERROR(INDEX(Register!$D$6:$D$305,ROW()-5),"")="Active",IFERROR(INDEX(Register!$Z$6:$Z$305,ROW()-5),"")=1,$BN304=0),1,0))</f>
        <v/>
      </c>
      <c r="BP304" s="31">
        <f>IF(AND(IFERROR(INDEX(Register!$A$6:$A$305,ROW()-5),"")&lt;&gt;"",IFERROR(INDEX(Register!$D$6:$D$305,ROW()-5),"")="Proposed"),$BN304,0)</f>
        <v/>
      </c>
    </row>
    <row r="305">
      <c r="BN305" s="31">
        <f>IF(IFERROR(INDEX(Register!$A$6:$A$305,ROW()-5),"")="",0,SUMIF($A$139:$A$288,IFERROR(INDEX(Register!$A$6:$A$305,ROW()-5),""),$Z$139:$Z$288))</f>
        <v/>
      </c>
      <c r="BO305" s="31">
        <f>IF(OR(IFERROR(INDEX(Register!$A$6:$A$305,ROW()-5),"")="",SUM($Z$139:$Z$288)=0),0,IF(AND(IFERROR(INDEX(Register!$B$6:$B$305,ROW()-5),"")="Project",IFERROR(INDEX(Register!$D$6:$D$305,ROW()-5),"")="Active",IFERROR(INDEX(Register!$Z$6:$Z$305,ROW()-5),"")=1,$BN305=0),1,0))</f>
        <v/>
      </c>
      <c r="BP305" s="31">
        <f>IF(AND(IFERROR(INDEX(Register!$A$6:$A$305,ROW()-5),"")&lt;&gt;"",IFERROR(INDEX(Register!$D$6:$D$305,ROW()-5),"")="Proposed"),$BN305,0)</f>
        <v/>
      </c>
    </row>
  </sheetData>
  <mergeCells count="5">
    <mergeCell ref="A61:Q61"/>
    <mergeCell ref="A16:Q16"/>
    <mergeCell ref="A104:Q104"/>
    <mergeCell ref="A137:Q137"/>
    <mergeCell ref="A5:Q5"/>
  </mergeCells>
  <conditionalFormatting sqref="D18:P57">
    <cfRule type="expression" priority="1" dxfId="6" stopIfTrue="0">
      <formula>D18&lt;0</formula>
    </cfRule>
  </conditionalFormatting>
  <conditionalFormatting sqref="B18:B57">
    <cfRule type="expression" priority="2" dxfId="1" stopIfTrue="0">
      <formula>LEFT($B18,1)="△"</formula>
    </cfRule>
  </conditionalFormatting>
  <conditionalFormatting sqref="C63:C102">
    <cfRule type="expression" priority="3" dxfId="1" stopIfTrue="0">
      <formula>LEFT($C63,1)="△"</formula>
    </cfRule>
  </conditionalFormatting>
  <conditionalFormatting sqref="E106:E135">
    <cfRule type="expression" priority="4" dxfId="1" stopIfTrue="0">
      <formula>LEFT($E106,1)="△"</formula>
    </cfRule>
  </conditionalFormatting>
  <conditionalFormatting sqref="F139:F288">
    <cfRule type="expression" priority="5" dxfId="1" stopIfTrue="0">
      <formula>LEFT($F139,1)="△"</formula>
    </cfRule>
  </conditionalFormatting>
  <conditionalFormatting sqref="B11:B14">
    <cfRule type="expression" priority="6" dxfId="1" stopIfTrue="0">
      <formula>LEFT(B11,1)="△"</formula>
    </cfRule>
  </conditionalFormatting>
  <conditionalFormatting sqref="C6:C7">
    <cfRule type="expression" priority="7" dxfId="1" stopIfTrue="0">
      <formula>LEFT(C6,1)="△"</formula>
    </cfRule>
  </conditionalFormatting>
  <dataValidations count="13">
    <dataValidation sqref="A63:A102" showDropDown="0" showInputMessage="1" showErrorMessage="1" allowBlank="1" errorTitle="Check this entry" error="That name is already on People. Use each name once, so every booking finds the right person." promptTitle="Person" prompt="Someone who can be booked. A first name is enough, and it needn't match Owner on Register. Use each name once. Everyone and Outside team are kept for other uses." type="custom" errorStyle="stop">
      <formula1>COUNTIF($A$63:$A$102,A63)=1</formula1>
    </dataValidation>
    <dataValidation sqref="B63:B102" showDropDown="0" showInputMessage="1" showErrorMessage="1" allowBlank="1" errorTitle="Check this entry" error="Type a number of days from 0 to 7. Halves are fine, such as 2.5." promptTitle="Usual days a week" prompt="The days a week this person works, such as 4 for a four-day week. Leave it blank to use Usual days a week at the top of the tab." type="decimal" errorStyle="stop" operator="between">
      <formula1>0</formula1>
      <formula2>7</formula2>
    </dataValidation>
    <dataValidation sqref="A106:A135" showDropDown="0" showInputMessage="1" showErrorMessage="1" allowBlank="1" errorTitle="Check this entry" error="That isn't Everyone or a name on People. You can keep it, and the Row check will flag it." promptTitle="Person" prompt="Pick a name from People, or Everyone for a day off for all, such as a public holiday." type="list" errorStyle="warning">
      <formula1>$BR$6:$BR$46</formula1>
    </dataValidation>
    <dataValidation sqref="B106:B135" showDropDown="0" showInputMessage="1" showErrorMessage="1" allowBlank="1" errorTitle="Check this entry" error="Type the date of a Monday, such as 19 Oct 2026." promptTitle="From" prompt="The Monday of the first week away." type="custom" errorStyle="stop">
      <formula1>OR(B106="",AND(ISNUMBER(B106),WEEKDAY(B106,2)=1))</formula1>
    </dataValidation>
    <dataValidation sqref="C106:C135" showDropDown="0" showInputMessage="1" showErrorMessage="1" allowBlank="1" errorTitle="Check this entry" error="Type the date of a Monday on or after From." promptTitle="To" prompt="The Monday of the last week away. For one week, type the same Monday as From." type="custom" errorStyle="stop">
      <formula1>OR(C106="",AND(ISNUMBER(C106),WEEKDAY(C106,2)=1,OR(B106="",C106&gt;=B106)))</formula1>
    </dataValidation>
    <dataValidation sqref="D106:D135" showDropDown="0" showInputMessage="1" showErrorMessage="1" allowBlank="1" errorTitle="Check this entry" error="Type a number of days from 0 to 7. Halves are fine, such as 2.5." promptTitle="Days away a week" prompt="Days away in each week from From to To. Dates and days only: don't type a reason." type="decimal" errorStyle="stop" operator="between">
      <formula1>0</formula1>
      <formula2>7</formula2>
    </dataValidation>
    <dataValidation sqref="A139:A288" showDropDown="0" showInputMessage="1" showErrorMessage="1" allowBlank="1" errorTitle="Check this entry" error="That isn't a row on the Register. You can keep it, and the Line check will flag it." promptTitle="Register row" prompt="The Register row the days are booked on. Pick it from the list, so the name matches exactly." type="list" errorStyle="warning">
      <formula1>Register!$A$6:$A$305</formula1>
    </dataValidation>
    <dataValidation sqref="B139:B288" showDropDown="0" showInputMessage="1" showErrorMessage="1" allowBlank="1" errorTitle="Check this entry" error="That isn't Outside team or a name on People. You can keep it, and the Line check will flag it." promptTitle="Person" prompt="Pick the person, or Outside team if a vendor or contractor staffs the row." type="list" errorStyle="warning">
      <formula1>$BS$6:$BS$46</formula1>
    </dataValidation>
    <dataValidation sqref="C139:C288" showDropDown="0" showInputMessage="1" showErrorMessage="1" allowBlank="1" errorTitle="Check this entry" error="Type the date of a Monday, such as 19 Oct 2026." promptTitle="From" prompt="The Monday of the first week booked." type="custom" errorStyle="stop">
      <formula1>OR(C139="",AND(ISNUMBER(C139),WEEKDAY(C139,2)=1))</formula1>
    </dataValidation>
    <dataValidation sqref="D139:D288" showDropDown="0" showInputMessage="1" showErrorMessage="1" allowBlank="1" errorTitle="Check this entry" error="Type the date of a Monday on or after From." promptTitle="To" prompt="The Monday of the last week booked. The line covers every week from From to To. For one week, type the same Monday twice." type="custom" errorStyle="stop">
      <formula1>OR(D139="",AND(ISNUMBER(D139),WEEKDAY(D139,2)=1,OR(C139="",D139&gt;=C139)))</formula1>
    </dataValidation>
    <dataValidation sqref="E139:E288" showDropDown="0" showInputMessage="1" showErrorMessage="1" allowBlank="1" errorTitle="Check this entry" error="Type a number of days from 0 to 7. Halves are fine, such as 2.5." promptTitle="Days a week" prompt="Days a week on this row, the same in every week of the line. If the pace changes, end the line and start a new one." type="decimal" errorStyle="stop" operator="between">
      <formula1>0</formula1>
      <formula2>7</formula2>
    </dataValidation>
    <dataValidation sqref="B6" showDropDown="0" showInputMessage="1" showErrorMessage="1" allowBlank="1" errorTitle="Check this entry" error="Type the date of a Monday, such as 19 Oct 2026." promptTitle="First week" prompt="The Monday of the first of the 13 weeks shown. Type this week's Monday, and move it forward as weeks pass. Bookings and Time away keep their own dates, so nothing moves with it." type="custom" errorStyle="stop">
      <formula1>OR(B6="",AND(ISNUMBER(B6),WEEKDAY(B6,2)=1))</formula1>
    </dataValidation>
    <dataValidation sqref="B7" showDropDown="0" showInputMessage="1" showErrorMessage="1" allowBlank="1" errorTitle="Check this entry" error="Type a number of days from 1 to 7." promptTitle="Usual days a week" prompt="Days a week for anyone whose Usual days a week on People is blank. Starts at 5." type="decimal" errorStyle="stop" operator="between">
      <formula1>1</formula1>
      <formula2>7</formula2>
    </dataValidation>
  </dataValidation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2026-10-24T18:43:54Z</dcterms:created>
  <dcterms:modified xmlns:dcterms="http://purl.org/dc/terms/" xmlns:xsi="http://www.w3.org/2001/XMLSchema-instance" xsi:type="dcterms:W3CDTF">2026-10-24T18:43:58Z</dcterms:modified>
</cp:coreProperties>
</file>