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comments/comment4.xml" ContentType="application/vnd.openxmlformats-officedocument.spreadsheetml.comments+xml"/>
  <Override PartName="/xl/worksheets/sheet6.xml" ContentType="application/vnd.openxmlformats-officedocument.spreadsheetml.worksheet+xml"/>
  <Override PartName="/xl/drawings/drawing6.xml" ContentType="application/vnd.openxmlformats-officedocument.drawing+xml"/>
  <Override PartName="/xl/comments/comment5.xml" ContentType="application/vnd.openxmlformats-officedocument.spreadsheetml.comments+xml"/>
  <Override PartName="/xl/worksheets/sheet7.xml" ContentType="application/vnd.openxmlformats-officedocument.spreadsheetml.worksheet+xml"/>
  <Override PartName="/xl/drawings/drawing7.xml" ContentType="application/vnd.openxmlformats-officedocument.drawing+xml"/>
  <Override PartName="/xl/comments/comment6.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ashboard" sheetId="2" state="visible" r:id="rId2"/>
    <sheet xmlns:r="http://schemas.openxmlformats.org/officeDocument/2006/relationships" name="Benefits" sheetId="3" state="visible" r:id="rId3"/>
    <sheet xmlns:r="http://schemas.openxmlformats.org/officeDocument/2006/relationships" name="Costs" sheetId="4" state="visible" r:id="rId4"/>
    <sheet xmlns:r="http://schemas.openxmlformats.org/officeDocument/2006/relationships" name="Roadmap" sheetId="5" state="visible" r:id="rId5"/>
    <sheet xmlns:r="http://schemas.openxmlformats.org/officeDocument/2006/relationships" name="Dependencies" sheetId="6" state="visible" r:id="rId6"/>
    <sheet xmlns:r="http://schemas.openxmlformats.org/officeDocument/2006/relationships" name="Meetings" sheetId="7" state="visible" r:id="rId7"/>
  </sheets>
  <definedNames>
    <definedName name="_xlnm.Print_Area" localSheetId="1">'Dashboard'!$A$1:$H$60</definedName>
    <definedName name="_xlnm._FilterDatabase" localSheetId="2" hidden="1">'Benefits'!$A$6:$T$46</definedName>
    <definedName name="_xlnm.Print_Titles" localSheetId="2">'Benefits'!$6:$6</definedName>
    <definedName name="_xlnm.Print_Area" localSheetId="2">'Benefits'!$A$1:$T$46</definedName>
    <definedName name="_xlnm._FilterDatabase" localSheetId="3" hidden="1">'Costs'!$A$6:$F$21</definedName>
    <definedName name="_xlnm.Print_Area" localSheetId="3">'Costs'!$A$1:$F$21</definedName>
    <definedName name="_xlnm._FilterDatabase" localSheetId="4" hidden="1">'Roadmap'!$A$6:$Y$36</definedName>
    <definedName name="_xlnm.Print_Titles" localSheetId="4">'Roadmap'!$6:$6</definedName>
    <definedName name="_xlnm.Print_Area" localSheetId="4">'Roadmap'!$A$1:$Y$36</definedName>
    <definedName name="_xlnm._FilterDatabase" localSheetId="5" hidden="1">'Dependencies'!$A$6:$O$46</definedName>
    <definedName name="_xlnm.Print_Titles" localSheetId="5">'Dependencies'!$6:$6</definedName>
    <definedName name="_xlnm.Print_Area" localSheetId="5">'Dependencies'!$A$1:$O$46</definedName>
    <definedName name="_xlnm._FilterDatabase" localSheetId="6" hidden="1">'Meetings'!$A$19:$L$319</definedName>
    <definedName name="_xlnm.Print_Area" localSheetId="6">'Meetings'!$A$1:$L$319</definedName>
  </definedNames>
  <calcPr calcId="124519" fullCalcOnLoad="1"/>
</workbook>
</file>

<file path=xl/styles.xml><?xml version="1.0" encoding="utf-8"?>
<styleSheet xmlns="http://schemas.openxmlformats.org/spreadsheetml/2006/main">
  <numFmts count="2">
    <numFmt numFmtId="164" formatCode="d mmm yyyy"/>
    <numFmt numFmtId="165" formatCode="mmm 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F4F5F6"/>
        <bgColor rgb="00F4F5F6"/>
      </patternFill>
    </fill>
    <fill>
      <patternFill patternType="solid">
        <fgColor rgb="00ECEEF0"/>
        <bgColor rgb="00ECEEF0"/>
      </patternFill>
    </fill>
    <fill>
      <patternFill patternType="solid">
        <fgColor rgb="00FFFFFF"/>
        <bgColor rgb="00FFFFFF"/>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3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3" fillId="0" borderId="0" applyAlignment="1" pivotButton="0" quotePrefix="0" xfId="0">
      <alignment vertical="center"/>
    </xf>
    <xf numFmtId="0" fontId="4" fillId="3" borderId="0" applyAlignment="1" pivotButton="0" quotePrefix="0" xfId="0">
      <alignment vertical="center"/>
    </xf>
    <xf numFmtId="0" fontId="3" fillId="2" borderId="1" applyAlignment="1" pivotButton="0" quotePrefix="0" xfId="0">
      <alignment vertical="center"/>
    </xf>
    <xf numFmtId="0" fontId="5" fillId="0" borderId="0" applyAlignment="1" pivotButton="0" quotePrefix="0" xfId="0">
      <alignment vertical="center" wrapText="1"/>
    </xf>
    <xf numFmtId="0" fontId="3" fillId="4" borderId="1" applyAlignment="1" applyProtection="1" pivotButton="0" quotePrefix="0" xfId="0">
      <alignment horizontal="left" vertical="center"/>
      <protection locked="0" hidden="0"/>
    </xf>
    <xf numFmtId="0" fontId="3" fillId="4" borderId="1" applyAlignment="1" applyProtection="1" pivotButton="0" quotePrefix="0" xfId="0">
      <alignment horizontal="right" vertical="center"/>
      <protection locked="0" hidden="0"/>
    </xf>
    <xf numFmtId="9" fontId="3" fillId="4" borderId="1" applyAlignment="1" applyProtection="1" pivotButton="0" quotePrefix="0" xfId="0">
      <alignment horizontal="right" vertical="center"/>
      <protection locked="0" hidden="0"/>
    </xf>
    <xf numFmtId="164" fontId="3" fillId="4" borderId="1" applyAlignment="1" applyProtection="1" pivotButton="0" quotePrefix="0" xfId="0">
      <alignment horizontal="left" vertical="center"/>
      <protection locked="0" hidden="0"/>
    </xf>
    <xf numFmtId="164" fontId="3" fillId="4" borderId="1" applyAlignment="1" applyProtection="1" pivotButton="0" quotePrefix="0" xfId="0">
      <alignment horizontal="right" vertical="center"/>
      <protection locked="0" hidden="0"/>
    </xf>
    <xf numFmtId="164" fontId="3" fillId="2" borderId="1" applyAlignment="1" pivotButton="0" quotePrefix="0" xfId="0">
      <alignment horizontal="left" vertical="center"/>
    </xf>
    <xf numFmtId="0" fontId="3" fillId="4" borderId="1" applyAlignment="1" applyProtection="1" pivotButton="0" quotePrefix="0" xfId="0">
      <alignment horizontal="left" vertical="center" wrapText="1"/>
      <protection locked="0" hidden="0"/>
    </xf>
    <xf numFmtId="0" fontId="4" fillId="0" borderId="0" applyAlignment="1" pivotButton="0" quotePrefix="0" xfId="0">
      <alignment vertical="center" wrapText="1"/>
    </xf>
    <xf numFmtId="0" fontId="4" fillId="2" borderId="1" applyAlignment="1" pivotButton="0" quotePrefix="0" xfId="0">
      <alignment vertical="center"/>
    </xf>
    <xf numFmtId="0" fontId="3" fillId="2" borderId="1" applyAlignment="1" pivotButton="0" quotePrefix="0" xfId="0">
      <alignment horizontal="left" vertical="center"/>
    </xf>
    <xf numFmtId="0" fontId="6" fillId="2" borderId="2" applyAlignment="1" pivotButton="0" quotePrefix="0" xfId="0">
      <alignment vertical="center" wrapText="1"/>
    </xf>
    <xf numFmtId="0" fontId="3" fillId="2" borderId="1" applyAlignment="1" pivotButton="0" quotePrefix="0" xfId="0">
      <alignment vertical="center" wrapText="1"/>
    </xf>
    <xf numFmtId="0" fontId="3" fillId="2" borderId="1" applyAlignment="1" pivotButton="0" quotePrefix="0" xfId="0">
      <alignment horizontal="right" vertical="center"/>
    </xf>
    <xf numFmtId="3" fontId="3" fillId="2" borderId="1" applyAlignment="1" pivotButton="0" quotePrefix="0" xfId="0">
      <alignment horizontal="right" vertical="center"/>
    </xf>
    <xf numFmtId="0" fontId="5" fillId="0" borderId="0" applyAlignment="1" pivotButton="0" quotePrefix="0" xfId="0">
      <alignment vertical="center"/>
    </xf>
    <xf numFmtId="0" fontId="4" fillId="4" borderId="2" applyAlignment="1" pivotButton="0" quotePrefix="0" xfId="0">
      <alignment vertical="center" wrapText="1"/>
    </xf>
    <xf numFmtId="0" fontId="3" fillId="4" borderId="1" applyAlignment="1" applyProtection="1" pivotButton="0" quotePrefix="0" xfId="0">
      <alignment vertical="center" wrapText="1"/>
      <protection locked="0" hidden="0"/>
    </xf>
    <xf numFmtId="0" fontId="3" fillId="4" borderId="1" applyAlignment="1" applyProtection="1" pivotButton="0" quotePrefix="0" xfId="0">
      <alignment vertical="center"/>
      <protection locked="0" hidden="0"/>
    </xf>
    <xf numFmtId="3" fontId="3" fillId="4" borderId="1" applyAlignment="1" applyProtection="1" pivotButton="0" quotePrefix="0" xfId="0">
      <alignment vertical="center"/>
      <protection locked="0" hidden="0"/>
    </xf>
    <xf numFmtId="9" fontId="3" fillId="2" borderId="1" applyAlignment="1" pivotButton="0" quotePrefix="0" xfId="0">
      <alignment vertical="center"/>
    </xf>
    <xf numFmtId="3" fontId="3" fillId="2" borderId="1" applyAlignment="1" pivotButton="0" quotePrefix="0" xfId="0">
      <alignment vertical="center"/>
    </xf>
    <xf numFmtId="165" fontId="6" fillId="2" borderId="2" applyAlignment="1" pivotButton="0" quotePrefix="0" xfId="0">
      <alignment horizontal="center" vertical="center" wrapText="1"/>
    </xf>
    <xf numFmtId="0" fontId="3" fillId="2" borderId="1" applyAlignment="1" pivotButton="0" quotePrefix="0" xfId="0">
      <alignment horizontal="center" vertical="center"/>
    </xf>
    <xf numFmtId="0" fontId="5" fillId="2" borderId="1" applyAlignment="1" pivotButton="0" quotePrefix="0" xfId="0">
      <alignment horizontal="center" vertical="center"/>
    </xf>
    <xf numFmtId="164" fontId="3" fillId="2" borderId="1" applyAlignment="1" pivotButton="0" quotePrefix="0" xfId="0">
      <alignment vertical="center"/>
    </xf>
    <xf numFmtId="0" fontId="3" fillId="4" borderId="1" applyAlignment="1" applyProtection="1" pivotButton="0" quotePrefix="0" xfId="0">
      <alignment horizontal="center" vertical="center"/>
      <protection locked="0" hidden="0"/>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FRQZ</author>
  </authors>
  <commentList>
    <comment ref="C11" authorId="0" shapeId="0">
      <text>
        <t>Worked out: the later of the forecast typed beside it and the latest Active or Paused project on Roadmap. The outcome date uses this.</t>
      </text>
    </comment>
    <comment ref="B16" authorId="0" shapeId="0">
      <text>
        <t>Worked out: As of if you typed one, otherwise today. Every overdue and late result counts from this date.</t>
      </text>
    </comment>
  </commentList>
</comments>
</file>

<file path=xl/comments/comment2.xml><?xml version="1.0" encoding="utf-8"?>
<comments xmlns="http://schemas.openxmlformats.org/spreadsheetml/2006/main">
  <authors>
    <author>FRQZ</author>
  </authors>
  <commentList>
    <comment ref="A6" authorId="0" shapeId="0">
      <text>
        <t>A short name, used once. Project files cite the benefit by this name, so copy it from the charter's Table A exactly.</t>
      </text>
    </comment>
    <comment ref="B6" authorId="0" shapeId="0">
      <text>
        <t>Benefit, or Disbenefit for a loss the program accepts.</t>
      </text>
    </comment>
    <comment ref="C6" authorId="0" shapeId="0">
      <text>
        <t>What is counted, and from which report.</t>
      </text>
    </comment>
    <comment ref="D6" authorId="0" shapeId="0">
      <text>
        <t>What the number counts in, such as percent or US dollars a year. For money, write dollars, USD, EUR or GBP, so the money check can find it.</t>
      </text>
    </comment>
    <comment ref="E6" authorId="0" shapeId="0">
      <text>
        <t>The figure before the program, as a number. Leave it blank until it's measured: a blank is a finding.</t>
      </text>
    </comment>
    <comment ref="F6" authorId="0" shapeId="0">
      <text>
        <t>The day the baseline was taken. A year or TBC isn't a date.</t>
      </text>
    </comment>
    <comment ref="G6" authorId="0" shapeId="0">
      <text>
        <t>The figure the program promises, as a number.</t>
      </text>
    </comment>
    <comment ref="H6" authorId="0" shapeId="0">
      <text>
        <t>When the target is reached. A date after the program's Planned finish needs a name in Takes the benefits at close on Dashboard.</t>
      </text>
    </comment>
    <comment ref="I6" authorId="0" shapeId="0">
      <text>
        <t>One person who reads the measure, written like Rhys (Finance Operations Lead). They needn't be the objective's owner.</t>
      </text>
    </comment>
    <comment ref="J6" authorId="0" shapeId="0">
      <text>
        <t>The first day the owner reads the measure.</t>
      </text>
    </comment>
    <comment ref="K6" authorId="0" shapeId="0">
      <text>
        <t>The next day the owner reads it. Start with First read, and move it on after each read.</t>
      </text>
    </comment>
    <comment ref="L6" authorId="0" shapeId="0">
      <text>
        <t>The figure at the last read, as a number.</t>
      </text>
    </comment>
    <comment ref="M6" authorId="0" shapeId="0">
      <text>
        <t>The day of that read.</t>
      </text>
    </comment>
    <comment ref="N6" authorId="0" shapeId="0">
      <text>
        <t>The figure the owner expects at the target date. A person's figure, never an agent's. Reading is worked out from it.</t>
      </text>
    </comment>
    <comment ref="O6" authorId="0" shapeId="0">
      <text>
        <t>Money benefits only: what the change from baseline to target is worth in a year, as a number. Leave it blank for any other benefit.</t>
      </text>
    </comment>
    <comment ref="P6" authorId="0" shapeId="0">
      <text>
        <t>Worked out: how far the last read has come from baseline to target.</t>
      </text>
    </comment>
    <comment ref="Q6" authorId="0" shapeId="0">
      <text>
        <t>Worked out from Forecast. On track if it meets the target, Amber if it falls short within the limit on Dashboard, Red beyond it. Not read when a figure is missing or typed as words.</t>
      </text>
    </comment>
    <comment ref="R6" authorId="0" shapeId="0">
      <text>
        <t>Worked out from Next review.</t>
      </text>
    </comment>
    <comment ref="S6" authorId="0" shapeId="0">
      <text>
        <t>Worked out: Worth a year minus every line on Costs that comes off this benefit.</t>
      </text>
    </comment>
    <comment ref="T6" authorId="0" shapeId="0">
      <text>
        <t>The first thing wrong with this row. Filter on △ to list them.</t>
      </text>
    </comment>
  </commentList>
</comments>
</file>

<file path=xl/comments/comment3.xml><?xml version="1.0" encoding="utf-8"?>
<comments xmlns="http://schemas.openxmlformats.org/spreadsheetml/2006/main">
  <authors>
    <author>FRQZ</author>
  </authors>
  <commentList>
    <comment ref="A6" authorId="0" shapeId="0">
      <text>
        <t>What keeps costing money once the program is live, such as hosting. If a benefit has no such cost, type None.</t>
      </text>
    </comment>
    <comment ref="B6" authorId="0" shapeId="0">
      <text>
        <t>The benefit this cost comes off. Pick it from Benefits.</t>
      </text>
    </comment>
    <comment ref="C6" authorId="0" shapeId="0">
      <text>
        <t>The cost for a year, as a number. 0 is allowed with a Note.</t>
      </text>
    </comment>
    <comment ref="D6" authorId="0" shapeId="0">
      <text>
        <t>The team or budget that pays it.</t>
      </text>
    </comment>
    <comment ref="E6" authorId="0" shapeId="0">
      <text>
        <t>Why, in a line. Required when Per year is 0.</t>
      </text>
    </comment>
    <comment ref="F6" authorId="0" shapeId="0">
      <text>
        <t>The first thing wrong with this row. Filter on △ to list them.</t>
      </text>
    </comment>
  </commentList>
</comments>
</file>

<file path=xl/comments/comment4.xml><?xml version="1.0" encoding="utf-8"?>
<comments xmlns="http://schemas.openxmlformats.org/spreadsheetml/2006/main">
  <authors>
    <author>FRQZ</author>
  </authors>
  <commentList>
    <comment ref="A6" authorId="0" shapeId="0">
      <text>
        <t>A project's name exactly as the Register writes it. Or a decision point: Investment decision or Strategic review, then a comma and a month or at close, such as Strategic review, Jan 2027.</t>
      </text>
    </comment>
    <comment ref="B6" authorId="0" shapeId="0">
      <text>
        <t>Project or Decision point.</t>
      </text>
    </comment>
    <comment ref="C6" authorId="0" shapeId="0">
      <text>
        <t>Worked out.</t>
      </text>
    </comment>
    <comment ref="D6" authorId="0" shapeId="0">
      <text>
        <t>Projects only, copied from the Register. Only Active and Paused projects count toward the outcome date.</t>
      </text>
    </comment>
    <comment ref="E6" authorId="0" shapeId="0">
      <text>
        <t>The day the project started, or will start.</t>
      </text>
    </comment>
    <comment ref="F6" authorId="0" shapeId="0">
      <text>
        <t>From the Register. For a decision point, its date.</t>
      </text>
    </comment>
    <comment ref="G6" authorId="0" shapeId="0">
      <text>
        <t>From the Register. If the date hasn't moved, type Planned finish again. Optional while a project is Proposed.</t>
      </text>
    </comment>
    <comment ref="H6" authorId="0" shapeId="0">
      <text>
        <t>Worked out: working days from the day after Planned finish to Latest forecast. Weekends are the only days off.</t>
      </text>
    </comment>
    <comment ref="I6" authorId="0" shapeId="0">
      <text>
        <t>The first thing wrong with this row. Filter on △ to list them.</t>
      </text>
    </comment>
    <comment ref="K6" authorId="0" shapeId="0">
      <text>
        <t>15 months, one column each, from the first month on Dashboard. ◆ marks a decision point, █ the plan from Start to Planned finish, ░ the slip to Latest forecast, ▶ a date past the last month.</t>
      </text>
    </comment>
  </commentList>
</comments>
</file>

<file path=xl/comments/comment5.xml><?xml version="1.0" encoding="utf-8"?>
<comments xmlns="http://schemas.openxmlformats.org/spreadsheetml/2006/main">
  <authors>
    <author>FRQZ</author>
  </authors>
  <commentList>
    <comment ref="A6" authorId="0" shapeId="0">
      <text>
        <t>What's needed, in a line. A project file cites it by these words exactly, so change them only on purpose.</t>
      </text>
    </comment>
    <comment ref="B6" authorId="0" shapeId="0">
      <text>
        <t>The project on Roadmap that needs it.</t>
      </text>
    </comment>
    <comment ref="C6" authorId="0" shapeId="0">
      <text>
        <t>Who provides it: a project's name exactly as the Register writes it, or a team's name.</t>
      </text>
    </comment>
    <comment ref="D6" authorId="0" shapeId="0">
      <text>
        <t>Yes if the provider isn't in this program. Blank reads No. A dependency on another program's project is in that program's workbook too, so check the two agree.</t>
      </text>
    </comment>
    <comment ref="E6" authorId="0" shapeId="0">
      <text>
        <t>The last day it can arrive without moving the project that needs it.</t>
      </text>
    </comment>
    <comment ref="F6" authorId="0" shapeId="0">
      <text>
        <t>The day you asked the provider.</t>
      </text>
    </comment>
    <comment ref="G6" authorId="0" shapeId="0">
      <text>
        <t>The date the provider promised.</t>
      </text>
    </comment>
    <comment ref="H6" authorId="0" shapeId="0">
      <text>
        <t>Asked, Accepted, Declined, New date or Met. Leave it blank until you've asked: it shows as Not asked.</t>
      </text>
    </comment>
    <comment ref="I6" authorId="0" shapeId="0">
      <text>
        <t>What the provider says this week, if it differs from Promised. Blank means Promised.</t>
      </text>
    </comment>
    <comment ref="J6" authorId="0" shapeId="0">
      <text>
        <t>One person at the providing end, written like Kofi (Delivery Lead).</t>
      </text>
    </comment>
    <comment ref="K6" authorId="0" shapeId="0">
      <text>
        <t>Why, for a decline or a new date.</t>
      </text>
    </comment>
    <comment ref="L6" authorId="0" shapeId="0">
      <text>
        <t>Worked out: the later of Promised and Expected.</t>
      </text>
    </comment>
    <comment ref="M6" authorId="0" shapeId="0">
      <text>
        <t>Worked out: working days from the day after Needed by to the date it will arrive.</t>
      </text>
    </comment>
    <comment ref="N6" authorId="0" shapeId="0">
      <text>
        <t>Worked out: the State, or Not asked, Slipped or Past due.</t>
      </text>
    </comment>
    <comment ref="O6" authorId="0" shapeId="0">
      <text>
        <t>The first thing wrong with this row. Filter on △ to list them.</t>
      </text>
    </comment>
  </commentList>
</comments>
</file>

<file path=xl/comments/comment6.xml><?xml version="1.0" encoding="utf-8"?>
<comments xmlns="http://schemas.openxmlformats.org/spreadsheetml/2006/main">
  <authors>
    <author>FRQZ</author>
  </authors>
  <commentList>
    <comment ref="A6" authorId="0" shapeId="0">
      <text>
        <t>The name of a group that meets, such as Program board. Forum and Program board are working names: use your own.</t>
      </text>
    </comment>
    <comment ref="B6" authorId="0" shapeId="0">
      <text>
        <t>One person who chairs it, written like Hugo (Program Manager).</t>
      </text>
    </comment>
    <comment ref="C6" authorId="0" shapeId="0">
      <text>
        <t>How often it meets.</t>
      </text>
    </comment>
    <comment ref="D6" authorId="0" shapeId="0">
      <text>
        <t>The day it last met.</t>
      </text>
    </comment>
    <comment ref="E6" authorId="0" shapeId="0">
      <text>
        <t>The day it meets next. If it holds a decision point, use the date on Roadmap.</t>
      </text>
    </comment>
    <comment ref="F6" authorId="0" shapeId="0">
      <text>
        <t>What it may decide on its own, in words and numbers, such as a change of up to 10 working days.</t>
      </text>
    </comment>
    <comment ref="G6" authorId="0" shapeId="0">
      <text>
        <t>Where anything beyond its limits goes, such as Strategic review.</t>
      </text>
    </comment>
    <comment ref="H6" authorId="0" shapeId="0">
      <text>
        <t>Investment decision or Strategic review if this forum holds one, or None. Its Next meeting is compared with the next one on Roadmap.</t>
      </text>
    </comment>
    <comment ref="I6" authorId="0" shapeId="0">
      <text>
        <t>Worked out from Next meeting.</t>
      </text>
    </comment>
    <comment ref="A19" authorId="0" shapeId="0">
      <text>
        <t>A number for the row, used once, such as M-06. Other files and the assistant cite it.</t>
      </text>
    </comment>
    <comment ref="B19" authorId="0" shapeId="0">
      <text>
        <t>Action for something to do, Decision for something decided.</t>
      </text>
    </comment>
    <comment ref="C19" authorId="0" shapeId="0">
      <text>
        <t>Pick it from the forums above.</t>
      </text>
    </comment>
    <comment ref="D19" authorId="0" shapeId="0">
      <text>
        <t>The meeting it came from.</t>
      </text>
    </comment>
    <comment ref="E19" authorId="0" shapeId="0">
      <text>
        <t>What's to be done, or what was decided, in a line.</t>
      </text>
    </comment>
    <comment ref="F19" authorId="0" shapeId="0">
      <text>
        <t>One name, written like Hugo (Program Manager): who does it, or who decided. Two names fail check 9.</t>
      </text>
    </comment>
    <comment ref="G19" authorId="0" shapeId="0">
      <text>
        <t>When it's due. Required on an action.</t>
      </text>
    </comment>
    <comment ref="H19" authorId="0" shapeId="0">
      <text>
        <t>Open, Done or Dropped for an action. Decided for a decision.</t>
      </text>
    </comment>
    <comment ref="I19" authorId="0" shapeId="0">
      <text>
        <t>The day it was done, dropped or decided.</t>
      </text>
    </comment>
    <comment ref="J19" authorId="0" shapeId="0">
      <text>
        <t>Add one each time Due changes. At the limit on Dashboard, an open action fails check 9.</t>
      </text>
    </comment>
    <comment ref="K19" authorId="0" shapeId="0">
      <text>
        <t>Worked out from Status and Due.</t>
      </text>
    </comment>
    <comment ref="L19" authorId="0" shapeId="0">
      <text>
        <t>The first thing wrong with this row. Filter on △ to list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_rels/drawing6.xml.rels><Relationships xmlns="http://schemas.openxmlformats.org/package/2006/relationships"><Relationship Type="http://schemas.openxmlformats.org/officeDocument/2006/relationships/image" Target="/xl/media/image6.png" Id="rId1"/></Relationships>
</file>

<file path=xl/drawings/_rels/drawing7.xml.rels><Relationships xmlns="http://schemas.openxmlformats.org/package/2006/relationships"><Relationship Type="http://schemas.openxmlformats.org/officeDocument/2006/relationships/image" Target="/xl/media/image7.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6.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7.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drawing" Target="/xl/drawings/drawing7.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sheet1.xml><?xml version="1.0" encoding="utf-8"?>
<worksheet xmlns="http://schemas.openxmlformats.org/spreadsheetml/2006/main">
  <sheetPr>
    <outlinePr summaryBelow="1" summaryRight="1"/>
    <pageSetUpPr fitToPage="1"/>
  </sheetPr>
  <dimension ref="A1:B64"/>
  <sheetViews>
    <sheetView showGridLines="0" tabSelected="1" workbookViewId="0">
      <selection activeCell="A1" sqref="A1"/>
    </sheetView>
  </sheetViews>
  <sheetFormatPr baseColWidth="8" defaultRowHeight="15"/>
  <cols>
    <col width="22" customWidth="1" min="1" max="1"/>
    <col width="110" customWidth="1" min="2" max="2"/>
  </cols>
  <sheetData>
    <row r="1" ht="24" customHeight="1">
      <c r="B1" s="1" t="inlineStr">
        <is>
          <t>Program workbook</t>
        </is>
      </c>
    </row>
    <row r="2" ht="28" customHeight="1">
      <c r="B2" s="2" t="inlineStr">
        <is>
          <t>One program's benefits, costs, projects, dependencies and meetings, kept by hand, with a Dashboard that reads them all. Seven tabs: Read me, Dashboard, Benefits, Costs, Roadmap, Dependencies and Meetings.</t>
        </is>
      </c>
    </row>
    <row r="3" ht="6" customHeight="1"/>
    <row r="4" ht="15" customHeight="1"/>
    <row r="5">
      <c r="A5" s="3" t="inlineStr">
        <is>
          <t>Where to start</t>
        </is>
      </c>
    </row>
    <row r="6" ht="46" customHeight="1">
      <c r="A6" s="4" t="n"/>
      <c r="B6" s="5" t="inlineStr">
        <is>
          <t>Start on Dashboard: copy the program from the Register and check the limits. Then copy the benefits from the signed program charter. The charter holds what was agreed; this workbook holds what is true now.</t>
        </is>
      </c>
    </row>
    <row r="8">
      <c r="A8" s="3" t="inlineStr">
        <is>
          <t>Filling it in</t>
        </is>
      </c>
    </row>
    <row r="9" ht="46" customHeight="1">
      <c r="A9" s="4" t="n">
        <v>1</v>
      </c>
      <c r="B9" s="5" t="inlineStr">
        <is>
          <t>On Dashboard, copy the program's Name, Sits under, Owner, Sponsor, Planned finish and Latest forecast from the Register, and type the charter's Edition. In Projects on the Register, count the Register rows under this program.</t>
        </is>
      </c>
    </row>
    <row r="10" ht="32" customHeight="1">
      <c r="A10" s="4" t="n">
        <v>2</v>
      </c>
      <c r="B10" s="5" t="inlineStr">
        <is>
          <t>Check the four limits beside it. The first two are your organisation's figures; the other two are this template's own. Change any of them to suit.</t>
        </is>
      </c>
    </row>
    <row r="11" ht="32" customHeight="1">
      <c r="A11" s="4" t="n">
        <v>3</v>
      </c>
      <c r="B11" s="5" t="inlineStr">
        <is>
          <t>On Benefits, add one row per benefit from the charter's Table A. Then type each read as it happens: Last read, its date, and the owner's Forecast.</t>
        </is>
      </c>
    </row>
    <row r="12" ht="46" customHeight="1">
      <c r="A12" s="4" t="n">
        <v>4</v>
      </c>
      <c r="B12" s="5" t="inlineStr">
        <is>
          <t>On Costs, add a line for each cost that continues once the program is live, and the benefit it comes off. A money benefit with no such cost still gets one line: Cost None, Per year 0, and the reason in Note.</t>
        </is>
      </c>
    </row>
    <row r="13" ht="32" customHeight="1">
      <c r="A13" s="4" t="n">
        <v>5</v>
      </c>
      <c r="B13" s="5" t="inlineStr">
        <is>
          <t>On Roadmap, add one row per project, spelled as the Register spells it, with its Status and dates. Add each decision point: Investment decision or Strategic review, then its month.</t>
        </is>
      </c>
    </row>
    <row r="14" ht="32" customHeight="1">
      <c r="A14" s="4" t="n">
        <v>6</v>
      </c>
      <c r="B14" s="5" t="inlineStr">
        <is>
          <t>On Dependencies, add what each project needs from outside itself, who provides it and by when. Ask, then type the State and the date promised.</t>
        </is>
      </c>
    </row>
    <row r="15" ht="32" customHeight="1">
      <c r="A15" s="4" t="n">
        <v>7</v>
      </c>
      <c r="B15" s="5" t="inlineStr">
        <is>
          <t>On Meetings, list each forum, then log every action and decision with one owner. When a Due date changes, add one to Times moved.</t>
        </is>
      </c>
    </row>
    <row r="16" ht="18" customHeight="1">
      <c r="A16" s="4" t="n">
        <v>8</v>
      </c>
      <c r="B16" s="5" t="inlineStr">
        <is>
          <t>Read the Dashboard, and fix every row that shows △.</t>
        </is>
      </c>
    </row>
    <row r="18">
      <c r="A18" s="3" t="inlineStr">
        <is>
          <t>YOUR LOGO</t>
        </is>
      </c>
    </row>
    <row r="19" ht="32" customHeight="1">
      <c r="A19" s="4" t="n"/>
      <c r="B19" s="5" t="inlineStr">
        <is>
          <t>The FRQZ logo is in cell A1 on every tab. To use your own, delete it and insert your logo in A1, on each tab.</t>
        </is>
      </c>
    </row>
    <row r="21">
      <c r="A21" s="3" t="inlineStr">
        <is>
          <t>NAMES</t>
        </is>
      </c>
    </row>
    <row r="22" ht="46" customHeight="1">
      <c r="A22" s="4" t="n"/>
      <c r="B22" s="5" t="inlineStr">
        <is>
          <t>Write each person the way the Register does, first name and role: Hugo (Program Manager). Owner, Chair and Who answers take one name each. Type a project exactly as the Register spells it, on Roadmap and Dependencies alike.</t>
        </is>
      </c>
    </row>
    <row r="24">
      <c r="A24" s="3" t="inlineStr">
        <is>
          <t>READING THE MARKS</t>
        </is>
      </c>
    </row>
    <row r="25" ht="32" customHeight="1">
      <c r="A25" s="6" t="inlineStr">
        <is>
          <t>■ Red</t>
        </is>
      </c>
      <c r="B25" s="5" t="inlineStr">
        <is>
          <t>Late, or short of a benefit, by more than your limit. The limits are on Dashboard, and you can change them.</t>
        </is>
      </c>
    </row>
    <row r="26" ht="18" customHeight="1">
      <c r="A26" s="6" t="inlineStr">
        <is>
          <t>◧ Amber</t>
        </is>
      </c>
      <c r="B26" s="5" t="inlineStr">
        <is>
          <t>Late, or short of a benefit, within your limit.</t>
        </is>
      </c>
    </row>
    <row r="27" ht="18" customHeight="1">
      <c r="A27" s="6" t="inlineStr">
        <is>
          <t>□ On track</t>
        </is>
      </c>
      <c r="B27" s="5" t="inlineStr">
        <is>
          <t>A date or a forecast was read, and nothing is late or short.</t>
        </is>
      </c>
    </row>
    <row r="28" ht="18" customHeight="1">
      <c r="A28" s="6" t="inlineStr">
        <is>
          <t>Not read</t>
        </is>
      </c>
      <c r="B28" s="5" t="inlineStr">
        <is>
          <t>Nothing to read yet: a date or a figure is missing, or typed as words.</t>
        </is>
      </c>
    </row>
    <row r="29" ht="18" customHeight="1">
      <c r="A29" s="6" t="inlineStr">
        <is>
          <t>Not asked</t>
        </is>
      </c>
      <c r="B29" s="5" t="inlineStr">
        <is>
          <t>A dependency with no State. Nobody has asked the provider yet.</t>
        </is>
      </c>
    </row>
    <row r="30" ht="18" customHeight="1">
      <c r="A30" s="6" t="inlineStr">
        <is>
          <t>△</t>
        </is>
      </c>
      <c r="B30" s="5" t="inlineStr">
        <is>
          <t>A check found something, and the words say what. Filter Row check on △ to list the rows.</t>
        </is>
      </c>
    </row>
    <row r="31" ht="18" customHeight="1">
      <c r="A31" s="6" t="inlineStr">
        <is>
          <t>○ Clear</t>
        </is>
      </c>
      <c r="B31" s="5" t="inlineStr">
        <is>
          <t>The check found nothing.</t>
        </is>
      </c>
    </row>
    <row r="33">
      <c r="A33" s="3" t="inlineStr">
        <is>
          <t>HOW IT COUNTS</t>
        </is>
      </c>
    </row>
    <row r="34" ht="32" customHeight="1">
      <c r="A34" s="4" t="n">
        <v>1</v>
      </c>
      <c r="B34" s="5" t="inlineStr">
        <is>
          <t>Only Active and Paused projects count toward the outcome date. A Proposed project shows on Roadmap and isn't counted until it's Active.</t>
        </is>
      </c>
    </row>
    <row r="35" ht="32" customHeight="1">
      <c r="A35" s="4" t="n">
        <v>2</v>
      </c>
      <c r="B35" s="5" t="inlineStr">
        <is>
          <t>The outcome date is the later of the Latest forecast on Dashboard and the latest counted forecast on Roadmap, so a typed date can't hide a late project.</t>
        </is>
      </c>
    </row>
    <row r="36" ht="32" customHeight="1">
      <c r="A36" s="4" t="n">
        <v>3</v>
      </c>
      <c r="B36" s="5" t="inlineStr">
        <is>
          <t>An Active project with no Latest forecast drops out of the outcome date, so check 5 can pass while check 4 fails. Roadmap's Row check flags it.</t>
        </is>
      </c>
    </row>
    <row r="37" ht="32" customHeight="1">
      <c r="A37" s="4" t="n">
        <v>4</v>
      </c>
      <c r="B37" s="5" t="inlineStr">
        <is>
          <t>Lateness is counted in working days, from the day after the date that was due. Weekends are the only days off; there's no holiday list.</t>
        </is>
      </c>
    </row>
    <row r="38" ht="32" customHeight="1">
      <c r="A38" s="4" t="n">
        <v>5</v>
      </c>
      <c r="B38" s="5" t="inlineStr">
        <is>
          <t>Overdue reviews, actions and forums show the date they were due. Every result counts from Counting from on Dashboard: As of if you typed one, otherwise today.</t>
        </is>
      </c>
    </row>
    <row r="39" ht="32" customHeight="1">
      <c r="A39" s="4" t="n">
        <v>6</v>
      </c>
      <c r="B39" s="5" t="inlineStr">
        <is>
          <t>Expected is what the provider says this week, and Promised is what they promised. The later of the two is the date it will arrive.</t>
        </is>
      </c>
    </row>
    <row r="40" ht="32" customHeight="1">
      <c r="A40" s="4" t="n">
        <v>7</v>
      </c>
      <c r="B40" s="5" t="inlineStr">
        <is>
          <t>The Dashboard lists the first eight benefits, and six dependencies worst first: past due, slipped, declined and not asked, then the rest. The tabs hold them all.</t>
        </is>
      </c>
    </row>
    <row r="42">
      <c r="A42" s="3" t="inlineStr">
        <is>
          <t>THE CHECKS</t>
        </is>
      </c>
    </row>
    <row r="43" ht="32" customHeight="1">
      <c r="A43" s="4" t="n"/>
      <c r="B43" s="5" t="inlineStr">
        <is>
          <t>The Dashboard runs nine checks, at the bottom. Each says what's wrong in a sentence, and Row check on each tab says which row.</t>
        </is>
      </c>
    </row>
    <row r="44" ht="32" customHeight="1">
      <c r="A44" s="4" t="inlineStr">
        <is>
          <t>Check 1</t>
        </is>
      </c>
      <c r="B44" s="5" t="inlineStr">
        <is>
          <t>Fails a benefit with a blank from Measure to Next review, a review date that has passed, a First read passed with nothing read, a figure typed as words, or a name used twice.</t>
        </is>
      </c>
    </row>
    <row r="45" ht="32" customHeight="1">
      <c r="A45" s="4" t="inlineStr">
        <is>
          <t>Check 2</t>
        </is>
      </c>
      <c r="B45" s="5" t="inlineStr">
        <is>
          <t>Fails a money benefit with no line on Costs, a Worth a year that isn't baseline minus target, or a cost line that names no benefit or has no amount.</t>
        </is>
      </c>
    </row>
    <row r="46" ht="32" customHeight="1">
      <c r="A46" s="4" t="inlineStr">
        <is>
          <t>Check 3</t>
        </is>
      </c>
      <c r="B46" s="5" t="inlineStr">
        <is>
          <t>Fails when a benefit's Target date is after Planned finish and Takes the benefits at close is blank. A name passes, and so does Not needed: with a reason.</t>
        </is>
      </c>
    </row>
    <row r="47" ht="32" customHeight="1">
      <c r="A47" s="4" t="inlineStr">
        <is>
          <t>Check 4</t>
        </is>
      </c>
      <c r="B47" s="5" t="inlineStr">
        <is>
          <t>Fails when Roadmap's projects don't number Projects on the Register, or a Roadmap row shows △. A misspelt name still passes; the assistant's first step looks for it.</t>
        </is>
      </c>
    </row>
    <row r="48" ht="18" customHeight="1">
      <c r="A48" s="4" t="inlineStr">
        <is>
          <t>Check 5</t>
        </is>
      </c>
      <c r="B48" s="5" t="inlineStr">
        <is>
          <t>Fails when the outcome date is more working days late than your limit.</t>
        </is>
      </c>
    </row>
    <row r="49" ht="32" customHeight="1">
      <c r="A49" s="4" t="inlineStr">
        <is>
          <t>Check 6</t>
        </is>
      </c>
      <c r="B49" s="5" t="inlineStr">
        <is>
          <t>Fails a dependency nobody has asked about, one with no Who answers or no date, or one asked longer ago than your limit.</t>
        </is>
      </c>
    </row>
    <row r="50" ht="18" customHeight="1">
      <c r="A50" s="4" t="inlineStr">
        <is>
          <t>Check 7</t>
        </is>
      </c>
      <c r="B50" s="5" t="inlineStr">
        <is>
          <t>Fails a dependency that arrives after Needed by, is past due, or was declined.</t>
        </is>
      </c>
    </row>
    <row r="51" ht="32" customHeight="1">
      <c r="A51" s="4" t="inlineStr">
        <is>
          <t>Check 8</t>
        </is>
      </c>
      <c r="B51" s="5" t="inlineStr">
        <is>
          <t>Fails a forum with no Chair, May decide or Goes to, or one whose Next meeting differs from its decision point's date on Roadmap.</t>
        </is>
      </c>
    </row>
    <row r="52" ht="32" customHeight="1">
      <c r="A52" s="4" t="inlineStr">
        <is>
          <t>Check 9</t>
        </is>
      </c>
      <c r="B52" s="5" t="inlineStr">
        <is>
          <t>Fails an open action with no owner, two owners or no Due date, one that's overdue, or one moved as many times as your limit.</t>
        </is>
      </c>
    </row>
    <row r="54">
      <c r="A54" s="3" t="inlineStr">
        <is>
          <t>KEEPING IT TIDY</t>
        </is>
      </c>
    </row>
    <row r="55" ht="32" customHeight="1">
      <c r="A55" s="4" t="n">
        <v>1</v>
      </c>
      <c r="B55" s="5" t="inlineStr">
        <is>
          <t>Grey cells are worked out and locked, with no password. Filter freely. To sort, unprotect the sheet first and protect it again after. Don't insert rows.</t>
        </is>
      </c>
    </row>
    <row r="56" ht="32" customHeight="1">
      <c r="A56" s="4" t="n">
        <v>2</v>
      </c>
      <c r="B56" s="5" t="inlineStr">
        <is>
          <t>Meetings holds 300 actions, about a year of a fortnightly board. Move Done actions older than 90 days to a copy of this file.</t>
        </is>
      </c>
    </row>
    <row r="57" ht="32" customHeight="1">
      <c r="A57" s="4" t="n">
        <v>3</v>
      </c>
      <c r="B57" s="5" t="inlineStr">
        <is>
          <t>When the Register renames a project, rename it on Dashboard, Roadmap and Dependencies too. Roadmap and Dependencies have their names typed, so neither follows on its own.</t>
        </is>
      </c>
    </row>
    <row r="58" ht="32" customHeight="1">
      <c r="A58" s="4" t="n">
        <v>4</v>
      </c>
      <c r="B58" s="5" t="inlineStr">
        <is>
          <t>A change to a benefit, a cost or a decision date is a change to the program charter first, and a new Edition. Then copy it here.</t>
        </is>
      </c>
    </row>
    <row r="60">
      <c r="A60" s="3" t="inlineStr">
        <is>
          <t>OTHER FILES</t>
        </is>
      </c>
    </row>
    <row r="61" ht="32" customHeight="1">
      <c r="A61" s="4" t="n">
        <v>1</v>
      </c>
      <c r="B61" s="5" t="inlineStr">
        <is>
          <t>A dependency on another program's project is in that program's workbook too. Check that the two files agree on Promised and Expected.</t>
        </is>
      </c>
    </row>
    <row r="62" ht="32" customHeight="1">
      <c r="A62" s="4" t="n">
        <v>2</v>
      </c>
      <c r="B62" s="5" t="inlineStr">
        <is>
          <t>Program risks and issues go in a RAID log. The project RAID log file works for a program: name the program as its Register row.</t>
        </is>
      </c>
    </row>
    <row r="63" ht="32" customHeight="1">
      <c r="A63" s="4" t="n">
        <v>3</v>
      </c>
      <c r="B63" s="5" t="inlineStr">
        <is>
          <t>Each project file cites a benefit by its name on Benefits, and a dependency by its Needs, word for word.</t>
        </is>
      </c>
    </row>
    <row r="64" ht="46" customHeight="1">
      <c r="A64" s="4" t="n">
        <v>4</v>
      </c>
      <c r="B64" s="5" t="inlineStr">
        <is>
          <t>An assistant can check the workbook for you. The brief is in frqz-program-agent-brief.txt, beside this file. Open and save the workbook once in your spreadsheet first, so the assistant can read the results.</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J60"/>
  <sheetViews>
    <sheetView showGridLines="0" tabSelected="0" workbookViewId="0">
      <selection activeCell="A1" sqref="A1"/>
    </sheetView>
  </sheetViews>
  <sheetFormatPr baseColWidth="8" defaultRowHeight="15"/>
  <cols>
    <col width="36" customWidth="1" min="1" max="1"/>
    <col width="30" customWidth="1" min="2" max="2"/>
    <col width="14" customWidth="1" min="3" max="3"/>
    <col width="14" customWidth="1" min="4" max="4"/>
    <col width="16" customWidth="1" min="5" max="5"/>
    <col width="26" customWidth="1" min="6" max="6"/>
    <col width="16" customWidth="1" min="7" max="7"/>
    <col width="12" customWidth="1" min="8" max="8"/>
    <col width="2" customWidth="1" min="9" max="9"/>
    <col hidden="1" width="10" customWidth="1" min="10" max="10"/>
  </cols>
  <sheetData>
    <row r="1" ht="24" customHeight="1">
      <c r="B1" s="1" t="inlineStr">
        <is>
          <t>Dashboard</t>
        </is>
      </c>
    </row>
    <row r="2" ht="15" customHeight="1">
      <c r="A2" s="7">
        <f>IF(Dashboard!$B$6="","","Program: "&amp;Dashboard!$B$6&amp;IF(Dashboard!$B$7="",".",". Sits under: "&amp;Dashboard!$B$7&amp;"."))</f>
        <v/>
      </c>
    </row>
    <row r="3" ht="6" customHeight="1"/>
    <row r="4" ht="15" customHeight="1"/>
    <row r="5" ht="18" customHeight="1">
      <c r="A5" s="8" t="inlineStr">
        <is>
          <t>Program</t>
        </is>
      </c>
      <c r="E5" s="8" t="inlineStr">
        <is>
          <t>Limits</t>
        </is>
      </c>
      <c r="J5" s="9" t="inlineStr">
        <is>
          <t>Helper, worked out</t>
        </is>
      </c>
    </row>
    <row r="6" ht="18" customHeight="1">
      <c r="A6" s="10" t="inlineStr">
        <is>
          <t>NAME</t>
        </is>
      </c>
      <c r="B6" s="11" t="n"/>
      <c r="E6" s="10" t="inlineStr">
        <is>
          <t>WORKING DAYS LATE BEFORE RED</t>
        </is>
      </c>
      <c r="H6" s="12" t="n">
        <v>10</v>
      </c>
    </row>
    <row r="7" ht="18" customHeight="1">
      <c r="A7" s="10" t="inlineStr">
        <is>
          <t>SITS UNDER</t>
        </is>
      </c>
      <c r="B7" s="11" t="n"/>
      <c r="E7" s="10" t="inlineStr">
        <is>
          <t>BENEFIT SHORTFALL BEFORE RED</t>
        </is>
      </c>
      <c r="H7" s="13" t="n">
        <v>0.15</v>
      </c>
    </row>
    <row r="8" ht="18" customHeight="1">
      <c r="A8" s="10" t="inlineStr">
        <is>
          <t>OWNER</t>
        </is>
      </c>
      <c r="B8" s="11" t="n"/>
      <c r="E8" s="10" t="inlineStr">
        <is>
          <t>WORKING DAYS AN ASK MAY WAIT</t>
        </is>
      </c>
      <c r="H8" s="12" t="n">
        <v>10</v>
      </c>
    </row>
    <row r="9" ht="18" customHeight="1">
      <c r="A9" s="10" t="inlineStr">
        <is>
          <t>SPONSOR</t>
        </is>
      </c>
      <c r="B9" s="11" t="n"/>
      <c r="C9" s="7">
        <f>IF(OR($B$6="",$B$9&lt;&gt;""),"","△ Not yet named")</f>
        <v/>
      </c>
      <c r="E9" s="10" t="inlineStr">
        <is>
          <t>MOVES THAT FLAG AN ACTION</t>
        </is>
      </c>
      <c r="H9" s="12" t="n">
        <v>2</v>
      </c>
    </row>
    <row r="10" ht="18" customHeight="1">
      <c r="A10" s="10" t="inlineStr">
        <is>
          <t>PLANNED FINISH</t>
        </is>
      </c>
      <c r="B10" s="14" t="n"/>
      <c r="E10" s="10" t="inlineStr">
        <is>
          <t>FIRST MONTH ON ROADMAP</t>
        </is>
      </c>
      <c r="H10" s="15" t="n"/>
    </row>
    <row r="11" ht="18" customHeight="1">
      <c r="A11" s="10" t="inlineStr">
        <is>
          <t>LATEST FORECAST</t>
        </is>
      </c>
      <c r="B11" s="14" t="n"/>
      <c r="C11" s="16">
        <f>IF(COUNT($B$11,Roadmap!$AA$7:$AA$36)=0,"",MAX($B$11,Roadmap!$AA$7:$AA$36))</f>
        <v/>
      </c>
      <c r="D11" s="2">
        <f>IF(COUNT(Roadmap!$AA$7:$AA$36)=0,"",IF(NOT(ISNUMBER($B$11)),"From Roadmap: "&amp;INDEX(Roadmap!$A$7:$A$36,MATCH(MAX(Roadmap!$AA$7:$AA$36),Roadmap!$AA$7:$AA$36,0)),IF(MAX(Roadmap!$AA$7:$AA$36)&gt;$B$11,INDEX(Roadmap!$A$7:$A$36,MATCH(MAX(Roadmap!$AA$7:$AA$36),Roadmap!$AA$7:$AA$36,0))&amp;" on Roadmap is later than the forecast typed here.","")))</f>
        <v/>
      </c>
    </row>
    <row r="12" ht="18" customHeight="1">
      <c r="A12" s="10" t="inlineStr">
        <is>
          <t>CHARTER EDITION</t>
        </is>
      </c>
      <c r="B12" s="11" t="n"/>
    </row>
    <row r="13" ht="28" customHeight="1">
      <c r="A13" s="10" t="inlineStr">
        <is>
          <t>TAKES THE BENEFITS AT CLOSE</t>
        </is>
      </c>
      <c r="B13" s="17" t="n"/>
    </row>
    <row r="14" ht="18" customHeight="1">
      <c r="A14" s="10" t="inlineStr">
        <is>
          <t>PROJECTS ON THE REGISTER</t>
        </is>
      </c>
      <c r="B14" s="11" t="n"/>
    </row>
    <row r="15" ht="18" customHeight="1">
      <c r="A15" s="10" t="inlineStr">
        <is>
          <t>AS OF</t>
        </is>
      </c>
      <c r="B15" s="14" t="n"/>
    </row>
    <row r="16" ht="18" customHeight="1">
      <c r="A16" s="10" t="inlineStr">
        <is>
          <t>COUNTING FROM</t>
        </is>
      </c>
      <c r="B16" s="16">
        <f>IF(ISNUMBER($B$15),$B$15,TODAY())</f>
        <v/>
      </c>
    </row>
    <row r="17" ht="8" customHeight="1"/>
    <row r="18" ht="8" customHeight="1"/>
    <row r="19" ht="8" customHeight="1"/>
    <row r="20" ht="18" customHeight="1">
      <c r="A20" s="8" t="inlineStr">
        <is>
          <t>Status</t>
        </is>
      </c>
    </row>
    <row r="21" ht="30" customHeight="1">
      <c r="A21" s="18">
        <f>IF($B$6="","Type the program's name above to begin.",$B$6&amp;IF(AND($B$22="■ Red",$B$23="■ Red")," is Red on its outcome date and benefits.",IF($B$22="■ Red"," is Red on its outcome date.",IF($B$23="■ Red"," is Red on benefits.",IF(OR($B$22="◧ Amber",$B$23="◧ Amber")," reads Amber.",IF(OR($B$22="□ On track",$B$23="□ On track")," reads On track."," has nothing to read yet.")))))&amp;IF(COUNTIF($B$51:$B$59,"△*")=0," All nine checks clear."," "&amp;COUNTIF($B$51:$B$59,"△*")&amp;" of 9 checks failing.")&amp;IF(ISNUMBER($B$26)," Next decision point: "&amp;$C$26&amp;", on "&amp;TEXT($B$26,"d mmm yyyy")&amp;".",""))</f>
        <v/>
      </c>
    </row>
    <row r="22" ht="20" customHeight="1">
      <c r="A22" s="10" t="inlineStr">
        <is>
          <t>OUTCOME DATE</t>
        </is>
      </c>
      <c r="B22" s="19">
        <f>IF($J$22="","Not read",IF($J$22=0,"□ On track",IF($J$22&gt;$H$6,"■ Red","◧ Amber")))</f>
        <v/>
      </c>
      <c r="C22" s="9">
        <f>IF($J$22="","Type Planned finish above, and a forecast above or on Roadmap.","Forecast "&amp;TEXT($C$11,"d mmm yyyy")&amp;" against a Planned finish of "&amp;TEXT($B$10,"d mmm yyyy")&amp;IF($J$22=0,": not late.",": "&amp;$J$22&amp;IF($J$22=1," working day"," working days")&amp;" late."))</f>
        <v/>
      </c>
      <c r="J22" s="9">
        <f>IF(OR(NOT(ISNUMBER(Dashboard!$B$10)),NOT(ISNUMBER(Dashboard!$C$11))),"",IF(Dashboard!$C$11&lt;=Dashboard!$B$10,0,NETWORKDAYS(Dashboard!$B$10+1,Dashboard!$C$11)))</f>
        <v/>
      </c>
    </row>
    <row r="23" ht="20" customHeight="1">
      <c r="A23" s="10" t="inlineStr">
        <is>
          <t>BENEFITS</t>
        </is>
      </c>
      <c r="B23" s="19">
        <f>IF(COUNTIF(Benefits!$Q$7:$Q$46,"■ Red")&gt;0,"■ Red",IF(COUNTIF(Benefits!$Q$7:$Q$46,"◧ Amber")&gt;0,"◧ Amber",IF(COUNTIF(Benefits!$Q$7:$Q$46,"□ On track")&gt;0,"□ On track","Not read")))</f>
        <v/>
      </c>
      <c r="C23" s="9">
        <f>IF(COUNTA(Benefits!$A$7:$A$46)=0,"No benefits yet.",COUNTIF(Benefits!$Q$7:$Q$46,"■ Red")&amp;" Red, "&amp;COUNTIF(Benefits!$Q$7:$Q$46,"◧ Amber")&amp;" Amber, "&amp;COUNTIF(Benefits!$Q$7:$Q$46,"□ On track")&amp;" On track, "&amp;COUNTIF(Benefits!$Q$7:$Q$46,"Not read")&amp;" Not read."&amp;IF(COUNT(Benefits!$K$7:$K$46)=0," No review date."," Next review "&amp;TEXT(MIN(Benefits!$K$7:$K$46),"d mmm yyyy")&amp;"."))</f>
        <v/>
      </c>
    </row>
    <row r="24" ht="20" customHeight="1">
      <c r="A24" s="10" t="inlineStr">
        <is>
          <t>DEPENDENCIES OPEN</t>
        </is>
      </c>
      <c r="B24" s="20">
        <f>SUM(Dependencies!$S$7:$S$46)</f>
        <v/>
      </c>
      <c r="C24" s="9">
        <f>IF(COUNTA(Dependencies!$A$7:$A$46)=0,"No dependencies yet.",$B$24&amp;" open, "&amp;(COUNTIF(Dependencies!$N$7:$N$46,"Slipped")+COUNTIF(Dependencies!$N$7:$N$46,"Past due"))&amp;" slipped or past due, "&amp;COUNTIF(Dependencies!$N$7:$N$46,"Declined")&amp;" declined.")</f>
        <v/>
      </c>
    </row>
    <row r="25" ht="20" customHeight="1">
      <c r="A25" s="10" t="inlineStr">
        <is>
          <t>ACTIONS OPEN</t>
        </is>
      </c>
      <c r="B25" s="20">
        <f>COUNTIF(Meetings!$H$20:$H$319,"Open")</f>
        <v/>
      </c>
      <c r="C25" s="9">
        <f>IF(COUNTA(Meetings!$A$20:$A$319)=0,"No actions yet.",$B$25&amp;" open, "&amp;SUM(Meetings!$N$20:$N$319)&amp;" overdue, "&amp;SUM(Meetings!$O$20:$O$319)&amp;" moved "&amp;$H$9&amp;" times or more.")</f>
        <v/>
      </c>
    </row>
    <row r="26" ht="20" customHeight="1">
      <c r="A26" s="10" t="inlineStr">
        <is>
          <t>NEXT DECISION POINT</t>
        </is>
      </c>
      <c r="B26" s="16">
        <f>IF(COUNT(Roadmap!$AB$7:$AB$36)=0,"",MIN(Roadmap!$AB$7:$AB$36))</f>
        <v/>
      </c>
      <c r="C26" s="9">
        <f>IF($B$26="","No decision point ahead on Roadmap.",INDEX(Roadmap!$A$7:$A$36,MATCH($B$26,Roadmap!$AB$7:$AB$36,0))&amp;"")</f>
        <v/>
      </c>
    </row>
    <row r="27" ht="8" customHeight="1"/>
    <row r="28" ht="18" customHeight="1">
      <c r="A28" s="8" t="inlineStr">
        <is>
          <t>Benefits</t>
        </is>
      </c>
    </row>
    <row r="29" ht="30" customHeight="1">
      <c r="A29" s="21" t="inlineStr">
        <is>
          <t>Benefit</t>
        </is>
      </c>
      <c r="B29" s="21" t="inlineStr">
        <is>
          <t>Owner</t>
        </is>
      </c>
      <c r="C29" s="21" t="inlineStr">
        <is>
          <t>Target</t>
        </is>
      </c>
      <c r="D29" s="21" t="inlineStr">
        <is>
          <t>Forecast</t>
        </is>
      </c>
      <c r="E29" s="21" t="inlineStr">
        <is>
          <t>Reading</t>
        </is>
      </c>
      <c r="F29" s="21" t="inlineStr">
        <is>
          <t>Review due</t>
        </is>
      </c>
      <c r="G29" s="21" t="inlineStr">
        <is>
          <t>Net a year at target</t>
        </is>
      </c>
    </row>
    <row r="30" ht="28" customHeight="1">
      <c r="A30" s="22">
        <f>IF($J30="","",INDEX(Benefits!$A$1:$A$46,$J30)&amp;"")</f>
        <v/>
      </c>
      <c r="B30" s="22">
        <f>IF($J30="","",INDEX(Benefits!$I$1:$I$46,$J30)&amp;"")</f>
        <v/>
      </c>
      <c r="C30" s="23">
        <f>IF($J30="","",IF(INDEX(Benefits!$G$1:$G$46,$J30)="","",INDEX(Benefits!$G$1:$G$46,$J30)))</f>
        <v/>
      </c>
      <c r="D30" s="23">
        <f>IF($J30="","",IF(INDEX(Benefits!$N$1:$N$46,$J30)="","",INDEX(Benefits!$N$1:$N$46,$J30)))</f>
        <v/>
      </c>
      <c r="E30" s="9">
        <f>IF($J30="","",INDEX(Benefits!$Q$1:$Q$46,$J30)&amp;"")</f>
        <v/>
      </c>
      <c r="F30" s="9">
        <f>IF($J30="","",INDEX(Benefits!$R$1:$R$46,$J30)&amp;"")</f>
        <v/>
      </c>
      <c r="G30" s="24">
        <f>IF($J30="","",IF(INDEX(Benefits!$S$1:$S$46,$J30)="","",INDEX(Benefits!$S$1:$S$46,$J30)))</f>
        <v/>
      </c>
      <c r="J30" s="9">
        <f>IFERROR(SMALL(Benefits!$AD$7:$AD$46,1),"")</f>
        <v/>
      </c>
    </row>
    <row r="31" ht="28" customHeight="1">
      <c r="A31" s="22">
        <f>IF($J31="","",INDEX(Benefits!$A$1:$A$46,$J31)&amp;"")</f>
        <v/>
      </c>
      <c r="B31" s="22">
        <f>IF($J31="","",INDEX(Benefits!$I$1:$I$46,$J31)&amp;"")</f>
        <v/>
      </c>
      <c r="C31" s="23">
        <f>IF($J31="","",IF(INDEX(Benefits!$G$1:$G$46,$J31)="","",INDEX(Benefits!$G$1:$G$46,$J31)))</f>
        <v/>
      </c>
      <c r="D31" s="23">
        <f>IF($J31="","",IF(INDEX(Benefits!$N$1:$N$46,$J31)="","",INDEX(Benefits!$N$1:$N$46,$J31)))</f>
        <v/>
      </c>
      <c r="E31" s="9">
        <f>IF($J31="","",INDEX(Benefits!$Q$1:$Q$46,$J31)&amp;"")</f>
        <v/>
      </c>
      <c r="F31" s="9">
        <f>IF($J31="","",INDEX(Benefits!$R$1:$R$46,$J31)&amp;"")</f>
        <v/>
      </c>
      <c r="G31" s="24">
        <f>IF($J31="","",IF(INDEX(Benefits!$S$1:$S$46,$J31)="","",INDEX(Benefits!$S$1:$S$46,$J31)))</f>
        <v/>
      </c>
      <c r="J31" s="9">
        <f>IFERROR(SMALL(Benefits!$AD$7:$AD$46,2),"")</f>
        <v/>
      </c>
    </row>
    <row r="32" ht="28" customHeight="1">
      <c r="A32" s="22">
        <f>IF($J32="","",INDEX(Benefits!$A$1:$A$46,$J32)&amp;"")</f>
        <v/>
      </c>
      <c r="B32" s="22">
        <f>IF($J32="","",INDEX(Benefits!$I$1:$I$46,$J32)&amp;"")</f>
        <v/>
      </c>
      <c r="C32" s="23">
        <f>IF($J32="","",IF(INDEX(Benefits!$G$1:$G$46,$J32)="","",INDEX(Benefits!$G$1:$G$46,$J32)))</f>
        <v/>
      </c>
      <c r="D32" s="23">
        <f>IF($J32="","",IF(INDEX(Benefits!$N$1:$N$46,$J32)="","",INDEX(Benefits!$N$1:$N$46,$J32)))</f>
        <v/>
      </c>
      <c r="E32" s="9">
        <f>IF($J32="","",INDEX(Benefits!$Q$1:$Q$46,$J32)&amp;"")</f>
        <v/>
      </c>
      <c r="F32" s="9">
        <f>IF($J32="","",INDEX(Benefits!$R$1:$R$46,$J32)&amp;"")</f>
        <v/>
      </c>
      <c r="G32" s="24">
        <f>IF($J32="","",IF(INDEX(Benefits!$S$1:$S$46,$J32)="","",INDEX(Benefits!$S$1:$S$46,$J32)))</f>
        <v/>
      </c>
      <c r="J32" s="9">
        <f>IFERROR(SMALL(Benefits!$AD$7:$AD$46,3),"")</f>
        <v/>
      </c>
    </row>
    <row r="33" ht="28" customHeight="1">
      <c r="A33" s="22">
        <f>IF($J33="","",INDEX(Benefits!$A$1:$A$46,$J33)&amp;"")</f>
        <v/>
      </c>
      <c r="B33" s="22">
        <f>IF($J33="","",INDEX(Benefits!$I$1:$I$46,$J33)&amp;"")</f>
        <v/>
      </c>
      <c r="C33" s="23">
        <f>IF($J33="","",IF(INDEX(Benefits!$G$1:$G$46,$J33)="","",INDEX(Benefits!$G$1:$G$46,$J33)))</f>
        <v/>
      </c>
      <c r="D33" s="23">
        <f>IF($J33="","",IF(INDEX(Benefits!$N$1:$N$46,$J33)="","",INDEX(Benefits!$N$1:$N$46,$J33)))</f>
        <v/>
      </c>
      <c r="E33" s="9">
        <f>IF($J33="","",INDEX(Benefits!$Q$1:$Q$46,$J33)&amp;"")</f>
        <v/>
      </c>
      <c r="F33" s="9">
        <f>IF($J33="","",INDEX(Benefits!$R$1:$R$46,$J33)&amp;"")</f>
        <v/>
      </c>
      <c r="G33" s="24">
        <f>IF($J33="","",IF(INDEX(Benefits!$S$1:$S$46,$J33)="","",INDEX(Benefits!$S$1:$S$46,$J33)))</f>
        <v/>
      </c>
      <c r="J33" s="9">
        <f>IFERROR(SMALL(Benefits!$AD$7:$AD$46,4),"")</f>
        <v/>
      </c>
    </row>
    <row r="34" ht="28" customHeight="1">
      <c r="A34" s="22">
        <f>IF($J34="","",INDEX(Benefits!$A$1:$A$46,$J34)&amp;"")</f>
        <v/>
      </c>
      <c r="B34" s="22">
        <f>IF($J34="","",INDEX(Benefits!$I$1:$I$46,$J34)&amp;"")</f>
        <v/>
      </c>
      <c r="C34" s="23">
        <f>IF($J34="","",IF(INDEX(Benefits!$G$1:$G$46,$J34)="","",INDEX(Benefits!$G$1:$G$46,$J34)))</f>
        <v/>
      </c>
      <c r="D34" s="23">
        <f>IF($J34="","",IF(INDEX(Benefits!$N$1:$N$46,$J34)="","",INDEX(Benefits!$N$1:$N$46,$J34)))</f>
        <v/>
      </c>
      <c r="E34" s="9">
        <f>IF($J34="","",INDEX(Benefits!$Q$1:$Q$46,$J34)&amp;"")</f>
        <v/>
      </c>
      <c r="F34" s="9">
        <f>IF($J34="","",INDEX(Benefits!$R$1:$R$46,$J34)&amp;"")</f>
        <v/>
      </c>
      <c r="G34" s="24">
        <f>IF($J34="","",IF(INDEX(Benefits!$S$1:$S$46,$J34)="","",INDEX(Benefits!$S$1:$S$46,$J34)))</f>
        <v/>
      </c>
      <c r="J34" s="9">
        <f>IFERROR(SMALL(Benefits!$AD$7:$AD$46,5),"")</f>
        <v/>
      </c>
    </row>
    <row r="35" ht="28" customHeight="1">
      <c r="A35" s="22">
        <f>IF($J35="","",INDEX(Benefits!$A$1:$A$46,$J35)&amp;"")</f>
        <v/>
      </c>
      <c r="B35" s="22">
        <f>IF($J35="","",INDEX(Benefits!$I$1:$I$46,$J35)&amp;"")</f>
        <v/>
      </c>
      <c r="C35" s="23">
        <f>IF($J35="","",IF(INDEX(Benefits!$G$1:$G$46,$J35)="","",INDEX(Benefits!$G$1:$G$46,$J35)))</f>
        <v/>
      </c>
      <c r="D35" s="23">
        <f>IF($J35="","",IF(INDEX(Benefits!$N$1:$N$46,$J35)="","",INDEX(Benefits!$N$1:$N$46,$J35)))</f>
        <v/>
      </c>
      <c r="E35" s="9">
        <f>IF($J35="","",INDEX(Benefits!$Q$1:$Q$46,$J35)&amp;"")</f>
        <v/>
      </c>
      <c r="F35" s="9">
        <f>IF($J35="","",INDEX(Benefits!$R$1:$R$46,$J35)&amp;"")</f>
        <v/>
      </c>
      <c r="G35" s="24">
        <f>IF($J35="","",IF(INDEX(Benefits!$S$1:$S$46,$J35)="","",INDEX(Benefits!$S$1:$S$46,$J35)))</f>
        <v/>
      </c>
      <c r="J35" s="9">
        <f>IFERROR(SMALL(Benefits!$AD$7:$AD$46,6),"")</f>
        <v/>
      </c>
    </row>
    <row r="36" ht="28" customHeight="1">
      <c r="A36" s="22">
        <f>IF($J36="","",INDEX(Benefits!$A$1:$A$46,$J36)&amp;"")</f>
        <v/>
      </c>
      <c r="B36" s="22">
        <f>IF($J36="","",INDEX(Benefits!$I$1:$I$46,$J36)&amp;"")</f>
        <v/>
      </c>
      <c r="C36" s="23">
        <f>IF($J36="","",IF(INDEX(Benefits!$G$1:$G$46,$J36)="","",INDEX(Benefits!$G$1:$G$46,$J36)))</f>
        <v/>
      </c>
      <c r="D36" s="23">
        <f>IF($J36="","",IF(INDEX(Benefits!$N$1:$N$46,$J36)="","",INDEX(Benefits!$N$1:$N$46,$J36)))</f>
        <v/>
      </c>
      <c r="E36" s="9">
        <f>IF($J36="","",INDEX(Benefits!$Q$1:$Q$46,$J36)&amp;"")</f>
        <v/>
      </c>
      <c r="F36" s="9">
        <f>IF($J36="","",INDEX(Benefits!$R$1:$R$46,$J36)&amp;"")</f>
        <v/>
      </c>
      <c r="G36" s="24">
        <f>IF($J36="","",IF(INDEX(Benefits!$S$1:$S$46,$J36)="","",INDEX(Benefits!$S$1:$S$46,$J36)))</f>
        <v/>
      </c>
      <c r="J36" s="9">
        <f>IFERROR(SMALL(Benefits!$AD$7:$AD$46,7),"")</f>
        <v/>
      </c>
    </row>
    <row r="37" ht="28" customHeight="1">
      <c r="A37" s="22">
        <f>IF($J37="","",INDEX(Benefits!$A$1:$A$46,$J37)&amp;"")</f>
        <v/>
      </c>
      <c r="B37" s="22">
        <f>IF($J37="","",INDEX(Benefits!$I$1:$I$46,$J37)&amp;"")</f>
        <v/>
      </c>
      <c r="C37" s="23">
        <f>IF($J37="","",IF(INDEX(Benefits!$G$1:$G$46,$J37)="","",INDEX(Benefits!$G$1:$G$46,$J37)))</f>
        <v/>
      </c>
      <c r="D37" s="23">
        <f>IF($J37="","",IF(INDEX(Benefits!$N$1:$N$46,$J37)="","",INDEX(Benefits!$N$1:$N$46,$J37)))</f>
        <v/>
      </c>
      <c r="E37" s="9">
        <f>IF($J37="","",INDEX(Benefits!$Q$1:$Q$46,$J37)&amp;"")</f>
        <v/>
      </c>
      <c r="F37" s="9">
        <f>IF($J37="","",INDEX(Benefits!$R$1:$R$46,$J37)&amp;"")</f>
        <v/>
      </c>
      <c r="G37" s="24">
        <f>IF($J37="","",IF(INDEX(Benefits!$S$1:$S$46,$J37)="","",INDEX(Benefits!$S$1:$S$46,$J37)))</f>
        <v/>
      </c>
      <c r="J37" s="9">
        <f>IFERROR(SMALL(Benefits!$AD$7:$AD$46,8),"")</f>
        <v/>
      </c>
    </row>
    <row r="38">
      <c r="A38" s="25">
        <f>IF(COUNTA(Benefits!$A$7:$A$46)&gt;8,"+ "&amp;(COUNTA(Benefits!$A$7:$A$46)-8)&amp;" more on Benefits","")</f>
        <v/>
      </c>
    </row>
    <row r="39" ht="8" customHeight="1"/>
    <row r="40" ht="18" customHeight="1">
      <c r="A40" s="8" t="inlineStr">
        <is>
          <t>Dependencies</t>
        </is>
      </c>
    </row>
    <row r="41" ht="30" customHeight="1">
      <c r="A41" s="21" t="inlineStr">
        <is>
          <t>Needs</t>
        </is>
      </c>
      <c r="B41" s="21" t="inlineStr">
        <is>
          <t>Provided by</t>
        </is>
      </c>
      <c r="C41" s="21" t="inlineStr">
        <is>
          <t>Needed by</t>
        </is>
      </c>
      <c r="D41" s="21" t="inlineStr">
        <is>
          <t>Date it will arrive</t>
        </is>
      </c>
      <c r="E41" s="21" t="inlineStr">
        <is>
          <t>Shown as</t>
        </is>
      </c>
      <c r="F41" s="21" t="inlineStr">
        <is>
          <t>Who answers</t>
        </is>
      </c>
    </row>
    <row r="42" ht="28" customHeight="1">
      <c r="A42" s="22">
        <f>IF($J42="","",INDEX(Dependencies!$A$1:$A$46,$J42)&amp;"")</f>
        <v/>
      </c>
      <c r="B42" s="22">
        <f>IF($J42="","",INDEX(Dependencies!$C$1:$C$46,$J42)&amp;"")</f>
        <v/>
      </c>
      <c r="C42" s="16">
        <f>IF($J42="","",IF(INDEX(Dependencies!$E$1:$E$46,$J42)="","",INDEX(Dependencies!$E$1:$E$46,$J42)))</f>
        <v/>
      </c>
      <c r="D42" s="16">
        <f>IF($J42="","",IF(INDEX(Dependencies!$L$1:$L$46,$J42)="","",INDEX(Dependencies!$L$1:$L$46,$J42)))</f>
        <v/>
      </c>
      <c r="E42" s="9">
        <f>IF($J42="","",INDEX(Dependencies!$N$1:$N$46,$J42)&amp;"")</f>
        <v/>
      </c>
      <c r="F42" s="22">
        <f>IF($J42="","",INDEX(Dependencies!$J$1:$J$46,$J42)&amp;"")</f>
        <v/>
      </c>
      <c r="J42" s="9">
        <f>IFERROR(MATCH(SMALL(Dependencies!$U$7:$U$46,1),Dependencies!$U$7:$U$46,0)+6,"")</f>
        <v/>
      </c>
    </row>
    <row r="43" ht="28" customHeight="1">
      <c r="A43" s="22">
        <f>IF($J43="","",INDEX(Dependencies!$A$1:$A$46,$J43)&amp;"")</f>
        <v/>
      </c>
      <c r="B43" s="22">
        <f>IF($J43="","",INDEX(Dependencies!$C$1:$C$46,$J43)&amp;"")</f>
        <v/>
      </c>
      <c r="C43" s="16">
        <f>IF($J43="","",IF(INDEX(Dependencies!$E$1:$E$46,$J43)="","",INDEX(Dependencies!$E$1:$E$46,$J43)))</f>
        <v/>
      </c>
      <c r="D43" s="16">
        <f>IF($J43="","",IF(INDEX(Dependencies!$L$1:$L$46,$J43)="","",INDEX(Dependencies!$L$1:$L$46,$J43)))</f>
        <v/>
      </c>
      <c r="E43" s="9">
        <f>IF($J43="","",INDEX(Dependencies!$N$1:$N$46,$J43)&amp;"")</f>
        <v/>
      </c>
      <c r="F43" s="22">
        <f>IF($J43="","",INDEX(Dependencies!$J$1:$J$46,$J43)&amp;"")</f>
        <v/>
      </c>
      <c r="J43" s="9">
        <f>IFERROR(MATCH(SMALL(Dependencies!$U$7:$U$46,2),Dependencies!$U$7:$U$46,0)+6,"")</f>
        <v/>
      </c>
    </row>
    <row r="44" ht="28" customHeight="1">
      <c r="A44" s="22">
        <f>IF($J44="","",INDEX(Dependencies!$A$1:$A$46,$J44)&amp;"")</f>
        <v/>
      </c>
      <c r="B44" s="22">
        <f>IF($J44="","",INDEX(Dependencies!$C$1:$C$46,$J44)&amp;"")</f>
        <v/>
      </c>
      <c r="C44" s="16">
        <f>IF($J44="","",IF(INDEX(Dependencies!$E$1:$E$46,$J44)="","",INDEX(Dependencies!$E$1:$E$46,$J44)))</f>
        <v/>
      </c>
      <c r="D44" s="16">
        <f>IF($J44="","",IF(INDEX(Dependencies!$L$1:$L$46,$J44)="","",INDEX(Dependencies!$L$1:$L$46,$J44)))</f>
        <v/>
      </c>
      <c r="E44" s="9">
        <f>IF($J44="","",INDEX(Dependencies!$N$1:$N$46,$J44)&amp;"")</f>
        <v/>
      </c>
      <c r="F44" s="22">
        <f>IF($J44="","",INDEX(Dependencies!$J$1:$J$46,$J44)&amp;"")</f>
        <v/>
      </c>
      <c r="J44" s="9">
        <f>IFERROR(MATCH(SMALL(Dependencies!$U$7:$U$46,3),Dependencies!$U$7:$U$46,0)+6,"")</f>
        <v/>
      </c>
    </row>
    <row r="45" ht="28" customHeight="1">
      <c r="A45" s="22">
        <f>IF($J45="","",INDEX(Dependencies!$A$1:$A$46,$J45)&amp;"")</f>
        <v/>
      </c>
      <c r="B45" s="22">
        <f>IF($J45="","",INDEX(Dependencies!$C$1:$C$46,$J45)&amp;"")</f>
        <v/>
      </c>
      <c r="C45" s="16">
        <f>IF($J45="","",IF(INDEX(Dependencies!$E$1:$E$46,$J45)="","",INDEX(Dependencies!$E$1:$E$46,$J45)))</f>
        <v/>
      </c>
      <c r="D45" s="16">
        <f>IF($J45="","",IF(INDEX(Dependencies!$L$1:$L$46,$J45)="","",INDEX(Dependencies!$L$1:$L$46,$J45)))</f>
        <v/>
      </c>
      <c r="E45" s="9">
        <f>IF($J45="","",INDEX(Dependencies!$N$1:$N$46,$J45)&amp;"")</f>
        <v/>
      </c>
      <c r="F45" s="22">
        <f>IF($J45="","",INDEX(Dependencies!$J$1:$J$46,$J45)&amp;"")</f>
        <v/>
      </c>
      <c r="J45" s="9">
        <f>IFERROR(MATCH(SMALL(Dependencies!$U$7:$U$46,4),Dependencies!$U$7:$U$46,0)+6,"")</f>
        <v/>
      </c>
    </row>
    <row r="46" ht="28" customHeight="1">
      <c r="A46" s="22">
        <f>IF($J46="","",INDEX(Dependencies!$A$1:$A$46,$J46)&amp;"")</f>
        <v/>
      </c>
      <c r="B46" s="22">
        <f>IF($J46="","",INDEX(Dependencies!$C$1:$C$46,$J46)&amp;"")</f>
        <v/>
      </c>
      <c r="C46" s="16">
        <f>IF($J46="","",IF(INDEX(Dependencies!$E$1:$E$46,$J46)="","",INDEX(Dependencies!$E$1:$E$46,$J46)))</f>
        <v/>
      </c>
      <c r="D46" s="16">
        <f>IF($J46="","",IF(INDEX(Dependencies!$L$1:$L$46,$J46)="","",INDEX(Dependencies!$L$1:$L$46,$J46)))</f>
        <v/>
      </c>
      <c r="E46" s="9">
        <f>IF($J46="","",INDEX(Dependencies!$N$1:$N$46,$J46)&amp;"")</f>
        <v/>
      </c>
      <c r="F46" s="22">
        <f>IF($J46="","",INDEX(Dependencies!$J$1:$J$46,$J46)&amp;"")</f>
        <v/>
      </c>
      <c r="J46" s="9">
        <f>IFERROR(MATCH(SMALL(Dependencies!$U$7:$U$46,5),Dependencies!$U$7:$U$46,0)+6,"")</f>
        <v/>
      </c>
    </row>
    <row r="47" ht="28" customHeight="1">
      <c r="A47" s="22">
        <f>IF($J47="","",INDEX(Dependencies!$A$1:$A$46,$J47)&amp;"")</f>
        <v/>
      </c>
      <c r="B47" s="22">
        <f>IF($J47="","",INDEX(Dependencies!$C$1:$C$46,$J47)&amp;"")</f>
        <v/>
      </c>
      <c r="C47" s="16">
        <f>IF($J47="","",IF(INDEX(Dependencies!$E$1:$E$46,$J47)="","",INDEX(Dependencies!$E$1:$E$46,$J47)))</f>
        <v/>
      </c>
      <c r="D47" s="16">
        <f>IF($J47="","",IF(INDEX(Dependencies!$L$1:$L$46,$J47)="","",INDEX(Dependencies!$L$1:$L$46,$J47)))</f>
        <v/>
      </c>
      <c r="E47" s="9">
        <f>IF($J47="","",INDEX(Dependencies!$N$1:$N$46,$J47)&amp;"")</f>
        <v/>
      </c>
      <c r="F47" s="22">
        <f>IF($J47="","",INDEX(Dependencies!$J$1:$J$46,$J47)&amp;"")</f>
        <v/>
      </c>
      <c r="J47" s="9">
        <f>IFERROR(MATCH(SMALL(Dependencies!$U$7:$U$46,6),Dependencies!$U$7:$U$46,0)+6,"")</f>
        <v/>
      </c>
    </row>
    <row r="48">
      <c r="A48" s="25">
        <f>IF(COUNTA(Dependencies!$A$7:$A$46)&gt;6,"+ "&amp;(COUNTA(Dependencies!$A$7:$A$46)-6)&amp;" more on Dependencies","")</f>
        <v/>
      </c>
    </row>
    <row r="49" ht="8" customHeight="1"/>
    <row r="50" ht="18" customHeight="1">
      <c r="A50" s="8" t="inlineStr">
        <is>
          <t>Checks</t>
        </is>
      </c>
    </row>
    <row r="51" ht="30" customHeight="1">
      <c r="A51" s="2" t="inlineStr">
        <is>
          <t>1  A benefit that can't be read, or is overdue</t>
        </is>
      </c>
      <c r="B51" s="22">
        <f>IF(SUM(Benefits!$AC$7:$AC$46)=0,"○ Clear","△ "&amp;SUM(Benefits!$AC$7:$AC$46)&amp;IF(SUM(Benefits!$AC$7:$AC$46)=1," benefit can't be read or is overdue, first: "," benefits can't be read or are overdue, first: ")&amp;INDEX(Benefits!$A$7:$A$46,MATCH(1,Benefits!$AC$7:$AC$46,0)))</f>
        <v/>
      </c>
    </row>
    <row r="52" ht="30" customHeight="1">
      <c r="A52" s="2" t="inlineStr">
        <is>
          <t>2  A saving not shown net of what it costs to run</t>
        </is>
      </c>
      <c r="B52" s="22">
        <f>IF(SUM(Benefits!$AE$7:$AE$46)+SUMPRODUCT(--((Costs!$G$7:$G$21+Costs!$H$7:$H$21)&gt;0))=0,"○ Clear","△ "&amp;IF(SUM(Benefits!$AE$7:$AE$46)&gt;0,SUM(Benefits!$AE$7:$AE$46)&amp;IF(SUM(Benefits!$AE$7:$AE$46)=1," saving not shown net of what it costs to run, first: "," savings not shown net of what they cost to run, first: ")&amp;INDEX(Benefits!$A$7:$A$46,MATCH(1,Benefits!$AE$7:$AE$46,0)),"")&amp;IF(SUMPRODUCT(--((Costs!$G$7:$G$21+Costs!$H$7:$H$21)&gt;0))&gt;0,IF(SUM(Benefits!$AE$7:$AE$46)&gt;0,"; ","")&amp;SUMPRODUCT(--((Costs!$G$7:$G$21+Costs!$H$7:$H$21)&gt;0))&amp;IF(SUMPRODUCT(--((Costs!$G$7:$G$21+Costs!$H$7:$H$21)&gt;0))=1," cost line names no benefit or has no amount"," cost lines name no benefit or have no amount"),""))</f>
        <v/>
      </c>
    </row>
    <row r="53" ht="30" customHeight="1">
      <c r="A53" s="2" t="inlineStr">
        <is>
          <t>3  A benefit read after close, with nobody to take it</t>
        </is>
      </c>
      <c r="B53" s="22">
        <f>IF(SUM(Benefits!$V$7:$V$46)=0,"○ Clear","△ "&amp;SUM(Benefits!$V$7:$V$46)&amp;IF(SUM(Benefits!$V$7:$V$46)=1," benefit is read after close, and nobody is named to take it"," benefits are read after close, and nobody is named to take them"))</f>
        <v/>
      </c>
    </row>
    <row r="54" ht="30" customHeight="1">
      <c r="A54" s="2" t="inlineStr">
        <is>
          <t>4  A roadmap that doesn't match the Register</t>
        </is>
      </c>
      <c r="B54" s="22">
        <f>IF(COUNTIF(Roadmap!$B$7:$B$36,"Project")&lt;&gt;N(Dashboard!$B$14),"△ Roadmap lists "&amp;COUNTIF(Roadmap!$B$7:$B$36,"Project")&amp;IF(COUNTIF(Roadmap!$B$7:$B$36,"Project")=1," project"," projects")&amp;"; the Register shows "&amp;N(Dashboard!$B$14),IF(SUM(Roadmap!$AC$7:$AC$36)&gt;0,"△ "&amp;SUM(Roadmap!$AC$7:$AC$36)&amp;IF(SUM(Roadmap!$AC$7:$AC$36)=1," Roadmap row to fix, first: "," Roadmap rows to fix, first: ")&amp;INDEX(Roadmap!$A$7:$A$36,MATCH(1,Roadmap!$AC$7:$AC$36,0)),"○ Clear"))</f>
        <v/>
      </c>
    </row>
    <row r="55" ht="30" customHeight="1">
      <c r="A55" s="2" t="inlineStr">
        <is>
          <t>5  An outcome date later than the limit allows</t>
        </is>
      </c>
      <c r="B55" s="22">
        <f>IF($J$22="","Not done: type Planned finish and a forecast",IF($B$22&lt;&gt;"■ Red","○ Clear","△ "&amp;$C$22&amp;" "&amp;$H$6&amp;" are allowed."))</f>
        <v/>
      </c>
    </row>
    <row r="56" ht="30" customHeight="1">
      <c r="A56" s="2" t="inlineStr">
        <is>
          <t>6  A dependency nobody has answered for</t>
        </is>
      </c>
      <c r="B56" s="22">
        <f>IF(SUM(Dependencies!$V$7:$V$46)=0,"○ Clear","△ "&amp;SUM(Dependencies!$V$7:$V$46)&amp;IF(SUM(Dependencies!$V$7:$V$46)=1," dependency"," dependencies")&amp;" not asked, with nobody answering, or asked over "&amp;$H$8&amp;" working days ago")</f>
        <v/>
      </c>
    </row>
    <row r="57" ht="30" customHeight="1">
      <c r="A57" s="2" t="inlineStr">
        <is>
          <t>7  A dependency that won't arrive in time</t>
        </is>
      </c>
      <c r="B57" s="22">
        <f>IF(SUM(Dependencies!$R$7:$R$46)=0,"○ Clear","△ "&amp;SUM(Dependencies!$R$7:$R$46)&amp;IF(SUM(Dependencies!$R$7:$R$46)=1," dependency"," dependencies")&amp;" won't arrive in time, first: "&amp;INDEX(Dependencies!$A$7:$A$46,MATCH(1,Dependencies!$R$7:$R$46,0)))</f>
        <v/>
      </c>
    </row>
    <row r="58" ht="30" customHeight="1">
      <c r="A58" s="2" t="inlineStr">
        <is>
          <t>8  A forum missing a chair, limits or a place to escalate</t>
        </is>
      </c>
      <c r="B58" s="22">
        <f>IF(SUM(Meetings!$R$7:$R$16)+SUM(Meetings!$T$7:$T$16)=0,"○ Clear","△ "&amp;IF(SUM(Meetings!$R$7:$R$16)&gt;0,SUM(Meetings!$R$7:$R$16)&amp;IF(SUM(Meetings!$R$7:$R$16)=1," forum"," forums")&amp;" missing a chair, limits or a place to escalate","")&amp;IF(SUM(Meetings!$T$7:$T$16)&gt;0,IF(SUM(Meetings!$R$7:$R$16)&gt;0,"; ","")&amp;SUM(Meetings!$T$7:$T$16)&amp;IF(SUM(Meetings!$T$7:$T$16)=1," forum"," forums")&amp;" meeting on a date Roadmap doesn't show",""))</f>
        <v/>
      </c>
    </row>
    <row r="59" ht="30" customHeight="1">
      <c r="A59" s="2" t="inlineStr">
        <is>
          <t>9  An action without one owner and a date, or stuck</t>
        </is>
      </c>
      <c r="B59" s="22">
        <f>IF(SUM(Meetings!$P$20:$P$319)=0,"○ Clear","△ "&amp;SUM(Meetings!$P$20:$P$319)&amp;IF(SUM(Meetings!$P$20:$P$319)=1," action"," actions")&amp;": "&amp;MID(IF(SUM(Meetings!$N$20:$N$319)&gt;0,", "&amp;SUM(Meetings!$N$20:$N$319)&amp;" overdue","")&amp;IF(SUM(Meetings!$O$20:$O$319)&gt;0,", "&amp;SUM(Meetings!$O$20:$O$319)&amp;" moved "&amp;$H$9&amp;" times or more","")&amp;IF(SUM(Meetings!$M$20:$M$319)&gt;0,", "&amp;SUM(Meetings!$M$20:$M$319)&amp;" without one owner and a date",""),3,999))</f>
        <v/>
      </c>
    </row>
    <row r="60">
      <c r="A60" s="10" t="inlineStr">
        <is>
          <t>CHECKS FAILING</t>
        </is>
      </c>
      <c r="B60" s="19">
        <f>COUNTIF($B$51:$B$59,"△*")&amp;" of 9 failing"</f>
        <v/>
      </c>
    </row>
  </sheetData>
  <sheetProtection selectLockedCells="0" selectUnlockedCells="0" sheet="1" objects="0" insertRows="1" insertHyperlinks="1" autoFilter="0" scenarios="0" formatColumns="0" deleteColumns="1" insertColumns="1" pivotTables="1" deleteRows="1" formatCells="0" formatRows="0" sort="0"/>
  <mergeCells count="27">
    <mergeCell ref="C25:H25"/>
    <mergeCell ref="E10:G10"/>
    <mergeCell ref="C22:H22"/>
    <mergeCell ref="B55:H55"/>
    <mergeCell ref="E9:G9"/>
    <mergeCell ref="B51:H51"/>
    <mergeCell ref="E6:G6"/>
    <mergeCell ref="A5:C5"/>
    <mergeCell ref="D11:H11"/>
    <mergeCell ref="C23:H23"/>
    <mergeCell ref="B54:H54"/>
    <mergeCell ref="B59:H59"/>
    <mergeCell ref="E7:G7"/>
    <mergeCell ref="E5:H5"/>
    <mergeCell ref="A50:H50"/>
    <mergeCell ref="A21:H21"/>
    <mergeCell ref="B56:H56"/>
    <mergeCell ref="B58:H58"/>
    <mergeCell ref="B52:H52"/>
    <mergeCell ref="C24:H24"/>
    <mergeCell ref="B57:H57"/>
    <mergeCell ref="A20:H20"/>
    <mergeCell ref="B53:H53"/>
    <mergeCell ref="E8:G8"/>
    <mergeCell ref="A28:H28"/>
    <mergeCell ref="C26:H26"/>
    <mergeCell ref="A40:H40"/>
  </mergeCells>
  <conditionalFormatting sqref="A21">
    <cfRule type="expression" priority="1" dxfId="0" stopIfTrue="0">
      <formula>ISNUMBER(SEARCH(" of 9 checks failing.",A21))</formula>
    </cfRule>
  </conditionalFormatting>
  <conditionalFormatting sqref="E30:F37">
    <cfRule type="expression" priority="2" dxfId="0" stopIfTrue="0">
      <formula>OR(LEFT(E30,1)="△",LEFT(E30,1)="■")</formula>
    </cfRule>
  </conditionalFormatting>
  <conditionalFormatting sqref="E42:E47">
    <cfRule type="expression" priority="3" dxfId="0" stopIfTrue="0">
      <formula>OR(LEFT(E42,1)="△",LEFT(E42,1)="■")</formula>
    </cfRule>
  </conditionalFormatting>
  <conditionalFormatting sqref="B51:B59">
    <cfRule type="expression" priority="4" dxfId="0" stopIfTrue="0">
      <formula>OR(LEFT(B51,1)="△",LEFT(B51,1)="■")</formula>
    </cfRule>
  </conditionalFormatting>
  <conditionalFormatting sqref="C9">
    <cfRule type="expression" priority="5" dxfId="0" stopIfTrue="0">
      <formula>OR(LEFT(C9,1)="△",LEFT(C9,1)="■")</formula>
    </cfRule>
  </conditionalFormatting>
  <conditionalFormatting sqref="B22:B23">
    <cfRule type="expression" priority="6" dxfId="0" stopIfTrue="0">
      <formula>OR(LEFT(B22,1)="△",LEFT(B22,1)="■")</formula>
    </cfRule>
  </conditionalFormatting>
  <dataValidations count="15">
    <dataValidation sqref="B6" showDropDown="0" showInputMessage="1" showErrorMessage="0" allowBlank="1" promptTitle="Name" prompt="The program's name exactly as the Register writes it. Row 2 of every tab reads it." errorStyle="stop"/>
    <dataValidation sqref="B7" showDropDown="0" showInputMessage="1" showErrorMessage="0" allowBlank="1" promptTitle="Sits under" prompt="As the Register writes it, such as Portfolio." errorStyle="stop"/>
    <dataValidation sqref="B8" showDropDown="0" showInputMessage="1" showErrorMessage="0" allowBlank="1" promptTitle="Owner" prompt="The Register's Owner, written the same way, such as Hugo (Program Manager)." errorStyle="stop"/>
    <dataValidation sqref="B9" showDropDown="0" showInputMessage="1" showErrorMessage="0" allowBlank="1" promptTitle="Sponsor" prompt="From the Register. Leave it blank if there's no sponsor yet, and the cell beside it says so." errorStyle="stop"/>
    <dataValidation sqref="B10" showDropDown="0" showInputMessage="1" showErrorMessage="1" allowBlank="1" errorTitle="Check this entry" error="Type a date, such as 30 Jun 2027." promptTitle="Planned finish" prompt="From the Register. The outcome date is counted against it." type="date" errorStyle="stop" operator="between">
      <formula1>36526</formula1>
      <formula2>73415</formula2>
    </dataValidation>
    <dataValidation sqref="B11" showDropDown="0" showInputMessage="1" showErrorMessage="1" allowBlank="1" errorTitle="Check this entry" error="Type a date, such as 30 Jun 2027." promptTitle="Latest forecast" prompt="Optional, from the Register. Roadmap's forecasts count too, and the later date is the one used." type="date" errorStyle="stop" operator="between">
      <formula1>36526</formula1>
      <formula2>73415</formula2>
    </dataValidation>
    <dataValidation sqref="B12" showDropDown="0" showInputMessage="1" showErrorMessage="1" allowBlank="1" errorTitle="Check this entry" error="Type the charter's edition as a whole number, such as 1." promptTitle="Charter edition" prompt="The edition of the signed program charter these figures come from, such as 1. A change to a benefit, a cost or a decision date is a charter change first." type="whole" errorStyle="stop" operator="between">
      <formula1>1</formula1>
      <formula2>999</formula2>
    </dataValidation>
    <dataValidation sqref="B13" showDropDown="0" showInputMessage="1" showErrorMessage="0" allowBlank="1" promptTitle="Takes the benefits at close" prompt="Who reads the benefits once the program ends: a name and role, such as Rhys (Finance Operations Lead). If every benefit is read before the end, type Not needed: and why." errorStyle="stop"/>
    <dataValidation sqref="B14" showDropDown="0" showInputMessage="1" showErrorMessage="1" allowBlank="1" errorTitle="Check this entry" error="Type a whole number from 0 to 99." promptTitle="Projects on the Register" prompt="Count the Register rows whose Sits under is this program, whatever their Status." type="whole" errorStyle="stop" operator="between">
      <formula1>0</formula1>
      <formula2>99</formula2>
    </dataValidation>
    <dataValidation sqref="B15" showDropDown="0" showInputMessage="1" showErrorMessage="1" allowBlank="1" errorTitle="Check this entry" error="Type a date, such as 30 Jun 2027." promptTitle="As of" prompt="Optional. Type a date to read the file as of that day. Leave it blank to count from today." type="date" errorStyle="stop" operator="between">
      <formula1>36526</formula1>
      <formula2>73415</formula2>
    </dataValidation>
    <dataValidation sqref="H6" showDropDown="0" showInputMessage="1" showErrorMessage="1" allowBlank="1" errorTitle="Check this entry" error="Type a whole number of working days, 0 to 365." promptTitle="Working days late before Red" prompt="Working days the outcome date may run past Planned finish before it reads Red. Starts at 10. Your organisation's figure: FRQZ keeps one for everyone." type="whole" errorStyle="stop" operator="between">
      <formula1>0</formula1>
      <formula2>365</formula2>
    </dataValidation>
    <dataValidation sqref="H7" showDropDown="0" showInputMessage="1" showErrorMessage="1" allowBlank="1" errorTitle="Check this entry" error="Type a percent, such as 10%." promptTitle="Benefit shortfall before Red" prompt="How far a benefit's forecast may fall short of its planned change before it reads Red. A smaller shortfall reads Amber. Starts at 15%. Your organisation's figure: FRQZ keeps one for everyone." type="decimal" errorStyle="stop" operator="between">
      <formula1>0</formula1>
      <formula2>1</formula2>
    </dataValidation>
    <dataValidation sqref="H8" showDropDown="0" showInputMessage="1" showErrorMessage="1" allowBlank="1" errorTitle="Check this entry" error="Type a whole number of working days, 0 to 365." promptTitle="Working days an ask may wait" prompt="Working days an ask may go unanswered before check 6 fails. Starts at 10. This template's own figure: FRQZ has none." type="whole" errorStyle="stop" operator="between">
      <formula1>0</formula1>
      <formula2>365</formula2>
    </dataValidation>
    <dataValidation sqref="H9" showDropDown="0" showInputMessage="1" showErrorMessage="1" allowBlank="1" errorTitle="Check this entry" error="Type a whole number, 1 or more." promptTitle="Moves that flag an action" prompt="An open action whose Due date has moved this many times or more fails check 9. Starts at 2. This template's own figure: FRQZ has none." type="whole" errorStyle="stop" operator="greaterThanOrEqual">
      <formula1>1</formula1>
    </dataValidation>
    <dataValidation sqref="H10" showDropDown="0" showInputMessage="1" showErrorMessage="1" allowBlank="1" errorTitle="Check this entry" error="Type a date, such as 30 Jun 2027." promptTitle="First month on Roadmap" prompt="The first month the Roadmap grid shows. Leave it blank to start at the month of Counting from."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AE46"/>
  <sheetViews>
    <sheetView showGridLines="0" tabSelected="0" workbookViewId="0">
      <pane xSplit="1" ySplit="6" topLeftCell="B7" activePane="bottomRight" state="frozen"/>
      <selection pane="topRight"/>
      <selection pane="bottomLeft"/>
      <selection pane="bottomRight" activeCell="A1" sqref="A1"/>
    </sheetView>
  </sheetViews>
  <sheetFormatPr baseColWidth="8" defaultRowHeight="15"/>
  <cols>
    <col width="30" customWidth="1" min="1" max="1"/>
    <col width="11" customWidth="1" min="2" max="2"/>
    <col width="44" customWidth="1" min="3" max="3"/>
    <col width="18" customWidth="1" min="4" max="4"/>
    <col width="11" customWidth="1" min="5" max="5"/>
    <col width="13" customWidth="1" min="6" max="6"/>
    <col width="11" customWidth="1" min="7" max="7"/>
    <col width="13" customWidth="1" min="8" max="8"/>
    <col width="30" customWidth="1" min="9" max="9"/>
    <col width="13" customWidth="1" min="10" max="10"/>
    <col width="13" customWidth="1" min="11" max="11"/>
    <col width="10" customWidth="1" min="12" max="12"/>
    <col width="13" customWidth="1" min="13" max="13"/>
    <col width="11" customWidth="1" min="14" max="14"/>
    <col width="13" customWidth="1" min="15" max="15"/>
    <col width="10" customWidth="1" min="16" max="16"/>
    <col width="13" customWidth="1" min="17" max="17"/>
    <col width="28" customWidth="1" min="18" max="18"/>
    <col width="14" customWidth="1" min="19" max="19"/>
    <col width="50" customWidth="1" min="20" max="20"/>
    <col hidden="1" width="12" customWidth="1" min="21" max="21"/>
    <col hidden="1" width="12" customWidth="1" min="22" max="22"/>
    <col hidden="1" width="12" customWidth="1" min="23" max="23"/>
    <col hidden="1" width="12" customWidth="1" min="24" max="24"/>
    <col hidden="1" width="12" customWidth="1" min="25" max="25"/>
    <col hidden="1" width="12" customWidth="1" min="26" max="26"/>
    <col hidden="1" width="12" customWidth="1" min="27" max="27"/>
    <col hidden="1" width="12" customWidth="1" min="28" max="28"/>
    <col hidden="1" width="12" customWidth="1" min="29" max="29"/>
    <col hidden="1" width="12" customWidth="1" min="30" max="30"/>
    <col hidden="1" width="12" customWidth="1" min="31" max="31"/>
  </cols>
  <sheetData>
    <row r="1" ht="24" customHeight="1">
      <c r="B1" s="1" t="inlineStr">
        <is>
          <t>Benefits</t>
        </is>
      </c>
    </row>
    <row r="2" ht="15" customHeight="1">
      <c r="A2" s="7">
        <f>IF(Dashboard!$B$6="","","Program: "&amp;Dashboard!$B$6&amp;IF(Dashboard!$B$7="",".",". Sits under: "&amp;Dashboard!$B$7&amp;"."))</f>
        <v/>
      </c>
    </row>
    <row r="3" ht="6" customHeight="1"/>
    <row r="4" ht="15" customHeight="1"/>
    <row r="5" ht="18" customHeight="1">
      <c r="A5" s="8" t="inlineStr">
        <is>
          <t>Benefits</t>
        </is>
      </c>
    </row>
    <row r="6" ht="30" customHeight="1">
      <c r="A6" s="26" t="inlineStr">
        <is>
          <t>Benefit</t>
        </is>
      </c>
      <c r="B6" s="26" t="inlineStr">
        <is>
          <t>Kind</t>
        </is>
      </c>
      <c r="C6" s="26" t="inlineStr">
        <is>
          <t>Measure</t>
        </is>
      </c>
      <c r="D6" s="26" t="inlineStr">
        <is>
          <t>Unit</t>
        </is>
      </c>
      <c r="E6" s="26" t="inlineStr">
        <is>
          <t>Baseline</t>
        </is>
      </c>
      <c r="F6" s="26" t="inlineStr">
        <is>
          <t>Baseline date</t>
        </is>
      </c>
      <c r="G6" s="26" t="inlineStr">
        <is>
          <t>Target</t>
        </is>
      </c>
      <c r="H6" s="26" t="inlineStr">
        <is>
          <t>Target date</t>
        </is>
      </c>
      <c r="I6" s="26" t="inlineStr">
        <is>
          <t>Owner</t>
        </is>
      </c>
      <c r="J6" s="26" t="inlineStr">
        <is>
          <t>First read</t>
        </is>
      </c>
      <c r="K6" s="26" t="inlineStr">
        <is>
          <t>Next review</t>
        </is>
      </c>
      <c r="L6" s="26" t="inlineStr">
        <is>
          <t>Last read</t>
        </is>
      </c>
      <c r="M6" s="26" t="inlineStr">
        <is>
          <t>Last read date</t>
        </is>
      </c>
      <c r="N6" s="26" t="inlineStr">
        <is>
          <t>Forecast</t>
        </is>
      </c>
      <c r="O6" s="26" t="inlineStr">
        <is>
          <t>Worth a year</t>
        </is>
      </c>
      <c r="P6" s="21" t="inlineStr">
        <is>
          <t>Progress</t>
        </is>
      </c>
      <c r="Q6" s="21" t="inlineStr">
        <is>
          <t>Reading</t>
        </is>
      </c>
      <c r="R6" s="21" t="inlineStr">
        <is>
          <t>Review due</t>
        </is>
      </c>
      <c r="S6" s="21" t="inlineStr">
        <is>
          <t>Net a year at target</t>
        </is>
      </c>
      <c r="T6" s="21" t="inlineStr">
        <is>
          <t>Row check</t>
        </is>
      </c>
      <c r="U6" s="21" t="inlineStr">
        <is>
          <t>Missing a measure, baseline, target, owner or date (1 or 0)</t>
        </is>
      </c>
      <c r="V6" s="21" t="inlineStr">
        <is>
          <t>Read after close, nobody named (1 or 0)</t>
        </is>
      </c>
      <c r="W6" s="21" t="inlineStr">
        <is>
          <t>Worth money, no line on Costs (1 or 0)</t>
        </is>
      </c>
      <c r="X6" s="21" t="inlineStr">
        <is>
          <t>No review date, or passed (1 or 0)</t>
        </is>
      </c>
      <c r="Y6" s="21" t="inlineStr">
        <is>
          <t>Name used twice (1 or 0)</t>
        </is>
      </c>
      <c r="Z6" s="21" t="inlineStr">
        <is>
          <t>First read passed, nothing read (1 or 0)</t>
        </is>
      </c>
      <c r="AA6" s="21" t="inlineStr">
        <is>
          <t>Worth a year isn't baseline minus target (1 or 0)</t>
        </is>
      </c>
      <c r="AB6" s="21" t="inlineStr">
        <is>
          <t>A figure typed as words (1 or 0)</t>
        </is>
      </c>
      <c r="AC6" s="21" t="inlineStr">
        <is>
          <t>Fails check 1 (1 or 0)</t>
        </is>
      </c>
      <c r="AD6" s="21" t="inlineStr">
        <is>
          <t>Helper, worked out</t>
        </is>
      </c>
      <c r="AE6" s="21" t="inlineStr">
        <is>
          <t>Helper, worked out</t>
        </is>
      </c>
    </row>
    <row r="7" ht="18" customHeight="1">
      <c r="A7" s="27" t="n"/>
      <c r="B7" s="28" t="n"/>
      <c r="C7" s="27" t="n"/>
      <c r="D7" s="28" t="n"/>
      <c r="E7" s="28" t="n"/>
      <c r="F7" s="14" t="n"/>
      <c r="G7" s="28" t="n"/>
      <c r="H7" s="14" t="n"/>
      <c r="I7" s="28" t="n"/>
      <c r="J7" s="14" t="n"/>
      <c r="K7" s="14" t="n"/>
      <c r="L7" s="28" t="n"/>
      <c r="M7" s="14" t="n"/>
      <c r="N7" s="28" t="n"/>
      <c r="O7" s="29" t="n"/>
      <c r="P7" s="30">
        <f>IF(OR($A7="",NOT(ISNUMBER($E7)),NOT(ISNUMBER($G7)),NOT(ISNUMBER($L7))),"",IF($G7=$E7,"",($L7-$E7)/($G7-$E7)))</f>
        <v/>
      </c>
      <c r="Q7" s="9">
        <f>IF($A7="","",IF(OR(NOT(ISNUMBER($E7)),NOT(ISNUMBER($G7)),NOT(ISNUMBER($N7))),"Not read",IF($G7=$E7,"Not read",IF(($N7-$E7)/($G7-$E7)&gt;=1,"□ On track",IF(1-($N7-$E7)/($G7-$E7)&lt;=Dashboard!$H$7,"◧ Amber","■ Red")))))</f>
        <v/>
      </c>
      <c r="R7" s="9">
        <f>IF($A7="","",IF(NOT(ISNUMBER($K7)),"△ No review date",IF($K7&lt;Dashboard!$B$16,"△ Overdue, was due "&amp;TEXT($K7,"d mmm yyyy"),"Due "&amp;TEXT($K7,"d mmm yyyy"))))</f>
        <v/>
      </c>
      <c r="S7" s="31">
        <f>IF(OR($A7="",NOT(ISNUMBER($O7))),"",$O7-SUMPRODUCT(--(Costs!$B$7:$B$21=$A7),Costs!$C$7:$C$21))</f>
        <v/>
      </c>
      <c r="T7" s="9">
        <f>IF($A7="","",IF($Y7=1,"△ Name used twice",IF($U7=1,"△ Missing a measure, baseline, target, owner or date",IF($AB7=1,"△ A figure is typed as words",IF($W7=1,"△ Worth money, but no line on Costs",IF($AA7=1,"△ Worth a year isn't baseline minus target",IF($V7=1,"△ Read after close, with nobody named to take it",IF($X7=1,"△ No review date, or it has passed",IF($Z7=1,"△ First read has passed, with no Last read or Forecast","○ Clear")))))))))</f>
        <v/>
      </c>
      <c r="U7" s="9">
        <f>IF($A7="",0,IF(COUNTA($C7:$J7)&lt;8,1,0))</f>
        <v/>
      </c>
      <c r="V7" s="9">
        <f>IF($A7="",0,IF(AND(ISNUMBER($H7),ISNUMBER(Dashboard!$B$10),Dashboard!$B$13=""),IF($H7&gt;Dashboard!$B$10,1,0),0))</f>
        <v/>
      </c>
      <c r="W7" s="9">
        <f>IF($A7="",0,IF(AND(ISNUMBER($O7),$O7&gt;0),IF(SUMPRODUCT(--(Costs!$B$7:$B$21=$A7))=0,1,0),0))</f>
        <v/>
      </c>
      <c r="X7" s="9">
        <f>IF($A7="",0,IF(NOT(ISNUMBER($K7)),1,IF($K7&lt;Dashboard!$B$16,1,0)))</f>
        <v/>
      </c>
      <c r="Y7" s="9">
        <f>IF($A7="",0,IF(SUMPRODUCT(--($A$7:$A$46=$A7))&gt;1,1,0))</f>
        <v/>
      </c>
      <c r="Z7" s="9">
        <f>IF($A7="",0,IF(AND(ISNUMBER($J7),$J7&lt;Dashboard!$B$16,OR($L7="",$N7="")),1,0))</f>
        <v/>
      </c>
      <c r="AA7" s="9">
        <f>IF($A7="",0,IF(AND(OR(ISNUMBER(SEARCH("dollar",$D7)),ISNUMBER(SEARCH("USD",$D7)),ISNUMBER(SEARCH("EUR",$D7)),ISNUMBER(SEARCH("GBP",$D7))),ISNUMBER($E7),ISNUMBER($G7),ISNUMBER($O7)),IF(ABS($E7-$G7)&lt;&gt;$O7,1,0),0))</f>
        <v/>
      </c>
      <c r="AB7" s="9">
        <f>IF($A7="",0,IF(OR(AND($E7&lt;&gt;"",NOT(ISNUMBER($E7))),AND($G7&lt;&gt;"",NOT(ISNUMBER($G7))),AND($L7&lt;&gt;"",NOT(ISNUMBER($L7))),AND($N7&lt;&gt;"",NOT(ISNUMBER($N7))),AND($O7&lt;&gt;"",NOT(ISNUMBER($O7)))),1,0))</f>
        <v/>
      </c>
      <c r="AC7" s="9">
        <f>IF($U7+$X7+$Y7+$Z7+$AB7&gt;0,1,0)</f>
        <v/>
      </c>
      <c r="AD7" s="9">
        <f>IF($A7="","",ROW())</f>
        <v/>
      </c>
      <c r="AE7" s="9">
        <f>IF($W7+$AA7&gt;0,1,0)</f>
        <v/>
      </c>
    </row>
    <row r="8" ht="18" customHeight="1">
      <c r="A8" s="27" t="n"/>
      <c r="B8" s="28" t="n"/>
      <c r="C8" s="27" t="n"/>
      <c r="D8" s="28" t="n"/>
      <c r="E8" s="28" t="n"/>
      <c r="F8" s="14" t="n"/>
      <c r="G8" s="28" t="n"/>
      <c r="H8" s="14" t="n"/>
      <c r="I8" s="28" t="n"/>
      <c r="J8" s="14" t="n"/>
      <c r="K8" s="14" t="n"/>
      <c r="L8" s="28" t="n"/>
      <c r="M8" s="14" t="n"/>
      <c r="N8" s="28" t="n"/>
      <c r="O8" s="29" t="n"/>
      <c r="P8" s="30">
        <f>IF(OR($A8="",NOT(ISNUMBER($E8)),NOT(ISNUMBER($G8)),NOT(ISNUMBER($L8))),"",IF($G8=$E8,"",($L8-$E8)/($G8-$E8)))</f>
        <v/>
      </c>
      <c r="Q8" s="9">
        <f>IF($A8="","",IF(OR(NOT(ISNUMBER($E8)),NOT(ISNUMBER($G8)),NOT(ISNUMBER($N8))),"Not read",IF($G8=$E8,"Not read",IF(($N8-$E8)/($G8-$E8)&gt;=1,"□ On track",IF(1-($N8-$E8)/($G8-$E8)&lt;=Dashboard!$H$7,"◧ Amber","■ Red")))))</f>
        <v/>
      </c>
      <c r="R8" s="9">
        <f>IF($A8="","",IF(NOT(ISNUMBER($K8)),"△ No review date",IF($K8&lt;Dashboard!$B$16,"△ Overdue, was due "&amp;TEXT($K8,"d mmm yyyy"),"Due "&amp;TEXT($K8,"d mmm yyyy"))))</f>
        <v/>
      </c>
      <c r="S8" s="31">
        <f>IF(OR($A8="",NOT(ISNUMBER($O8))),"",$O8-SUMPRODUCT(--(Costs!$B$7:$B$21=$A8),Costs!$C$7:$C$21))</f>
        <v/>
      </c>
      <c r="T8" s="9">
        <f>IF($A8="","",IF($Y8=1,"△ Name used twice",IF($U8=1,"△ Missing a measure, baseline, target, owner or date",IF($AB8=1,"△ A figure is typed as words",IF($W8=1,"△ Worth money, but no line on Costs",IF($AA8=1,"△ Worth a year isn't baseline minus target",IF($V8=1,"△ Read after close, with nobody named to take it",IF($X8=1,"△ No review date, or it has passed",IF($Z8=1,"△ First read has passed, with no Last read or Forecast","○ Clear")))))))))</f>
        <v/>
      </c>
      <c r="U8" s="9">
        <f>IF($A8="",0,IF(COUNTA($C8:$J8)&lt;8,1,0))</f>
        <v/>
      </c>
      <c r="V8" s="9">
        <f>IF($A8="",0,IF(AND(ISNUMBER($H8),ISNUMBER(Dashboard!$B$10),Dashboard!$B$13=""),IF($H8&gt;Dashboard!$B$10,1,0),0))</f>
        <v/>
      </c>
      <c r="W8" s="9">
        <f>IF($A8="",0,IF(AND(ISNUMBER($O8),$O8&gt;0),IF(SUMPRODUCT(--(Costs!$B$7:$B$21=$A8))=0,1,0),0))</f>
        <v/>
      </c>
      <c r="X8" s="9">
        <f>IF($A8="",0,IF(NOT(ISNUMBER($K8)),1,IF($K8&lt;Dashboard!$B$16,1,0)))</f>
        <v/>
      </c>
      <c r="Y8" s="9">
        <f>IF($A8="",0,IF(SUMPRODUCT(--($A$7:$A$46=$A8))&gt;1,1,0))</f>
        <v/>
      </c>
      <c r="Z8" s="9">
        <f>IF($A8="",0,IF(AND(ISNUMBER($J8),$J8&lt;Dashboard!$B$16,OR($L8="",$N8="")),1,0))</f>
        <v/>
      </c>
      <c r="AA8" s="9">
        <f>IF($A8="",0,IF(AND(OR(ISNUMBER(SEARCH("dollar",$D8)),ISNUMBER(SEARCH("USD",$D8)),ISNUMBER(SEARCH("EUR",$D8)),ISNUMBER(SEARCH("GBP",$D8))),ISNUMBER($E8),ISNUMBER($G8),ISNUMBER($O8)),IF(ABS($E8-$G8)&lt;&gt;$O8,1,0),0))</f>
        <v/>
      </c>
      <c r="AB8" s="9">
        <f>IF($A8="",0,IF(OR(AND($E8&lt;&gt;"",NOT(ISNUMBER($E8))),AND($G8&lt;&gt;"",NOT(ISNUMBER($G8))),AND($L8&lt;&gt;"",NOT(ISNUMBER($L8))),AND($N8&lt;&gt;"",NOT(ISNUMBER($N8))),AND($O8&lt;&gt;"",NOT(ISNUMBER($O8)))),1,0))</f>
        <v/>
      </c>
      <c r="AC8" s="9">
        <f>IF($U8+$X8+$Y8+$Z8+$AB8&gt;0,1,0)</f>
        <v/>
      </c>
      <c r="AD8" s="9">
        <f>IF($A8="","",ROW())</f>
        <v/>
      </c>
      <c r="AE8" s="9">
        <f>IF($W8+$AA8&gt;0,1,0)</f>
        <v/>
      </c>
    </row>
    <row r="9" ht="18" customHeight="1">
      <c r="A9" s="27" t="n"/>
      <c r="B9" s="28" t="n"/>
      <c r="C9" s="27" t="n"/>
      <c r="D9" s="28" t="n"/>
      <c r="E9" s="28" t="n"/>
      <c r="F9" s="14" t="n"/>
      <c r="G9" s="28" t="n"/>
      <c r="H9" s="14" t="n"/>
      <c r="I9" s="28" t="n"/>
      <c r="J9" s="14" t="n"/>
      <c r="K9" s="14" t="n"/>
      <c r="L9" s="28" t="n"/>
      <c r="M9" s="14" t="n"/>
      <c r="N9" s="28" t="n"/>
      <c r="O9" s="29" t="n"/>
      <c r="P9" s="30">
        <f>IF(OR($A9="",NOT(ISNUMBER($E9)),NOT(ISNUMBER($G9)),NOT(ISNUMBER($L9))),"",IF($G9=$E9,"",($L9-$E9)/($G9-$E9)))</f>
        <v/>
      </c>
      <c r="Q9" s="9">
        <f>IF($A9="","",IF(OR(NOT(ISNUMBER($E9)),NOT(ISNUMBER($G9)),NOT(ISNUMBER($N9))),"Not read",IF($G9=$E9,"Not read",IF(($N9-$E9)/($G9-$E9)&gt;=1,"□ On track",IF(1-($N9-$E9)/($G9-$E9)&lt;=Dashboard!$H$7,"◧ Amber","■ Red")))))</f>
        <v/>
      </c>
      <c r="R9" s="9">
        <f>IF($A9="","",IF(NOT(ISNUMBER($K9)),"△ No review date",IF($K9&lt;Dashboard!$B$16,"△ Overdue, was due "&amp;TEXT($K9,"d mmm yyyy"),"Due "&amp;TEXT($K9,"d mmm yyyy"))))</f>
        <v/>
      </c>
      <c r="S9" s="31">
        <f>IF(OR($A9="",NOT(ISNUMBER($O9))),"",$O9-SUMPRODUCT(--(Costs!$B$7:$B$21=$A9),Costs!$C$7:$C$21))</f>
        <v/>
      </c>
      <c r="T9" s="9">
        <f>IF($A9="","",IF($Y9=1,"△ Name used twice",IF($U9=1,"△ Missing a measure, baseline, target, owner or date",IF($AB9=1,"△ A figure is typed as words",IF($W9=1,"△ Worth money, but no line on Costs",IF($AA9=1,"△ Worth a year isn't baseline minus target",IF($V9=1,"△ Read after close, with nobody named to take it",IF($X9=1,"△ No review date, or it has passed",IF($Z9=1,"△ First read has passed, with no Last read or Forecast","○ Clear")))))))))</f>
        <v/>
      </c>
      <c r="U9" s="9">
        <f>IF($A9="",0,IF(COUNTA($C9:$J9)&lt;8,1,0))</f>
        <v/>
      </c>
      <c r="V9" s="9">
        <f>IF($A9="",0,IF(AND(ISNUMBER($H9),ISNUMBER(Dashboard!$B$10),Dashboard!$B$13=""),IF($H9&gt;Dashboard!$B$10,1,0),0))</f>
        <v/>
      </c>
      <c r="W9" s="9">
        <f>IF($A9="",0,IF(AND(ISNUMBER($O9),$O9&gt;0),IF(SUMPRODUCT(--(Costs!$B$7:$B$21=$A9))=0,1,0),0))</f>
        <v/>
      </c>
      <c r="X9" s="9">
        <f>IF($A9="",0,IF(NOT(ISNUMBER($K9)),1,IF($K9&lt;Dashboard!$B$16,1,0)))</f>
        <v/>
      </c>
      <c r="Y9" s="9">
        <f>IF($A9="",0,IF(SUMPRODUCT(--($A$7:$A$46=$A9))&gt;1,1,0))</f>
        <v/>
      </c>
      <c r="Z9" s="9">
        <f>IF($A9="",0,IF(AND(ISNUMBER($J9),$J9&lt;Dashboard!$B$16,OR($L9="",$N9="")),1,0))</f>
        <v/>
      </c>
      <c r="AA9" s="9">
        <f>IF($A9="",0,IF(AND(OR(ISNUMBER(SEARCH("dollar",$D9)),ISNUMBER(SEARCH("USD",$D9)),ISNUMBER(SEARCH("EUR",$D9)),ISNUMBER(SEARCH("GBP",$D9))),ISNUMBER($E9),ISNUMBER($G9),ISNUMBER($O9)),IF(ABS($E9-$G9)&lt;&gt;$O9,1,0),0))</f>
        <v/>
      </c>
      <c r="AB9" s="9">
        <f>IF($A9="",0,IF(OR(AND($E9&lt;&gt;"",NOT(ISNUMBER($E9))),AND($G9&lt;&gt;"",NOT(ISNUMBER($G9))),AND($L9&lt;&gt;"",NOT(ISNUMBER($L9))),AND($N9&lt;&gt;"",NOT(ISNUMBER($N9))),AND($O9&lt;&gt;"",NOT(ISNUMBER($O9)))),1,0))</f>
        <v/>
      </c>
      <c r="AC9" s="9">
        <f>IF($U9+$X9+$Y9+$Z9+$AB9&gt;0,1,0)</f>
        <v/>
      </c>
      <c r="AD9" s="9">
        <f>IF($A9="","",ROW())</f>
        <v/>
      </c>
      <c r="AE9" s="9">
        <f>IF($W9+$AA9&gt;0,1,0)</f>
        <v/>
      </c>
    </row>
    <row r="10" ht="18" customHeight="1">
      <c r="A10" s="27" t="n"/>
      <c r="B10" s="28" t="n"/>
      <c r="C10" s="27" t="n"/>
      <c r="D10" s="28" t="n"/>
      <c r="E10" s="28" t="n"/>
      <c r="F10" s="14" t="n"/>
      <c r="G10" s="28" t="n"/>
      <c r="H10" s="14" t="n"/>
      <c r="I10" s="28" t="n"/>
      <c r="J10" s="14" t="n"/>
      <c r="K10" s="14" t="n"/>
      <c r="L10" s="28" t="n"/>
      <c r="M10" s="14" t="n"/>
      <c r="N10" s="28" t="n"/>
      <c r="O10" s="29" t="n"/>
      <c r="P10" s="30">
        <f>IF(OR($A10="",NOT(ISNUMBER($E10)),NOT(ISNUMBER($G10)),NOT(ISNUMBER($L10))),"",IF($G10=$E10,"",($L10-$E10)/($G10-$E10)))</f>
        <v/>
      </c>
      <c r="Q10" s="9">
        <f>IF($A10="","",IF(OR(NOT(ISNUMBER($E10)),NOT(ISNUMBER($G10)),NOT(ISNUMBER($N10))),"Not read",IF($G10=$E10,"Not read",IF(($N10-$E10)/($G10-$E10)&gt;=1,"□ On track",IF(1-($N10-$E10)/($G10-$E10)&lt;=Dashboard!$H$7,"◧ Amber","■ Red")))))</f>
        <v/>
      </c>
      <c r="R10" s="9">
        <f>IF($A10="","",IF(NOT(ISNUMBER($K10)),"△ No review date",IF($K10&lt;Dashboard!$B$16,"△ Overdue, was due "&amp;TEXT($K10,"d mmm yyyy"),"Due "&amp;TEXT($K10,"d mmm yyyy"))))</f>
        <v/>
      </c>
      <c r="S10" s="31">
        <f>IF(OR($A10="",NOT(ISNUMBER($O10))),"",$O10-SUMPRODUCT(--(Costs!$B$7:$B$21=$A10),Costs!$C$7:$C$21))</f>
        <v/>
      </c>
      <c r="T10" s="9">
        <f>IF($A10="","",IF($Y10=1,"△ Name used twice",IF($U10=1,"△ Missing a measure, baseline, target, owner or date",IF($AB10=1,"△ A figure is typed as words",IF($W10=1,"△ Worth money, but no line on Costs",IF($AA10=1,"△ Worth a year isn't baseline minus target",IF($V10=1,"△ Read after close, with nobody named to take it",IF($X10=1,"△ No review date, or it has passed",IF($Z10=1,"△ First read has passed, with no Last read or Forecast","○ Clear")))))))))</f>
        <v/>
      </c>
      <c r="U10" s="9">
        <f>IF($A10="",0,IF(COUNTA($C10:$J10)&lt;8,1,0))</f>
        <v/>
      </c>
      <c r="V10" s="9">
        <f>IF($A10="",0,IF(AND(ISNUMBER($H10),ISNUMBER(Dashboard!$B$10),Dashboard!$B$13=""),IF($H10&gt;Dashboard!$B$10,1,0),0))</f>
        <v/>
      </c>
      <c r="W10" s="9">
        <f>IF($A10="",0,IF(AND(ISNUMBER($O10),$O10&gt;0),IF(SUMPRODUCT(--(Costs!$B$7:$B$21=$A10))=0,1,0),0))</f>
        <v/>
      </c>
      <c r="X10" s="9">
        <f>IF($A10="",0,IF(NOT(ISNUMBER($K10)),1,IF($K10&lt;Dashboard!$B$16,1,0)))</f>
        <v/>
      </c>
      <c r="Y10" s="9">
        <f>IF($A10="",0,IF(SUMPRODUCT(--($A$7:$A$46=$A10))&gt;1,1,0))</f>
        <v/>
      </c>
      <c r="Z10" s="9">
        <f>IF($A10="",0,IF(AND(ISNUMBER($J10),$J10&lt;Dashboard!$B$16,OR($L10="",$N10="")),1,0))</f>
        <v/>
      </c>
      <c r="AA10" s="9">
        <f>IF($A10="",0,IF(AND(OR(ISNUMBER(SEARCH("dollar",$D10)),ISNUMBER(SEARCH("USD",$D10)),ISNUMBER(SEARCH("EUR",$D10)),ISNUMBER(SEARCH("GBP",$D10))),ISNUMBER($E10),ISNUMBER($G10),ISNUMBER($O10)),IF(ABS($E10-$G10)&lt;&gt;$O10,1,0),0))</f>
        <v/>
      </c>
      <c r="AB10" s="9">
        <f>IF($A10="",0,IF(OR(AND($E10&lt;&gt;"",NOT(ISNUMBER($E10))),AND($G10&lt;&gt;"",NOT(ISNUMBER($G10))),AND($L10&lt;&gt;"",NOT(ISNUMBER($L10))),AND($N10&lt;&gt;"",NOT(ISNUMBER($N10))),AND($O10&lt;&gt;"",NOT(ISNUMBER($O10)))),1,0))</f>
        <v/>
      </c>
      <c r="AC10" s="9">
        <f>IF($U10+$X10+$Y10+$Z10+$AB10&gt;0,1,0)</f>
        <v/>
      </c>
      <c r="AD10" s="9">
        <f>IF($A10="","",ROW())</f>
        <v/>
      </c>
      <c r="AE10" s="9">
        <f>IF($W10+$AA10&gt;0,1,0)</f>
        <v/>
      </c>
    </row>
    <row r="11" ht="18" customHeight="1">
      <c r="A11" s="27" t="n"/>
      <c r="B11" s="28" t="n"/>
      <c r="C11" s="27" t="n"/>
      <c r="D11" s="28" t="n"/>
      <c r="E11" s="28" t="n"/>
      <c r="F11" s="14" t="n"/>
      <c r="G11" s="28" t="n"/>
      <c r="H11" s="14" t="n"/>
      <c r="I11" s="28" t="n"/>
      <c r="J11" s="14" t="n"/>
      <c r="K11" s="14" t="n"/>
      <c r="L11" s="28" t="n"/>
      <c r="M11" s="14" t="n"/>
      <c r="N11" s="28" t="n"/>
      <c r="O11" s="29" t="n"/>
      <c r="P11" s="30">
        <f>IF(OR($A11="",NOT(ISNUMBER($E11)),NOT(ISNUMBER($G11)),NOT(ISNUMBER($L11))),"",IF($G11=$E11,"",($L11-$E11)/($G11-$E11)))</f>
        <v/>
      </c>
      <c r="Q11" s="9">
        <f>IF($A11="","",IF(OR(NOT(ISNUMBER($E11)),NOT(ISNUMBER($G11)),NOT(ISNUMBER($N11))),"Not read",IF($G11=$E11,"Not read",IF(($N11-$E11)/($G11-$E11)&gt;=1,"□ On track",IF(1-($N11-$E11)/($G11-$E11)&lt;=Dashboard!$H$7,"◧ Amber","■ Red")))))</f>
        <v/>
      </c>
      <c r="R11" s="9">
        <f>IF($A11="","",IF(NOT(ISNUMBER($K11)),"△ No review date",IF($K11&lt;Dashboard!$B$16,"△ Overdue, was due "&amp;TEXT($K11,"d mmm yyyy"),"Due "&amp;TEXT($K11,"d mmm yyyy"))))</f>
        <v/>
      </c>
      <c r="S11" s="31">
        <f>IF(OR($A11="",NOT(ISNUMBER($O11))),"",$O11-SUMPRODUCT(--(Costs!$B$7:$B$21=$A11),Costs!$C$7:$C$21))</f>
        <v/>
      </c>
      <c r="T11" s="9">
        <f>IF($A11="","",IF($Y11=1,"△ Name used twice",IF($U11=1,"△ Missing a measure, baseline, target, owner or date",IF($AB11=1,"△ A figure is typed as words",IF($W11=1,"△ Worth money, but no line on Costs",IF($AA11=1,"△ Worth a year isn't baseline minus target",IF($V11=1,"△ Read after close, with nobody named to take it",IF($X11=1,"△ No review date, or it has passed",IF($Z11=1,"△ First read has passed, with no Last read or Forecast","○ Clear")))))))))</f>
        <v/>
      </c>
      <c r="U11" s="9">
        <f>IF($A11="",0,IF(COUNTA($C11:$J11)&lt;8,1,0))</f>
        <v/>
      </c>
      <c r="V11" s="9">
        <f>IF($A11="",0,IF(AND(ISNUMBER($H11),ISNUMBER(Dashboard!$B$10),Dashboard!$B$13=""),IF($H11&gt;Dashboard!$B$10,1,0),0))</f>
        <v/>
      </c>
      <c r="W11" s="9">
        <f>IF($A11="",0,IF(AND(ISNUMBER($O11),$O11&gt;0),IF(SUMPRODUCT(--(Costs!$B$7:$B$21=$A11))=0,1,0),0))</f>
        <v/>
      </c>
      <c r="X11" s="9">
        <f>IF($A11="",0,IF(NOT(ISNUMBER($K11)),1,IF($K11&lt;Dashboard!$B$16,1,0)))</f>
        <v/>
      </c>
      <c r="Y11" s="9">
        <f>IF($A11="",0,IF(SUMPRODUCT(--($A$7:$A$46=$A11))&gt;1,1,0))</f>
        <v/>
      </c>
      <c r="Z11" s="9">
        <f>IF($A11="",0,IF(AND(ISNUMBER($J11),$J11&lt;Dashboard!$B$16,OR($L11="",$N11="")),1,0))</f>
        <v/>
      </c>
      <c r="AA11" s="9">
        <f>IF($A11="",0,IF(AND(OR(ISNUMBER(SEARCH("dollar",$D11)),ISNUMBER(SEARCH("USD",$D11)),ISNUMBER(SEARCH("EUR",$D11)),ISNUMBER(SEARCH("GBP",$D11))),ISNUMBER($E11),ISNUMBER($G11),ISNUMBER($O11)),IF(ABS($E11-$G11)&lt;&gt;$O11,1,0),0))</f>
        <v/>
      </c>
      <c r="AB11" s="9">
        <f>IF($A11="",0,IF(OR(AND($E11&lt;&gt;"",NOT(ISNUMBER($E11))),AND($G11&lt;&gt;"",NOT(ISNUMBER($G11))),AND($L11&lt;&gt;"",NOT(ISNUMBER($L11))),AND($N11&lt;&gt;"",NOT(ISNUMBER($N11))),AND($O11&lt;&gt;"",NOT(ISNUMBER($O11)))),1,0))</f>
        <v/>
      </c>
      <c r="AC11" s="9">
        <f>IF($U11+$X11+$Y11+$Z11+$AB11&gt;0,1,0)</f>
        <v/>
      </c>
      <c r="AD11" s="9">
        <f>IF($A11="","",ROW())</f>
        <v/>
      </c>
      <c r="AE11" s="9">
        <f>IF($W11+$AA11&gt;0,1,0)</f>
        <v/>
      </c>
    </row>
    <row r="12" ht="18" customHeight="1">
      <c r="A12" s="27" t="n"/>
      <c r="B12" s="28" t="n"/>
      <c r="C12" s="27" t="n"/>
      <c r="D12" s="28" t="n"/>
      <c r="E12" s="28" t="n"/>
      <c r="F12" s="14" t="n"/>
      <c r="G12" s="28" t="n"/>
      <c r="H12" s="14" t="n"/>
      <c r="I12" s="28" t="n"/>
      <c r="J12" s="14" t="n"/>
      <c r="K12" s="14" t="n"/>
      <c r="L12" s="28" t="n"/>
      <c r="M12" s="14" t="n"/>
      <c r="N12" s="28" t="n"/>
      <c r="O12" s="29" t="n"/>
      <c r="P12" s="30">
        <f>IF(OR($A12="",NOT(ISNUMBER($E12)),NOT(ISNUMBER($G12)),NOT(ISNUMBER($L12))),"",IF($G12=$E12,"",($L12-$E12)/($G12-$E12)))</f>
        <v/>
      </c>
      <c r="Q12" s="9">
        <f>IF($A12="","",IF(OR(NOT(ISNUMBER($E12)),NOT(ISNUMBER($G12)),NOT(ISNUMBER($N12))),"Not read",IF($G12=$E12,"Not read",IF(($N12-$E12)/($G12-$E12)&gt;=1,"□ On track",IF(1-($N12-$E12)/($G12-$E12)&lt;=Dashboard!$H$7,"◧ Amber","■ Red")))))</f>
        <v/>
      </c>
      <c r="R12" s="9">
        <f>IF($A12="","",IF(NOT(ISNUMBER($K12)),"△ No review date",IF($K12&lt;Dashboard!$B$16,"△ Overdue, was due "&amp;TEXT($K12,"d mmm yyyy"),"Due "&amp;TEXT($K12,"d mmm yyyy"))))</f>
        <v/>
      </c>
      <c r="S12" s="31">
        <f>IF(OR($A12="",NOT(ISNUMBER($O12))),"",$O12-SUMPRODUCT(--(Costs!$B$7:$B$21=$A12),Costs!$C$7:$C$21))</f>
        <v/>
      </c>
      <c r="T12" s="9">
        <f>IF($A12="","",IF($Y12=1,"△ Name used twice",IF($U12=1,"△ Missing a measure, baseline, target, owner or date",IF($AB12=1,"△ A figure is typed as words",IF($W12=1,"△ Worth money, but no line on Costs",IF($AA12=1,"△ Worth a year isn't baseline minus target",IF($V12=1,"△ Read after close, with nobody named to take it",IF($X12=1,"△ No review date, or it has passed",IF($Z12=1,"△ First read has passed, with no Last read or Forecast","○ Clear")))))))))</f>
        <v/>
      </c>
      <c r="U12" s="9">
        <f>IF($A12="",0,IF(COUNTA($C12:$J12)&lt;8,1,0))</f>
        <v/>
      </c>
      <c r="V12" s="9">
        <f>IF($A12="",0,IF(AND(ISNUMBER($H12),ISNUMBER(Dashboard!$B$10),Dashboard!$B$13=""),IF($H12&gt;Dashboard!$B$10,1,0),0))</f>
        <v/>
      </c>
      <c r="W12" s="9">
        <f>IF($A12="",0,IF(AND(ISNUMBER($O12),$O12&gt;0),IF(SUMPRODUCT(--(Costs!$B$7:$B$21=$A12))=0,1,0),0))</f>
        <v/>
      </c>
      <c r="X12" s="9">
        <f>IF($A12="",0,IF(NOT(ISNUMBER($K12)),1,IF($K12&lt;Dashboard!$B$16,1,0)))</f>
        <v/>
      </c>
      <c r="Y12" s="9">
        <f>IF($A12="",0,IF(SUMPRODUCT(--($A$7:$A$46=$A12))&gt;1,1,0))</f>
        <v/>
      </c>
      <c r="Z12" s="9">
        <f>IF($A12="",0,IF(AND(ISNUMBER($J12),$J12&lt;Dashboard!$B$16,OR($L12="",$N12="")),1,0))</f>
        <v/>
      </c>
      <c r="AA12" s="9">
        <f>IF($A12="",0,IF(AND(OR(ISNUMBER(SEARCH("dollar",$D12)),ISNUMBER(SEARCH("USD",$D12)),ISNUMBER(SEARCH("EUR",$D12)),ISNUMBER(SEARCH("GBP",$D12))),ISNUMBER($E12),ISNUMBER($G12),ISNUMBER($O12)),IF(ABS($E12-$G12)&lt;&gt;$O12,1,0),0))</f>
        <v/>
      </c>
      <c r="AB12" s="9">
        <f>IF($A12="",0,IF(OR(AND($E12&lt;&gt;"",NOT(ISNUMBER($E12))),AND($G12&lt;&gt;"",NOT(ISNUMBER($G12))),AND($L12&lt;&gt;"",NOT(ISNUMBER($L12))),AND($N12&lt;&gt;"",NOT(ISNUMBER($N12))),AND($O12&lt;&gt;"",NOT(ISNUMBER($O12)))),1,0))</f>
        <v/>
      </c>
      <c r="AC12" s="9">
        <f>IF($U12+$X12+$Y12+$Z12+$AB12&gt;0,1,0)</f>
        <v/>
      </c>
      <c r="AD12" s="9">
        <f>IF($A12="","",ROW())</f>
        <v/>
      </c>
      <c r="AE12" s="9">
        <f>IF($W12+$AA12&gt;0,1,0)</f>
        <v/>
      </c>
    </row>
    <row r="13" ht="18" customHeight="1">
      <c r="A13" s="27" t="n"/>
      <c r="B13" s="28" t="n"/>
      <c r="C13" s="27" t="n"/>
      <c r="D13" s="28" t="n"/>
      <c r="E13" s="28" t="n"/>
      <c r="F13" s="14" t="n"/>
      <c r="G13" s="28" t="n"/>
      <c r="H13" s="14" t="n"/>
      <c r="I13" s="28" t="n"/>
      <c r="J13" s="14" t="n"/>
      <c r="K13" s="14" t="n"/>
      <c r="L13" s="28" t="n"/>
      <c r="M13" s="14" t="n"/>
      <c r="N13" s="28" t="n"/>
      <c r="O13" s="29" t="n"/>
      <c r="P13" s="30">
        <f>IF(OR($A13="",NOT(ISNUMBER($E13)),NOT(ISNUMBER($G13)),NOT(ISNUMBER($L13))),"",IF($G13=$E13,"",($L13-$E13)/($G13-$E13)))</f>
        <v/>
      </c>
      <c r="Q13" s="9">
        <f>IF($A13="","",IF(OR(NOT(ISNUMBER($E13)),NOT(ISNUMBER($G13)),NOT(ISNUMBER($N13))),"Not read",IF($G13=$E13,"Not read",IF(($N13-$E13)/($G13-$E13)&gt;=1,"□ On track",IF(1-($N13-$E13)/($G13-$E13)&lt;=Dashboard!$H$7,"◧ Amber","■ Red")))))</f>
        <v/>
      </c>
      <c r="R13" s="9">
        <f>IF($A13="","",IF(NOT(ISNUMBER($K13)),"△ No review date",IF($K13&lt;Dashboard!$B$16,"△ Overdue, was due "&amp;TEXT($K13,"d mmm yyyy"),"Due "&amp;TEXT($K13,"d mmm yyyy"))))</f>
        <v/>
      </c>
      <c r="S13" s="31">
        <f>IF(OR($A13="",NOT(ISNUMBER($O13))),"",$O13-SUMPRODUCT(--(Costs!$B$7:$B$21=$A13),Costs!$C$7:$C$21))</f>
        <v/>
      </c>
      <c r="T13" s="9">
        <f>IF($A13="","",IF($Y13=1,"△ Name used twice",IF($U13=1,"△ Missing a measure, baseline, target, owner or date",IF($AB13=1,"△ A figure is typed as words",IF($W13=1,"△ Worth money, but no line on Costs",IF($AA13=1,"△ Worth a year isn't baseline minus target",IF($V13=1,"△ Read after close, with nobody named to take it",IF($X13=1,"△ No review date, or it has passed",IF($Z13=1,"△ First read has passed, with no Last read or Forecast","○ Clear")))))))))</f>
        <v/>
      </c>
      <c r="U13" s="9">
        <f>IF($A13="",0,IF(COUNTA($C13:$J13)&lt;8,1,0))</f>
        <v/>
      </c>
      <c r="V13" s="9">
        <f>IF($A13="",0,IF(AND(ISNUMBER($H13),ISNUMBER(Dashboard!$B$10),Dashboard!$B$13=""),IF($H13&gt;Dashboard!$B$10,1,0),0))</f>
        <v/>
      </c>
      <c r="W13" s="9">
        <f>IF($A13="",0,IF(AND(ISNUMBER($O13),$O13&gt;0),IF(SUMPRODUCT(--(Costs!$B$7:$B$21=$A13))=0,1,0),0))</f>
        <v/>
      </c>
      <c r="X13" s="9">
        <f>IF($A13="",0,IF(NOT(ISNUMBER($K13)),1,IF($K13&lt;Dashboard!$B$16,1,0)))</f>
        <v/>
      </c>
      <c r="Y13" s="9">
        <f>IF($A13="",0,IF(SUMPRODUCT(--($A$7:$A$46=$A13))&gt;1,1,0))</f>
        <v/>
      </c>
      <c r="Z13" s="9">
        <f>IF($A13="",0,IF(AND(ISNUMBER($J13),$J13&lt;Dashboard!$B$16,OR($L13="",$N13="")),1,0))</f>
        <v/>
      </c>
      <c r="AA13" s="9">
        <f>IF($A13="",0,IF(AND(OR(ISNUMBER(SEARCH("dollar",$D13)),ISNUMBER(SEARCH("USD",$D13)),ISNUMBER(SEARCH("EUR",$D13)),ISNUMBER(SEARCH("GBP",$D13))),ISNUMBER($E13),ISNUMBER($G13),ISNUMBER($O13)),IF(ABS($E13-$G13)&lt;&gt;$O13,1,0),0))</f>
        <v/>
      </c>
      <c r="AB13" s="9">
        <f>IF($A13="",0,IF(OR(AND($E13&lt;&gt;"",NOT(ISNUMBER($E13))),AND($G13&lt;&gt;"",NOT(ISNUMBER($G13))),AND($L13&lt;&gt;"",NOT(ISNUMBER($L13))),AND($N13&lt;&gt;"",NOT(ISNUMBER($N13))),AND($O13&lt;&gt;"",NOT(ISNUMBER($O13)))),1,0))</f>
        <v/>
      </c>
      <c r="AC13" s="9">
        <f>IF($U13+$X13+$Y13+$Z13+$AB13&gt;0,1,0)</f>
        <v/>
      </c>
      <c r="AD13" s="9">
        <f>IF($A13="","",ROW())</f>
        <v/>
      </c>
      <c r="AE13" s="9">
        <f>IF($W13+$AA13&gt;0,1,0)</f>
        <v/>
      </c>
    </row>
    <row r="14" ht="18" customHeight="1">
      <c r="A14" s="27" t="n"/>
      <c r="B14" s="28" t="n"/>
      <c r="C14" s="27" t="n"/>
      <c r="D14" s="28" t="n"/>
      <c r="E14" s="28" t="n"/>
      <c r="F14" s="14" t="n"/>
      <c r="G14" s="28" t="n"/>
      <c r="H14" s="14" t="n"/>
      <c r="I14" s="28" t="n"/>
      <c r="J14" s="14" t="n"/>
      <c r="K14" s="14" t="n"/>
      <c r="L14" s="28" t="n"/>
      <c r="M14" s="14" t="n"/>
      <c r="N14" s="28" t="n"/>
      <c r="O14" s="29" t="n"/>
      <c r="P14" s="30">
        <f>IF(OR($A14="",NOT(ISNUMBER($E14)),NOT(ISNUMBER($G14)),NOT(ISNUMBER($L14))),"",IF($G14=$E14,"",($L14-$E14)/($G14-$E14)))</f>
        <v/>
      </c>
      <c r="Q14" s="9">
        <f>IF($A14="","",IF(OR(NOT(ISNUMBER($E14)),NOT(ISNUMBER($G14)),NOT(ISNUMBER($N14))),"Not read",IF($G14=$E14,"Not read",IF(($N14-$E14)/($G14-$E14)&gt;=1,"□ On track",IF(1-($N14-$E14)/($G14-$E14)&lt;=Dashboard!$H$7,"◧ Amber","■ Red")))))</f>
        <v/>
      </c>
      <c r="R14" s="9">
        <f>IF($A14="","",IF(NOT(ISNUMBER($K14)),"△ No review date",IF($K14&lt;Dashboard!$B$16,"△ Overdue, was due "&amp;TEXT($K14,"d mmm yyyy"),"Due "&amp;TEXT($K14,"d mmm yyyy"))))</f>
        <v/>
      </c>
      <c r="S14" s="31">
        <f>IF(OR($A14="",NOT(ISNUMBER($O14))),"",$O14-SUMPRODUCT(--(Costs!$B$7:$B$21=$A14),Costs!$C$7:$C$21))</f>
        <v/>
      </c>
      <c r="T14" s="9">
        <f>IF($A14="","",IF($Y14=1,"△ Name used twice",IF($U14=1,"△ Missing a measure, baseline, target, owner or date",IF($AB14=1,"△ A figure is typed as words",IF($W14=1,"△ Worth money, but no line on Costs",IF($AA14=1,"△ Worth a year isn't baseline minus target",IF($V14=1,"△ Read after close, with nobody named to take it",IF($X14=1,"△ No review date, or it has passed",IF($Z14=1,"△ First read has passed, with no Last read or Forecast","○ Clear")))))))))</f>
        <v/>
      </c>
      <c r="U14" s="9">
        <f>IF($A14="",0,IF(COUNTA($C14:$J14)&lt;8,1,0))</f>
        <v/>
      </c>
      <c r="V14" s="9">
        <f>IF($A14="",0,IF(AND(ISNUMBER($H14),ISNUMBER(Dashboard!$B$10),Dashboard!$B$13=""),IF($H14&gt;Dashboard!$B$10,1,0),0))</f>
        <v/>
      </c>
      <c r="W14" s="9">
        <f>IF($A14="",0,IF(AND(ISNUMBER($O14),$O14&gt;0),IF(SUMPRODUCT(--(Costs!$B$7:$B$21=$A14))=0,1,0),0))</f>
        <v/>
      </c>
      <c r="X14" s="9">
        <f>IF($A14="",0,IF(NOT(ISNUMBER($K14)),1,IF($K14&lt;Dashboard!$B$16,1,0)))</f>
        <v/>
      </c>
      <c r="Y14" s="9">
        <f>IF($A14="",0,IF(SUMPRODUCT(--($A$7:$A$46=$A14))&gt;1,1,0))</f>
        <v/>
      </c>
      <c r="Z14" s="9">
        <f>IF($A14="",0,IF(AND(ISNUMBER($J14),$J14&lt;Dashboard!$B$16,OR($L14="",$N14="")),1,0))</f>
        <v/>
      </c>
      <c r="AA14" s="9">
        <f>IF($A14="",0,IF(AND(OR(ISNUMBER(SEARCH("dollar",$D14)),ISNUMBER(SEARCH("USD",$D14)),ISNUMBER(SEARCH("EUR",$D14)),ISNUMBER(SEARCH("GBP",$D14))),ISNUMBER($E14),ISNUMBER($G14),ISNUMBER($O14)),IF(ABS($E14-$G14)&lt;&gt;$O14,1,0),0))</f>
        <v/>
      </c>
      <c r="AB14" s="9">
        <f>IF($A14="",0,IF(OR(AND($E14&lt;&gt;"",NOT(ISNUMBER($E14))),AND($G14&lt;&gt;"",NOT(ISNUMBER($G14))),AND($L14&lt;&gt;"",NOT(ISNUMBER($L14))),AND($N14&lt;&gt;"",NOT(ISNUMBER($N14))),AND($O14&lt;&gt;"",NOT(ISNUMBER($O14)))),1,0))</f>
        <v/>
      </c>
      <c r="AC14" s="9">
        <f>IF($U14+$X14+$Y14+$Z14+$AB14&gt;0,1,0)</f>
        <v/>
      </c>
      <c r="AD14" s="9">
        <f>IF($A14="","",ROW())</f>
        <v/>
      </c>
      <c r="AE14" s="9">
        <f>IF($W14+$AA14&gt;0,1,0)</f>
        <v/>
      </c>
    </row>
    <row r="15" ht="18" customHeight="1">
      <c r="A15" s="27" t="n"/>
      <c r="B15" s="28" t="n"/>
      <c r="C15" s="27" t="n"/>
      <c r="D15" s="28" t="n"/>
      <c r="E15" s="28" t="n"/>
      <c r="F15" s="14" t="n"/>
      <c r="G15" s="28" t="n"/>
      <c r="H15" s="14" t="n"/>
      <c r="I15" s="28" t="n"/>
      <c r="J15" s="14" t="n"/>
      <c r="K15" s="14" t="n"/>
      <c r="L15" s="28" t="n"/>
      <c r="M15" s="14" t="n"/>
      <c r="N15" s="28" t="n"/>
      <c r="O15" s="29" t="n"/>
      <c r="P15" s="30">
        <f>IF(OR($A15="",NOT(ISNUMBER($E15)),NOT(ISNUMBER($G15)),NOT(ISNUMBER($L15))),"",IF($G15=$E15,"",($L15-$E15)/($G15-$E15)))</f>
        <v/>
      </c>
      <c r="Q15" s="9">
        <f>IF($A15="","",IF(OR(NOT(ISNUMBER($E15)),NOT(ISNUMBER($G15)),NOT(ISNUMBER($N15))),"Not read",IF($G15=$E15,"Not read",IF(($N15-$E15)/($G15-$E15)&gt;=1,"□ On track",IF(1-($N15-$E15)/($G15-$E15)&lt;=Dashboard!$H$7,"◧ Amber","■ Red")))))</f>
        <v/>
      </c>
      <c r="R15" s="9">
        <f>IF($A15="","",IF(NOT(ISNUMBER($K15)),"△ No review date",IF($K15&lt;Dashboard!$B$16,"△ Overdue, was due "&amp;TEXT($K15,"d mmm yyyy"),"Due "&amp;TEXT($K15,"d mmm yyyy"))))</f>
        <v/>
      </c>
      <c r="S15" s="31">
        <f>IF(OR($A15="",NOT(ISNUMBER($O15))),"",$O15-SUMPRODUCT(--(Costs!$B$7:$B$21=$A15),Costs!$C$7:$C$21))</f>
        <v/>
      </c>
      <c r="T15" s="9">
        <f>IF($A15="","",IF($Y15=1,"△ Name used twice",IF($U15=1,"△ Missing a measure, baseline, target, owner or date",IF($AB15=1,"△ A figure is typed as words",IF($W15=1,"△ Worth money, but no line on Costs",IF($AA15=1,"△ Worth a year isn't baseline minus target",IF($V15=1,"△ Read after close, with nobody named to take it",IF($X15=1,"△ No review date, or it has passed",IF($Z15=1,"△ First read has passed, with no Last read or Forecast","○ Clear")))))))))</f>
        <v/>
      </c>
      <c r="U15" s="9">
        <f>IF($A15="",0,IF(COUNTA($C15:$J15)&lt;8,1,0))</f>
        <v/>
      </c>
      <c r="V15" s="9">
        <f>IF($A15="",0,IF(AND(ISNUMBER($H15),ISNUMBER(Dashboard!$B$10),Dashboard!$B$13=""),IF($H15&gt;Dashboard!$B$10,1,0),0))</f>
        <v/>
      </c>
      <c r="W15" s="9">
        <f>IF($A15="",0,IF(AND(ISNUMBER($O15),$O15&gt;0),IF(SUMPRODUCT(--(Costs!$B$7:$B$21=$A15))=0,1,0),0))</f>
        <v/>
      </c>
      <c r="X15" s="9">
        <f>IF($A15="",0,IF(NOT(ISNUMBER($K15)),1,IF($K15&lt;Dashboard!$B$16,1,0)))</f>
        <v/>
      </c>
      <c r="Y15" s="9">
        <f>IF($A15="",0,IF(SUMPRODUCT(--($A$7:$A$46=$A15))&gt;1,1,0))</f>
        <v/>
      </c>
      <c r="Z15" s="9">
        <f>IF($A15="",0,IF(AND(ISNUMBER($J15),$J15&lt;Dashboard!$B$16,OR($L15="",$N15="")),1,0))</f>
        <v/>
      </c>
      <c r="AA15" s="9">
        <f>IF($A15="",0,IF(AND(OR(ISNUMBER(SEARCH("dollar",$D15)),ISNUMBER(SEARCH("USD",$D15)),ISNUMBER(SEARCH("EUR",$D15)),ISNUMBER(SEARCH("GBP",$D15))),ISNUMBER($E15),ISNUMBER($G15),ISNUMBER($O15)),IF(ABS($E15-$G15)&lt;&gt;$O15,1,0),0))</f>
        <v/>
      </c>
      <c r="AB15" s="9">
        <f>IF($A15="",0,IF(OR(AND($E15&lt;&gt;"",NOT(ISNUMBER($E15))),AND($G15&lt;&gt;"",NOT(ISNUMBER($G15))),AND($L15&lt;&gt;"",NOT(ISNUMBER($L15))),AND($N15&lt;&gt;"",NOT(ISNUMBER($N15))),AND($O15&lt;&gt;"",NOT(ISNUMBER($O15)))),1,0))</f>
        <v/>
      </c>
      <c r="AC15" s="9">
        <f>IF($U15+$X15+$Y15+$Z15+$AB15&gt;0,1,0)</f>
        <v/>
      </c>
      <c r="AD15" s="9">
        <f>IF($A15="","",ROW())</f>
        <v/>
      </c>
      <c r="AE15" s="9">
        <f>IF($W15+$AA15&gt;0,1,0)</f>
        <v/>
      </c>
    </row>
    <row r="16" ht="18" customHeight="1">
      <c r="A16" s="27" t="n"/>
      <c r="B16" s="28" t="n"/>
      <c r="C16" s="27" t="n"/>
      <c r="D16" s="28" t="n"/>
      <c r="E16" s="28" t="n"/>
      <c r="F16" s="14" t="n"/>
      <c r="G16" s="28" t="n"/>
      <c r="H16" s="14" t="n"/>
      <c r="I16" s="28" t="n"/>
      <c r="J16" s="14" t="n"/>
      <c r="K16" s="14" t="n"/>
      <c r="L16" s="28" t="n"/>
      <c r="M16" s="14" t="n"/>
      <c r="N16" s="28" t="n"/>
      <c r="O16" s="29" t="n"/>
      <c r="P16" s="30">
        <f>IF(OR($A16="",NOT(ISNUMBER($E16)),NOT(ISNUMBER($G16)),NOT(ISNUMBER($L16))),"",IF($G16=$E16,"",($L16-$E16)/($G16-$E16)))</f>
        <v/>
      </c>
      <c r="Q16" s="9">
        <f>IF($A16="","",IF(OR(NOT(ISNUMBER($E16)),NOT(ISNUMBER($G16)),NOT(ISNUMBER($N16))),"Not read",IF($G16=$E16,"Not read",IF(($N16-$E16)/($G16-$E16)&gt;=1,"□ On track",IF(1-($N16-$E16)/($G16-$E16)&lt;=Dashboard!$H$7,"◧ Amber","■ Red")))))</f>
        <v/>
      </c>
      <c r="R16" s="9">
        <f>IF($A16="","",IF(NOT(ISNUMBER($K16)),"△ No review date",IF($K16&lt;Dashboard!$B$16,"△ Overdue, was due "&amp;TEXT($K16,"d mmm yyyy"),"Due "&amp;TEXT($K16,"d mmm yyyy"))))</f>
        <v/>
      </c>
      <c r="S16" s="31">
        <f>IF(OR($A16="",NOT(ISNUMBER($O16))),"",$O16-SUMPRODUCT(--(Costs!$B$7:$B$21=$A16),Costs!$C$7:$C$21))</f>
        <v/>
      </c>
      <c r="T16" s="9">
        <f>IF($A16="","",IF($Y16=1,"△ Name used twice",IF($U16=1,"△ Missing a measure, baseline, target, owner or date",IF($AB16=1,"△ A figure is typed as words",IF($W16=1,"△ Worth money, but no line on Costs",IF($AA16=1,"△ Worth a year isn't baseline minus target",IF($V16=1,"△ Read after close, with nobody named to take it",IF($X16=1,"△ No review date, or it has passed",IF($Z16=1,"△ First read has passed, with no Last read or Forecast","○ Clear")))))))))</f>
        <v/>
      </c>
      <c r="U16" s="9">
        <f>IF($A16="",0,IF(COUNTA($C16:$J16)&lt;8,1,0))</f>
        <v/>
      </c>
      <c r="V16" s="9">
        <f>IF($A16="",0,IF(AND(ISNUMBER($H16),ISNUMBER(Dashboard!$B$10),Dashboard!$B$13=""),IF($H16&gt;Dashboard!$B$10,1,0),0))</f>
        <v/>
      </c>
      <c r="W16" s="9">
        <f>IF($A16="",0,IF(AND(ISNUMBER($O16),$O16&gt;0),IF(SUMPRODUCT(--(Costs!$B$7:$B$21=$A16))=0,1,0),0))</f>
        <v/>
      </c>
      <c r="X16" s="9">
        <f>IF($A16="",0,IF(NOT(ISNUMBER($K16)),1,IF($K16&lt;Dashboard!$B$16,1,0)))</f>
        <v/>
      </c>
      <c r="Y16" s="9">
        <f>IF($A16="",0,IF(SUMPRODUCT(--($A$7:$A$46=$A16))&gt;1,1,0))</f>
        <v/>
      </c>
      <c r="Z16" s="9">
        <f>IF($A16="",0,IF(AND(ISNUMBER($J16),$J16&lt;Dashboard!$B$16,OR($L16="",$N16="")),1,0))</f>
        <v/>
      </c>
      <c r="AA16" s="9">
        <f>IF($A16="",0,IF(AND(OR(ISNUMBER(SEARCH("dollar",$D16)),ISNUMBER(SEARCH("USD",$D16)),ISNUMBER(SEARCH("EUR",$D16)),ISNUMBER(SEARCH("GBP",$D16))),ISNUMBER($E16),ISNUMBER($G16),ISNUMBER($O16)),IF(ABS($E16-$G16)&lt;&gt;$O16,1,0),0))</f>
        <v/>
      </c>
      <c r="AB16" s="9">
        <f>IF($A16="",0,IF(OR(AND($E16&lt;&gt;"",NOT(ISNUMBER($E16))),AND($G16&lt;&gt;"",NOT(ISNUMBER($G16))),AND($L16&lt;&gt;"",NOT(ISNUMBER($L16))),AND($N16&lt;&gt;"",NOT(ISNUMBER($N16))),AND($O16&lt;&gt;"",NOT(ISNUMBER($O16)))),1,0))</f>
        <v/>
      </c>
      <c r="AC16" s="9">
        <f>IF($U16+$X16+$Y16+$Z16+$AB16&gt;0,1,0)</f>
        <v/>
      </c>
      <c r="AD16" s="9">
        <f>IF($A16="","",ROW())</f>
        <v/>
      </c>
      <c r="AE16" s="9">
        <f>IF($W16+$AA16&gt;0,1,0)</f>
        <v/>
      </c>
    </row>
    <row r="17" ht="18" customHeight="1">
      <c r="A17" s="27" t="n"/>
      <c r="B17" s="28" t="n"/>
      <c r="C17" s="27" t="n"/>
      <c r="D17" s="28" t="n"/>
      <c r="E17" s="28" t="n"/>
      <c r="F17" s="14" t="n"/>
      <c r="G17" s="28" t="n"/>
      <c r="H17" s="14" t="n"/>
      <c r="I17" s="28" t="n"/>
      <c r="J17" s="14" t="n"/>
      <c r="K17" s="14" t="n"/>
      <c r="L17" s="28" t="n"/>
      <c r="M17" s="14" t="n"/>
      <c r="N17" s="28" t="n"/>
      <c r="O17" s="29" t="n"/>
      <c r="P17" s="30">
        <f>IF(OR($A17="",NOT(ISNUMBER($E17)),NOT(ISNUMBER($G17)),NOT(ISNUMBER($L17))),"",IF($G17=$E17,"",($L17-$E17)/($G17-$E17)))</f>
        <v/>
      </c>
      <c r="Q17" s="9">
        <f>IF($A17="","",IF(OR(NOT(ISNUMBER($E17)),NOT(ISNUMBER($G17)),NOT(ISNUMBER($N17))),"Not read",IF($G17=$E17,"Not read",IF(($N17-$E17)/($G17-$E17)&gt;=1,"□ On track",IF(1-($N17-$E17)/($G17-$E17)&lt;=Dashboard!$H$7,"◧ Amber","■ Red")))))</f>
        <v/>
      </c>
      <c r="R17" s="9">
        <f>IF($A17="","",IF(NOT(ISNUMBER($K17)),"△ No review date",IF($K17&lt;Dashboard!$B$16,"△ Overdue, was due "&amp;TEXT($K17,"d mmm yyyy"),"Due "&amp;TEXT($K17,"d mmm yyyy"))))</f>
        <v/>
      </c>
      <c r="S17" s="31">
        <f>IF(OR($A17="",NOT(ISNUMBER($O17))),"",$O17-SUMPRODUCT(--(Costs!$B$7:$B$21=$A17),Costs!$C$7:$C$21))</f>
        <v/>
      </c>
      <c r="T17" s="9">
        <f>IF($A17="","",IF($Y17=1,"△ Name used twice",IF($U17=1,"△ Missing a measure, baseline, target, owner or date",IF($AB17=1,"△ A figure is typed as words",IF($W17=1,"△ Worth money, but no line on Costs",IF($AA17=1,"△ Worth a year isn't baseline minus target",IF($V17=1,"△ Read after close, with nobody named to take it",IF($X17=1,"△ No review date, or it has passed",IF($Z17=1,"△ First read has passed, with no Last read or Forecast","○ Clear")))))))))</f>
        <v/>
      </c>
      <c r="U17" s="9">
        <f>IF($A17="",0,IF(COUNTA($C17:$J17)&lt;8,1,0))</f>
        <v/>
      </c>
      <c r="V17" s="9">
        <f>IF($A17="",0,IF(AND(ISNUMBER($H17),ISNUMBER(Dashboard!$B$10),Dashboard!$B$13=""),IF($H17&gt;Dashboard!$B$10,1,0),0))</f>
        <v/>
      </c>
      <c r="W17" s="9">
        <f>IF($A17="",0,IF(AND(ISNUMBER($O17),$O17&gt;0),IF(SUMPRODUCT(--(Costs!$B$7:$B$21=$A17))=0,1,0),0))</f>
        <v/>
      </c>
      <c r="X17" s="9">
        <f>IF($A17="",0,IF(NOT(ISNUMBER($K17)),1,IF($K17&lt;Dashboard!$B$16,1,0)))</f>
        <v/>
      </c>
      <c r="Y17" s="9">
        <f>IF($A17="",0,IF(SUMPRODUCT(--($A$7:$A$46=$A17))&gt;1,1,0))</f>
        <v/>
      </c>
      <c r="Z17" s="9">
        <f>IF($A17="",0,IF(AND(ISNUMBER($J17),$J17&lt;Dashboard!$B$16,OR($L17="",$N17="")),1,0))</f>
        <v/>
      </c>
      <c r="AA17" s="9">
        <f>IF($A17="",0,IF(AND(OR(ISNUMBER(SEARCH("dollar",$D17)),ISNUMBER(SEARCH("USD",$D17)),ISNUMBER(SEARCH("EUR",$D17)),ISNUMBER(SEARCH("GBP",$D17))),ISNUMBER($E17),ISNUMBER($G17),ISNUMBER($O17)),IF(ABS($E17-$G17)&lt;&gt;$O17,1,0),0))</f>
        <v/>
      </c>
      <c r="AB17" s="9">
        <f>IF($A17="",0,IF(OR(AND($E17&lt;&gt;"",NOT(ISNUMBER($E17))),AND($G17&lt;&gt;"",NOT(ISNUMBER($G17))),AND($L17&lt;&gt;"",NOT(ISNUMBER($L17))),AND($N17&lt;&gt;"",NOT(ISNUMBER($N17))),AND($O17&lt;&gt;"",NOT(ISNUMBER($O17)))),1,0))</f>
        <v/>
      </c>
      <c r="AC17" s="9">
        <f>IF($U17+$X17+$Y17+$Z17+$AB17&gt;0,1,0)</f>
        <v/>
      </c>
      <c r="AD17" s="9">
        <f>IF($A17="","",ROW())</f>
        <v/>
      </c>
      <c r="AE17" s="9">
        <f>IF($W17+$AA17&gt;0,1,0)</f>
        <v/>
      </c>
    </row>
    <row r="18" ht="18" customHeight="1">
      <c r="A18" s="27" t="n"/>
      <c r="B18" s="28" t="n"/>
      <c r="C18" s="27" t="n"/>
      <c r="D18" s="28" t="n"/>
      <c r="E18" s="28" t="n"/>
      <c r="F18" s="14" t="n"/>
      <c r="G18" s="28" t="n"/>
      <c r="H18" s="14" t="n"/>
      <c r="I18" s="28" t="n"/>
      <c r="J18" s="14" t="n"/>
      <c r="K18" s="14" t="n"/>
      <c r="L18" s="28" t="n"/>
      <c r="M18" s="14" t="n"/>
      <c r="N18" s="28" t="n"/>
      <c r="O18" s="29" t="n"/>
      <c r="P18" s="30">
        <f>IF(OR($A18="",NOT(ISNUMBER($E18)),NOT(ISNUMBER($G18)),NOT(ISNUMBER($L18))),"",IF($G18=$E18,"",($L18-$E18)/($G18-$E18)))</f>
        <v/>
      </c>
      <c r="Q18" s="9">
        <f>IF($A18="","",IF(OR(NOT(ISNUMBER($E18)),NOT(ISNUMBER($G18)),NOT(ISNUMBER($N18))),"Not read",IF($G18=$E18,"Not read",IF(($N18-$E18)/($G18-$E18)&gt;=1,"□ On track",IF(1-($N18-$E18)/($G18-$E18)&lt;=Dashboard!$H$7,"◧ Amber","■ Red")))))</f>
        <v/>
      </c>
      <c r="R18" s="9">
        <f>IF($A18="","",IF(NOT(ISNUMBER($K18)),"△ No review date",IF($K18&lt;Dashboard!$B$16,"△ Overdue, was due "&amp;TEXT($K18,"d mmm yyyy"),"Due "&amp;TEXT($K18,"d mmm yyyy"))))</f>
        <v/>
      </c>
      <c r="S18" s="31">
        <f>IF(OR($A18="",NOT(ISNUMBER($O18))),"",$O18-SUMPRODUCT(--(Costs!$B$7:$B$21=$A18),Costs!$C$7:$C$21))</f>
        <v/>
      </c>
      <c r="T18" s="9">
        <f>IF($A18="","",IF($Y18=1,"△ Name used twice",IF($U18=1,"△ Missing a measure, baseline, target, owner or date",IF($AB18=1,"△ A figure is typed as words",IF($W18=1,"△ Worth money, but no line on Costs",IF($AA18=1,"△ Worth a year isn't baseline minus target",IF($V18=1,"△ Read after close, with nobody named to take it",IF($X18=1,"△ No review date, or it has passed",IF($Z18=1,"△ First read has passed, with no Last read or Forecast","○ Clear")))))))))</f>
        <v/>
      </c>
      <c r="U18" s="9">
        <f>IF($A18="",0,IF(COUNTA($C18:$J18)&lt;8,1,0))</f>
        <v/>
      </c>
      <c r="V18" s="9">
        <f>IF($A18="",0,IF(AND(ISNUMBER($H18),ISNUMBER(Dashboard!$B$10),Dashboard!$B$13=""),IF($H18&gt;Dashboard!$B$10,1,0),0))</f>
        <v/>
      </c>
      <c r="W18" s="9">
        <f>IF($A18="",0,IF(AND(ISNUMBER($O18),$O18&gt;0),IF(SUMPRODUCT(--(Costs!$B$7:$B$21=$A18))=0,1,0),0))</f>
        <v/>
      </c>
      <c r="X18" s="9">
        <f>IF($A18="",0,IF(NOT(ISNUMBER($K18)),1,IF($K18&lt;Dashboard!$B$16,1,0)))</f>
        <v/>
      </c>
      <c r="Y18" s="9">
        <f>IF($A18="",0,IF(SUMPRODUCT(--($A$7:$A$46=$A18))&gt;1,1,0))</f>
        <v/>
      </c>
      <c r="Z18" s="9">
        <f>IF($A18="",0,IF(AND(ISNUMBER($J18),$J18&lt;Dashboard!$B$16,OR($L18="",$N18="")),1,0))</f>
        <v/>
      </c>
      <c r="AA18" s="9">
        <f>IF($A18="",0,IF(AND(OR(ISNUMBER(SEARCH("dollar",$D18)),ISNUMBER(SEARCH("USD",$D18)),ISNUMBER(SEARCH("EUR",$D18)),ISNUMBER(SEARCH("GBP",$D18))),ISNUMBER($E18),ISNUMBER($G18),ISNUMBER($O18)),IF(ABS($E18-$G18)&lt;&gt;$O18,1,0),0))</f>
        <v/>
      </c>
      <c r="AB18" s="9">
        <f>IF($A18="",0,IF(OR(AND($E18&lt;&gt;"",NOT(ISNUMBER($E18))),AND($G18&lt;&gt;"",NOT(ISNUMBER($G18))),AND($L18&lt;&gt;"",NOT(ISNUMBER($L18))),AND($N18&lt;&gt;"",NOT(ISNUMBER($N18))),AND($O18&lt;&gt;"",NOT(ISNUMBER($O18)))),1,0))</f>
        <v/>
      </c>
      <c r="AC18" s="9">
        <f>IF($U18+$X18+$Y18+$Z18+$AB18&gt;0,1,0)</f>
        <v/>
      </c>
      <c r="AD18" s="9">
        <f>IF($A18="","",ROW())</f>
        <v/>
      </c>
      <c r="AE18" s="9">
        <f>IF($W18+$AA18&gt;0,1,0)</f>
        <v/>
      </c>
    </row>
    <row r="19" ht="18" customHeight="1">
      <c r="A19" s="27" t="n"/>
      <c r="B19" s="28" t="n"/>
      <c r="C19" s="27" t="n"/>
      <c r="D19" s="28" t="n"/>
      <c r="E19" s="28" t="n"/>
      <c r="F19" s="14" t="n"/>
      <c r="G19" s="28" t="n"/>
      <c r="H19" s="14" t="n"/>
      <c r="I19" s="28" t="n"/>
      <c r="J19" s="14" t="n"/>
      <c r="K19" s="14" t="n"/>
      <c r="L19" s="28" t="n"/>
      <c r="M19" s="14" t="n"/>
      <c r="N19" s="28" t="n"/>
      <c r="O19" s="29" t="n"/>
      <c r="P19" s="30">
        <f>IF(OR($A19="",NOT(ISNUMBER($E19)),NOT(ISNUMBER($G19)),NOT(ISNUMBER($L19))),"",IF($G19=$E19,"",($L19-$E19)/($G19-$E19)))</f>
        <v/>
      </c>
      <c r="Q19" s="9">
        <f>IF($A19="","",IF(OR(NOT(ISNUMBER($E19)),NOT(ISNUMBER($G19)),NOT(ISNUMBER($N19))),"Not read",IF($G19=$E19,"Not read",IF(($N19-$E19)/($G19-$E19)&gt;=1,"□ On track",IF(1-($N19-$E19)/($G19-$E19)&lt;=Dashboard!$H$7,"◧ Amber","■ Red")))))</f>
        <v/>
      </c>
      <c r="R19" s="9">
        <f>IF($A19="","",IF(NOT(ISNUMBER($K19)),"△ No review date",IF($K19&lt;Dashboard!$B$16,"△ Overdue, was due "&amp;TEXT($K19,"d mmm yyyy"),"Due "&amp;TEXT($K19,"d mmm yyyy"))))</f>
        <v/>
      </c>
      <c r="S19" s="31">
        <f>IF(OR($A19="",NOT(ISNUMBER($O19))),"",$O19-SUMPRODUCT(--(Costs!$B$7:$B$21=$A19),Costs!$C$7:$C$21))</f>
        <v/>
      </c>
      <c r="T19" s="9">
        <f>IF($A19="","",IF($Y19=1,"△ Name used twice",IF($U19=1,"△ Missing a measure, baseline, target, owner or date",IF($AB19=1,"△ A figure is typed as words",IF($W19=1,"△ Worth money, but no line on Costs",IF($AA19=1,"△ Worth a year isn't baseline minus target",IF($V19=1,"△ Read after close, with nobody named to take it",IF($X19=1,"△ No review date, or it has passed",IF($Z19=1,"△ First read has passed, with no Last read or Forecast","○ Clear")))))))))</f>
        <v/>
      </c>
      <c r="U19" s="9">
        <f>IF($A19="",0,IF(COUNTA($C19:$J19)&lt;8,1,0))</f>
        <v/>
      </c>
      <c r="V19" s="9">
        <f>IF($A19="",0,IF(AND(ISNUMBER($H19),ISNUMBER(Dashboard!$B$10),Dashboard!$B$13=""),IF($H19&gt;Dashboard!$B$10,1,0),0))</f>
        <v/>
      </c>
      <c r="W19" s="9">
        <f>IF($A19="",0,IF(AND(ISNUMBER($O19),$O19&gt;0),IF(SUMPRODUCT(--(Costs!$B$7:$B$21=$A19))=0,1,0),0))</f>
        <v/>
      </c>
      <c r="X19" s="9">
        <f>IF($A19="",0,IF(NOT(ISNUMBER($K19)),1,IF($K19&lt;Dashboard!$B$16,1,0)))</f>
        <v/>
      </c>
      <c r="Y19" s="9">
        <f>IF($A19="",0,IF(SUMPRODUCT(--($A$7:$A$46=$A19))&gt;1,1,0))</f>
        <v/>
      </c>
      <c r="Z19" s="9">
        <f>IF($A19="",0,IF(AND(ISNUMBER($J19),$J19&lt;Dashboard!$B$16,OR($L19="",$N19="")),1,0))</f>
        <v/>
      </c>
      <c r="AA19" s="9">
        <f>IF($A19="",0,IF(AND(OR(ISNUMBER(SEARCH("dollar",$D19)),ISNUMBER(SEARCH("USD",$D19)),ISNUMBER(SEARCH("EUR",$D19)),ISNUMBER(SEARCH("GBP",$D19))),ISNUMBER($E19),ISNUMBER($G19),ISNUMBER($O19)),IF(ABS($E19-$G19)&lt;&gt;$O19,1,0),0))</f>
        <v/>
      </c>
      <c r="AB19" s="9">
        <f>IF($A19="",0,IF(OR(AND($E19&lt;&gt;"",NOT(ISNUMBER($E19))),AND($G19&lt;&gt;"",NOT(ISNUMBER($G19))),AND($L19&lt;&gt;"",NOT(ISNUMBER($L19))),AND($N19&lt;&gt;"",NOT(ISNUMBER($N19))),AND($O19&lt;&gt;"",NOT(ISNUMBER($O19)))),1,0))</f>
        <v/>
      </c>
      <c r="AC19" s="9">
        <f>IF($U19+$X19+$Y19+$Z19+$AB19&gt;0,1,0)</f>
        <v/>
      </c>
      <c r="AD19" s="9">
        <f>IF($A19="","",ROW())</f>
        <v/>
      </c>
      <c r="AE19" s="9">
        <f>IF($W19+$AA19&gt;0,1,0)</f>
        <v/>
      </c>
    </row>
    <row r="20" ht="18" customHeight="1">
      <c r="A20" s="27" t="n"/>
      <c r="B20" s="28" t="n"/>
      <c r="C20" s="27" t="n"/>
      <c r="D20" s="28" t="n"/>
      <c r="E20" s="28" t="n"/>
      <c r="F20" s="14" t="n"/>
      <c r="G20" s="28" t="n"/>
      <c r="H20" s="14" t="n"/>
      <c r="I20" s="28" t="n"/>
      <c r="J20" s="14" t="n"/>
      <c r="K20" s="14" t="n"/>
      <c r="L20" s="28" t="n"/>
      <c r="M20" s="14" t="n"/>
      <c r="N20" s="28" t="n"/>
      <c r="O20" s="29" t="n"/>
      <c r="P20" s="30">
        <f>IF(OR($A20="",NOT(ISNUMBER($E20)),NOT(ISNUMBER($G20)),NOT(ISNUMBER($L20))),"",IF($G20=$E20,"",($L20-$E20)/($G20-$E20)))</f>
        <v/>
      </c>
      <c r="Q20" s="9">
        <f>IF($A20="","",IF(OR(NOT(ISNUMBER($E20)),NOT(ISNUMBER($G20)),NOT(ISNUMBER($N20))),"Not read",IF($G20=$E20,"Not read",IF(($N20-$E20)/($G20-$E20)&gt;=1,"□ On track",IF(1-($N20-$E20)/($G20-$E20)&lt;=Dashboard!$H$7,"◧ Amber","■ Red")))))</f>
        <v/>
      </c>
      <c r="R20" s="9">
        <f>IF($A20="","",IF(NOT(ISNUMBER($K20)),"△ No review date",IF($K20&lt;Dashboard!$B$16,"△ Overdue, was due "&amp;TEXT($K20,"d mmm yyyy"),"Due "&amp;TEXT($K20,"d mmm yyyy"))))</f>
        <v/>
      </c>
      <c r="S20" s="31">
        <f>IF(OR($A20="",NOT(ISNUMBER($O20))),"",$O20-SUMPRODUCT(--(Costs!$B$7:$B$21=$A20),Costs!$C$7:$C$21))</f>
        <v/>
      </c>
      <c r="T20" s="9">
        <f>IF($A20="","",IF($Y20=1,"△ Name used twice",IF($U20=1,"△ Missing a measure, baseline, target, owner or date",IF($AB20=1,"△ A figure is typed as words",IF($W20=1,"△ Worth money, but no line on Costs",IF($AA20=1,"△ Worth a year isn't baseline minus target",IF($V20=1,"△ Read after close, with nobody named to take it",IF($X20=1,"△ No review date, or it has passed",IF($Z20=1,"△ First read has passed, with no Last read or Forecast","○ Clear")))))))))</f>
        <v/>
      </c>
      <c r="U20" s="9">
        <f>IF($A20="",0,IF(COUNTA($C20:$J20)&lt;8,1,0))</f>
        <v/>
      </c>
      <c r="V20" s="9">
        <f>IF($A20="",0,IF(AND(ISNUMBER($H20),ISNUMBER(Dashboard!$B$10),Dashboard!$B$13=""),IF($H20&gt;Dashboard!$B$10,1,0),0))</f>
        <v/>
      </c>
      <c r="W20" s="9">
        <f>IF($A20="",0,IF(AND(ISNUMBER($O20),$O20&gt;0),IF(SUMPRODUCT(--(Costs!$B$7:$B$21=$A20))=0,1,0),0))</f>
        <v/>
      </c>
      <c r="X20" s="9">
        <f>IF($A20="",0,IF(NOT(ISNUMBER($K20)),1,IF($K20&lt;Dashboard!$B$16,1,0)))</f>
        <v/>
      </c>
      <c r="Y20" s="9">
        <f>IF($A20="",0,IF(SUMPRODUCT(--($A$7:$A$46=$A20))&gt;1,1,0))</f>
        <v/>
      </c>
      <c r="Z20" s="9">
        <f>IF($A20="",0,IF(AND(ISNUMBER($J20),$J20&lt;Dashboard!$B$16,OR($L20="",$N20="")),1,0))</f>
        <v/>
      </c>
      <c r="AA20" s="9">
        <f>IF($A20="",0,IF(AND(OR(ISNUMBER(SEARCH("dollar",$D20)),ISNUMBER(SEARCH("USD",$D20)),ISNUMBER(SEARCH("EUR",$D20)),ISNUMBER(SEARCH("GBP",$D20))),ISNUMBER($E20),ISNUMBER($G20),ISNUMBER($O20)),IF(ABS($E20-$G20)&lt;&gt;$O20,1,0),0))</f>
        <v/>
      </c>
      <c r="AB20" s="9">
        <f>IF($A20="",0,IF(OR(AND($E20&lt;&gt;"",NOT(ISNUMBER($E20))),AND($G20&lt;&gt;"",NOT(ISNUMBER($G20))),AND($L20&lt;&gt;"",NOT(ISNUMBER($L20))),AND($N20&lt;&gt;"",NOT(ISNUMBER($N20))),AND($O20&lt;&gt;"",NOT(ISNUMBER($O20)))),1,0))</f>
        <v/>
      </c>
      <c r="AC20" s="9">
        <f>IF($U20+$X20+$Y20+$Z20+$AB20&gt;0,1,0)</f>
        <v/>
      </c>
      <c r="AD20" s="9">
        <f>IF($A20="","",ROW())</f>
        <v/>
      </c>
      <c r="AE20" s="9">
        <f>IF($W20+$AA20&gt;0,1,0)</f>
        <v/>
      </c>
    </row>
    <row r="21" ht="18" customHeight="1">
      <c r="A21" s="27" t="n"/>
      <c r="B21" s="28" t="n"/>
      <c r="C21" s="27" t="n"/>
      <c r="D21" s="28" t="n"/>
      <c r="E21" s="28" t="n"/>
      <c r="F21" s="14" t="n"/>
      <c r="G21" s="28" t="n"/>
      <c r="H21" s="14" t="n"/>
      <c r="I21" s="28" t="n"/>
      <c r="J21" s="14" t="n"/>
      <c r="K21" s="14" t="n"/>
      <c r="L21" s="28" t="n"/>
      <c r="M21" s="14" t="n"/>
      <c r="N21" s="28" t="n"/>
      <c r="O21" s="29" t="n"/>
      <c r="P21" s="30">
        <f>IF(OR($A21="",NOT(ISNUMBER($E21)),NOT(ISNUMBER($G21)),NOT(ISNUMBER($L21))),"",IF($G21=$E21,"",($L21-$E21)/($G21-$E21)))</f>
        <v/>
      </c>
      <c r="Q21" s="9">
        <f>IF($A21="","",IF(OR(NOT(ISNUMBER($E21)),NOT(ISNUMBER($G21)),NOT(ISNUMBER($N21))),"Not read",IF($G21=$E21,"Not read",IF(($N21-$E21)/($G21-$E21)&gt;=1,"□ On track",IF(1-($N21-$E21)/($G21-$E21)&lt;=Dashboard!$H$7,"◧ Amber","■ Red")))))</f>
        <v/>
      </c>
      <c r="R21" s="9">
        <f>IF($A21="","",IF(NOT(ISNUMBER($K21)),"△ No review date",IF($K21&lt;Dashboard!$B$16,"△ Overdue, was due "&amp;TEXT($K21,"d mmm yyyy"),"Due "&amp;TEXT($K21,"d mmm yyyy"))))</f>
        <v/>
      </c>
      <c r="S21" s="31">
        <f>IF(OR($A21="",NOT(ISNUMBER($O21))),"",$O21-SUMPRODUCT(--(Costs!$B$7:$B$21=$A21),Costs!$C$7:$C$21))</f>
        <v/>
      </c>
      <c r="T21" s="9">
        <f>IF($A21="","",IF($Y21=1,"△ Name used twice",IF($U21=1,"△ Missing a measure, baseline, target, owner or date",IF($AB21=1,"△ A figure is typed as words",IF($W21=1,"△ Worth money, but no line on Costs",IF($AA21=1,"△ Worth a year isn't baseline minus target",IF($V21=1,"△ Read after close, with nobody named to take it",IF($X21=1,"△ No review date, or it has passed",IF($Z21=1,"△ First read has passed, with no Last read or Forecast","○ Clear")))))))))</f>
        <v/>
      </c>
      <c r="U21" s="9">
        <f>IF($A21="",0,IF(COUNTA($C21:$J21)&lt;8,1,0))</f>
        <v/>
      </c>
      <c r="V21" s="9">
        <f>IF($A21="",0,IF(AND(ISNUMBER($H21),ISNUMBER(Dashboard!$B$10),Dashboard!$B$13=""),IF($H21&gt;Dashboard!$B$10,1,0),0))</f>
        <v/>
      </c>
      <c r="W21" s="9">
        <f>IF($A21="",0,IF(AND(ISNUMBER($O21),$O21&gt;0),IF(SUMPRODUCT(--(Costs!$B$7:$B$21=$A21))=0,1,0),0))</f>
        <v/>
      </c>
      <c r="X21" s="9">
        <f>IF($A21="",0,IF(NOT(ISNUMBER($K21)),1,IF($K21&lt;Dashboard!$B$16,1,0)))</f>
        <v/>
      </c>
      <c r="Y21" s="9">
        <f>IF($A21="",0,IF(SUMPRODUCT(--($A$7:$A$46=$A21))&gt;1,1,0))</f>
        <v/>
      </c>
      <c r="Z21" s="9">
        <f>IF($A21="",0,IF(AND(ISNUMBER($J21),$J21&lt;Dashboard!$B$16,OR($L21="",$N21="")),1,0))</f>
        <v/>
      </c>
      <c r="AA21" s="9">
        <f>IF($A21="",0,IF(AND(OR(ISNUMBER(SEARCH("dollar",$D21)),ISNUMBER(SEARCH("USD",$D21)),ISNUMBER(SEARCH("EUR",$D21)),ISNUMBER(SEARCH("GBP",$D21))),ISNUMBER($E21),ISNUMBER($G21),ISNUMBER($O21)),IF(ABS($E21-$G21)&lt;&gt;$O21,1,0),0))</f>
        <v/>
      </c>
      <c r="AB21" s="9">
        <f>IF($A21="",0,IF(OR(AND($E21&lt;&gt;"",NOT(ISNUMBER($E21))),AND($G21&lt;&gt;"",NOT(ISNUMBER($G21))),AND($L21&lt;&gt;"",NOT(ISNUMBER($L21))),AND($N21&lt;&gt;"",NOT(ISNUMBER($N21))),AND($O21&lt;&gt;"",NOT(ISNUMBER($O21)))),1,0))</f>
        <v/>
      </c>
      <c r="AC21" s="9">
        <f>IF($U21+$X21+$Y21+$Z21+$AB21&gt;0,1,0)</f>
        <v/>
      </c>
      <c r="AD21" s="9">
        <f>IF($A21="","",ROW())</f>
        <v/>
      </c>
      <c r="AE21" s="9">
        <f>IF($W21+$AA21&gt;0,1,0)</f>
        <v/>
      </c>
    </row>
    <row r="22" ht="18" customHeight="1">
      <c r="A22" s="27" t="n"/>
      <c r="B22" s="28" t="n"/>
      <c r="C22" s="27" t="n"/>
      <c r="D22" s="28" t="n"/>
      <c r="E22" s="28" t="n"/>
      <c r="F22" s="14" t="n"/>
      <c r="G22" s="28" t="n"/>
      <c r="H22" s="14" t="n"/>
      <c r="I22" s="28" t="n"/>
      <c r="J22" s="14" t="n"/>
      <c r="K22" s="14" t="n"/>
      <c r="L22" s="28" t="n"/>
      <c r="M22" s="14" t="n"/>
      <c r="N22" s="28" t="n"/>
      <c r="O22" s="29" t="n"/>
      <c r="P22" s="30">
        <f>IF(OR($A22="",NOT(ISNUMBER($E22)),NOT(ISNUMBER($G22)),NOT(ISNUMBER($L22))),"",IF($G22=$E22,"",($L22-$E22)/($G22-$E22)))</f>
        <v/>
      </c>
      <c r="Q22" s="9">
        <f>IF($A22="","",IF(OR(NOT(ISNUMBER($E22)),NOT(ISNUMBER($G22)),NOT(ISNUMBER($N22))),"Not read",IF($G22=$E22,"Not read",IF(($N22-$E22)/($G22-$E22)&gt;=1,"□ On track",IF(1-($N22-$E22)/($G22-$E22)&lt;=Dashboard!$H$7,"◧ Amber","■ Red")))))</f>
        <v/>
      </c>
      <c r="R22" s="9">
        <f>IF($A22="","",IF(NOT(ISNUMBER($K22)),"△ No review date",IF($K22&lt;Dashboard!$B$16,"△ Overdue, was due "&amp;TEXT($K22,"d mmm yyyy"),"Due "&amp;TEXT($K22,"d mmm yyyy"))))</f>
        <v/>
      </c>
      <c r="S22" s="31">
        <f>IF(OR($A22="",NOT(ISNUMBER($O22))),"",$O22-SUMPRODUCT(--(Costs!$B$7:$B$21=$A22),Costs!$C$7:$C$21))</f>
        <v/>
      </c>
      <c r="T22" s="9">
        <f>IF($A22="","",IF($Y22=1,"△ Name used twice",IF($U22=1,"△ Missing a measure, baseline, target, owner or date",IF($AB22=1,"△ A figure is typed as words",IF($W22=1,"△ Worth money, but no line on Costs",IF($AA22=1,"△ Worth a year isn't baseline minus target",IF($V22=1,"△ Read after close, with nobody named to take it",IF($X22=1,"△ No review date, or it has passed",IF($Z22=1,"△ First read has passed, with no Last read or Forecast","○ Clear")))))))))</f>
        <v/>
      </c>
      <c r="U22" s="9">
        <f>IF($A22="",0,IF(COUNTA($C22:$J22)&lt;8,1,0))</f>
        <v/>
      </c>
      <c r="V22" s="9">
        <f>IF($A22="",0,IF(AND(ISNUMBER($H22),ISNUMBER(Dashboard!$B$10),Dashboard!$B$13=""),IF($H22&gt;Dashboard!$B$10,1,0),0))</f>
        <v/>
      </c>
      <c r="W22" s="9">
        <f>IF($A22="",0,IF(AND(ISNUMBER($O22),$O22&gt;0),IF(SUMPRODUCT(--(Costs!$B$7:$B$21=$A22))=0,1,0),0))</f>
        <v/>
      </c>
      <c r="X22" s="9">
        <f>IF($A22="",0,IF(NOT(ISNUMBER($K22)),1,IF($K22&lt;Dashboard!$B$16,1,0)))</f>
        <v/>
      </c>
      <c r="Y22" s="9">
        <f>IF($A22="",0,IF(SUMPRODUCT(--($A$7:$A$46=$A22))&gt;1,1,0))</f>
        <v/>
      </c>
      <c r="Z22" s="9">
        <f>IF($A22="",0,IF(AND(ISNUMBER($J22),$J22&lt;Dashboard!$B$16,OR($L22="",$N22="")),1,0))</f>
        <v/>
      </c>
      <c r="AA22" s="9">
        <f>IF($A22="",0,IF(AND(OR(ISNUMBER(SEARCH("dollar",$D22)),ISNUMBER(SEARCH("USD",$D22)),ISNUMBER(SEARCH("EUR",$D22)),ISNUMBER(SEARCH("GBP",$D22))),ISNUMBER($E22),ISNUMBER($G22),ISNUMBER($O22)),IF(ABS($E22-$G22)&lt;&gt;$O22,1,0),0))</f>
        <v/>
      </c>
      <c r="AB22" s="9">
        <f>IF($A22="",0,IF(OR(AND($E22&lt;&gt;"",NOT(ISNUMBER($E22))),AND($G22&lt;&gt;"",NOT(ISNUMBER($G22))),AND($L22&lt;&gt;"",NOT(ISNUMBER($L22))),AND($N22&lt;&gt;"",NOT(ISNUMBER($N22))),AND($O22&lt;&gt;"",NOT(ISNUMBER($O22)))),1,0))</f>
        <v/>
      </c>
      <c r="AC22" s="9">
        <f>IF($U22+$X22+$Y22+$Z22+$AB22&gt;0,1,0)</f>
        <v/>
      </c>
      <c r="AD22" s="9">
        <f>IF($A22="","",ROW())</f>
        <v/>
      </c>
      <c r="AE22" s="9">
        <f>IF($W22+$AA22&gt;0,1,0)</f>
        <v/>
      </c>
    </row>
    <row r="23" ht="18" customHeight="1">
      <c r="A23" s="27" t="n"/>
      <c r="B23" s="28" t="n"/>
      <c r="C23" s="27" t="n"/>
      <c r="D23" s="28" t="n"/>
      <c r="E23" s="28" t="n"/>
      <c r="F23" s="14" t="n"/>
      <c r="G23" s="28" t="n"/>
      <c r="H23" s="14" t="n"/>
      <c r="I23" s="28" t="n"/>
      <c r="J23" s="14" t="n"/>
      <c r="K23" s="14" t="n"/>
      <c r="L23" s="28" t="n"/>
      <c r="M23" s="14" t="n"/>
      <c r="N23" s="28" t="n"/>
      <c r="O23" s="29" t="n"/>
      <c r="P23" s="30">
        <f>IF(OR($A23="",NOT(ISNUMBER($E23)),NOT(ISNUMBER($G23)),NOT(ISNUMBER($L23))),"",IF($G23=$E23,"",($L23-$E23)/($G23-$E23)))</f>
        <v/>
      </c>
      <c r="Q23" s="9">
        <f>IF($A23="","",IF(OR(NOT(ISNUMBER($E23)),NOT(ISNUMBER($G23)),NOT(ISNUMBER($N23))),"Not read",IF($G23=$E23,"Not read",IF(($N23-$E23)/($G23-$E23)&gt;=1,"□ On track",IF(1-($N23-$E23)/($G23-$E23)&lt;=Dashboard!$H$7,"◧ Amber","■ Red")))))</f>
        <v/>
      </c>
      <c r="R23" s="9">
        <f>IF($A23="","",IF(NOT(ISNUMBER($K23)),"△ No review date",IF($K23&lt;Dashboard!$B$16,"△ Overdue, was due "&amp;TEXT($K23,"d mmm yyyy"),"Due "&amp;TEXT($K23,"d mmm yyyy"))))</f>
        <v/>
      </c>
      <c r="S23" s="31">
        <f>IF(OR($A23="",NOT(ISNUMBER($O23))),"",$O23-SUMPRODUCT(--(Costs!$B$7:$B$21=$A23),Costs!$C$7:$C$21))</f>
        <v/>
      </c>
      <c r="T23" s="9">
        <f>IF($A23="","",IF($Y23=1,"△ Name used twice",IF($U23=1,"△ Missing a measure, baseline, target, owner or date",IF($AB23=1,"△ A figure is typed as words",IF($W23=1,"△ Worth money, but no line on Costs",IF($AA23=1,"△ Worth a year isn't baseline minus target",IF($V23=1,"△ Read after close, with nobody named to take it",IF($X23=1,"△ No review date, or it has passed",IF($Z23=1,"△ First read has passed, with no Last read or Forecast","○ Clear")))))))))</f>
        <v/>
      </c>
      <c r="U23" s="9">
        <f>IF($A23="",0,IF(COUNTA($C23:$J23)&lt;8,1,0))</f>
        <v/>
      </c>
      <c r="V23" s="9">
        <f>IF($A23="",0,IF(AND(ISNUMBER($H23),ISNUMBER(Dashboard!$B$10),Dashboard!$B$13=""),IF($H23&gt;Dashboard!$B$10,1,0),0))</f>
        <v/>
      </c>
      <c r="W23" s="9">
        <f>IF($A23="",0,IF(AND(ISNUMBER($O23),$O23&gt;0),IF(SUMPRODUCT(--(Costs!$B$7:$B$21=$A23))=0,1,0),0))</f>
        <v/>
      </c>
      <c r="X23" s="9">
        <f>IF($A23="",0,IF(NOT(ISNUMBER($K23)),1,IF($K23&lt;Dashboard!$B$16,1,0)))</f>
        <v/>
      </c>
      <c r="Y23" s="9">
        <f>IF($A23="",0,IF(SUMPRODUCT(--($A$7:$A$46=$A23))&gt;1,1,0))</f>
        <v/>
      </c>
      <c r="Z23" s="9">
        <f>IF($A23="",0,IF(AND(ISNUMBER($J23),$J23&lt;Dashboard!$B$16,OR($L23="",$N23="")),1,0))</f>
        <v/>
      </c>
      <c r="AA23" s="9">
        <f>IF($A23="",0,IF(AND(OR(ISNUMBER(SEARCH("dollar",$D23)),ISNUMBER(SEARCH("USD",$D23)),ISNUMBER(SEARCH("EUR",$D23)),ISNUMBER(SEARCH("GBP",$D23))),ISNUMBER($E23),ISNUMBER($G23),ISNUMBER($O23)),IF(ABS($E23-$G23)&lt;&gt;$O23,1,0),0))</f>
        <v/>
      </c>
      <c r="AB23" s="9">
        <f>IF($A23="",0,IF(OR(AND($E23&lt;&gt;"",NOT(ISNUMBER($E23))),AND($G23&lt;&gt;"",NOT(ISNUMBER($G23))),AND($L23&lt;&gt;"",NOT(ISNUMBER($L23))),AND($N23&lt;&gt;"",NOT(ISNUMBER($N23))),AND($O23&lt;&gt;"",NOT(ISNUMBER($O23)))),1,0))</f>
        <v/>
      </c>
      <c r="AC23" s="9">
        <f>IF($U23+$X23+$Y23+$Z23+$AB23&gt;0,1,0)</f>
        <v/>
      </c>
      <c r="AD23" s="9">
        <f>IF($A23="","",ROW())</f>
        <v/>
      </c>
      <c r="AE23" s="9">
        <f>IF($W23+$AA23&gt;0,1,0)</f>
        <v/>
      </c>
    </row>
    <row r="24" ht="18" customHeight="1">
      <c r="A24" s="27" t="n"/>
      <c r="B24" s="28" t="n"/>
      <c r="C24" s="27" t="n"/>
      <c r="D24" s="28" t="n"/>
      <c r="E24" s="28" t="n"/>
      <c r="F24" s="14" t="n"/>
      <c r="G24" s="28" t="n"/>
      <c r="H24" s="14" t="n"/>
      <c r="I24" s="28" t="n"/>
      <c r="J24" s="14" t="n"/>
      <c r="K24" s="14" t="n"/>
      <c r="L24" s="28" t="n"/>
      <c r="M24" s="14" t="n"/>
      <c r="N24" s="28" t="n"/>
      <c r="O24" s="29" t="n"/>
      <c r="P24" s="30">
        <f>IF(OR($A24="",NOT(ISNUMBER($E24)),NOT(ISNUMBER($G24)),NOT(ISNUMBER($L24))),"",IF($G24=$E24,"",($L24-$E24)/($G24-$E24)))</f>
        <v/>
      </c>
      <c r="Q24" s="9">
        <f>IF($A24="","",IF(OR(NOT(ISNUMBER($E24)),NOT(ISNUMBER($G24)),NOT(ISNUMBER($N24))),"Not read",IF($G24=$E24,"Not read",IF(($N24-$E24)/($G24-$E24)&gt;=1,"□ On track",IF(1-($N24-$E24)/($G24-$E24)&lt;=Dashboard!$H$7,"◧ Amber","■ Red")))))</f>
        <v/>
      </c>
      <c r="R24" s="9">
        <f>IF($A24="","",IF(NOT(ISNUMBER($K24)),"△ No review date",IF($K24&lt;Dashboard!$B$16,"△ Overdue, was due "&amp;TEXT($K24,"d mmm yyyy"),"Due "&amp;TEXT($K24,"d mmm yyyy"))))</f>
        <v/>
      </c>
      <c r="S24" s="31">
        <f>IF(OR($A24="",NOT(ISNUMBER($O24))),"",$O24-SUMPRODUCT(--(Costs!$B$7:$B$21=$A24),Costs!$C$7:$C$21))</f>
        <v/>
      </c>
      <c r="T24" s="9">
        <f>IF($A24="","",IF($Y24=1,"△ Name used twice",IF($U24=1,"△ Missing a measure, baseline, target, owner or date",IF($AB24=1,"△ A figure is typed as words",IF($W24=1,"△ Worth money, but no line on Costs",IF($AA24=1,"△ Worth a year isn't baseline minus target",IF($V24=1,"△ Read after close, with nobody named to take it",IF($X24=1,"△ No review date, or it has passed",IF($Z24=1,"△ First read has passed, with no Last read or Forecast","○ Clear")))))))))</f>
        <v/>
      </c>
      <c r="U24" s="9">
        <f>IF($A24="",0,IF(COUNTA($C24:$J24)&lt;8,1,0))</f>
        <v/>
      </c>
      <c r="V24" s="9">
        <f>IF($A24="",0,IF(AND(ISNUMBER($H24),ISNUMBER(Dashboard!$B$10),Dashboard!$B$13=""),IF($H24&gt;Dashboard!$B$10,1,0),0))</f>
        <v/>
      </c>
      <c r="W24" s="9">
        <f>IF($A24="",0,IF(AND(ISNUMBER($O24),$O24&gt;0),IF(SUMPRODUCT(--(Costs!$B$7:$B$21=$A24))=0,1,0),0))</f>
        <v/>
      </c>
      <c r="X24" s="9">
        <f>IF($A24="",0,IF(NOT(ISNUMBER($K24)),1,IF($K24&lt;Dashboard!$B$16,1,0)))</f>
        <v/>
      </c>
      <c r="Y24" s="9">
        <f>IF($A24="",0,IF(SUMPRODUCT(--($A$7:$A$46=$A24))&gt;1,1,0))</f>
        <v/>
      </c>
      <c r="Z24" s="9">
        <f>IF($A24="",0,IF(AND(ISNUMBER($J24),$J24&lt;Dashboard!$B$16,OR($L24="",$N24="")),1,0))</f>
        <v/>
      </c>
      <c r="AA24" s="9">
        <f>IF($A24="",0,IF(AND(OR(ISNUMBER(SEARCH("dollar",$D24)),ISNUMBER(SEARCH("USD",$D24)),ISNUMBER(SEARCH("EUR",$D24)),ISNUMBER(SEARCH("GBP",$D24))),ISNUMBER($E24),ISNUMBER($G24),ISNUMBER($O24)),IF(ABS($E24-$G24)&lt;&gt;$O24,1,0),0))</f>
        <v/>
      </c>
      <c r="AB24" s="9">
        <f>IF($A24="",0,IF(OR(AND($E24&lt;&gt;"",NOT(ISNUMBER($E24))),AND($G24&lt;&gt;"",NOT(ISNUMBER($G24))),AND($L24&lt;&gt;"",NOT(ISNUMBER($L24))),AND($N24&lt;&gt;"",NOT(ISNUMBER($N24))),AND($O24&lt;&gt;"",NOT(ISNUMBER($O24)))),1,0))</f>
        <v/>
      </c>
      <c r="AC24" s="9">
        <f>IF($U24+$X24+$Y24+$Z24+$AB24&gt;0,1,0)</f>
        <v/>
      </c>
      <c r="AD24" s="9">
        <f>IF($A24="","",ROW())</f>
        <v/>
      </c>
      <c r="AE24" s="9">
        <f>IF($W24+$AA24&gt;0,1,0)</f>
        <v/>
      </c>
    </row>
    <row r="25" ht="18" customHeight="1">
      <c r="A25" s="27" t="n"/>
      <c r="B25" s="28" t="n"/>
      <c r="C25" s="27" t="n"/>
      <c r="D25" s="28" t="n"/>
      <c r="E25" s="28" t="n"/>
      <c r="F25" s="14" t="n"/>
      <c r="G25" s="28" t="n"/>
      <c r="H25" s="14" t="n"/>
      <c r="I25" s="28" t="n"/>
      <c r="J25" s="14" t="n"/>
      <c r="K25" s="14" t="n"/>
      <c r="L25" s="28" t="n"/>
      <c r="M25" s="14" t="n"/>
      <c r="N25" s="28" t="n"/>
      <c r="O25" s="29" t="n"/>
      <c r="P25" s="30">
        <f>IF(OR($A25="",NOT(ISNUMBER($E25)),NOT(ISNUMBER($G25)),NOT(ISNUMBER($L25))),"",IF($G25=$E25,"",($L25-$E25)/($G25-$E25)))</f>
        <v/>
      </c>
      <c r="Q25" s="9">
        <f>IF($A25="","",IF(OR(NOT(ISNUMBER($E25)),NOT(ISNUMBER($G25)),NOT(ISNUMBER($N25))),"Not read",IF($G25=$E25,"Not read",IF(($N25-$E25)/($G25-$E25)&gt;=1,"□ On track",IF(1-($N25-$E25)/($G25-$E25)&lt;=Dashboard!$H$7,"◧ Amber","■ Red")))))</f>
        <v/>
      </c>
      <c r="R25" s="9">
        <f>IF($A25="","",IF(NOT(ISNUMBER($K25)),"△ No review date",IF($K25&lt;Dashboard!$B$16,"△ Overdue, was due "&amp;TEXT($K25,"d mmm yyyy"),"Due "&amp;TEXT($K25,"d mmm yyyy"))))</f>
        <v/>
      </c>
      <c r="S25" s="31">
        <f>IF(OR($A25="",NOT(ISNUMBER($O25))),"",$O25-SUMPRODUCT(--(Costs!$B$7:$B$21=$A25),Costs!$C$7:$C$21))</f>
        <v/>
      </c>
      <c r="T25" s="9">
        <f>IF($A25="","",IF($Y25=1,"△ Name used twice",IF($U25=1,"△ Missing a measure, baseline, target, owner or date",IF($AB25=1,"△ A figure is typed as words",IF($W25=1,"△ Worth money, but no line on Costs",IF($AA25=1,"△ Worth a year isn't baseline minus target",IF($V25=1,"△ Read after close, with nobody named to take it",IF($X25=1,"△ No review date, or it has passed",IF($Z25=1,"△ First read has passed, with no Last read or Forecast","○ Clear")))))))))</f>
        <v/>
      </c>
      <c r="U25" s="9">
        <f>IF($A25="",0,IF(COUNTA($C25:$J25)&lt;8,1,0))</f>
        <v/>
      </c>
      <c r="V25" s="9">
        <f>IF($A25="",0,IF(AND(ISNUMBER($H25),ISNUMBER(Dashboard!$B$10),Dashboard!$B$13=""),IF($H25&gt;Dashboard!$B$10,1,0),0))</f>
        <v/>
      </c>
      <c r="W25" s="9">
        <f>IF($A25="",0,IF(AND(ISNUMBER($O25),$O25&gt;0),IF(SUMPRODUCT(--(Costs!$B$7:$B$21=$A25))=0,1,0),0))</f>
        <v/>
      </c>
      <c r="X25" s="9">
        <f>IF($A25="",0,IF(NOT(ISNUMBER($K25)),1,IF($K25&lt;Dashboard!$B$16,1,0)))</f>
        <v/>
      </c>
      <c r="Y25" s="9">
        <f>IF($A25="",0,IF(SUMPRODUCT(--($A$7:$A$46=$A25))&gt;1,1,0))</f>
        <v/>
      </c>
      <c r="Z25" s="9">
        <f>IF($A25="",0,IF(AND(ISNUMBER($J25),$J25&lt;Dashboard!$B$16,OR($L25="",$N25="")),1,0))</f>
        <v/>
      </c>
      <c r="AA25" s="9">
        <f>IF($A25="",0,IF(AND(OR(ISNUMBER(SEARCH("dollar",$D25)),ISNUMBER(SEARCH("USD",$D25)),ISNUMBER(SEARCH("EUR",$D25)),ISNUMBER(SEARCH("GBP",$D25))),ISNUMBER($E25),ISNUMBER($G25),ISNUMBER($O25)),IF(ABS($E25-$G25)&lt;&gt;$O25,1,0),0))</f>
        <v/>
      </c>
      <c r="AB25" s="9">
        <f>IF($A25="",0,IF(OR(AND($E25&lt;&gt;"",NOT(ISNUMBER($E25))),AND($G25&lt;&gt;"",NOT(ISNUMBER($G25))),AND($L25&lt;&gt;"",NOT(ISNUMBER($L25))),AND($N25&lt;&gt;"",NOT(ISNUMBER($N25))),AND($O25&lt;&gt;"",NOT(ISNUMBER($O25)))),1,0))</f>
        <v/>
      </c>
      <c r="AC25" s="9">
        <f>IF($U25+$X25+$Y25+$Z25+$AB25&gt;0,1,0)</f>
        <v/>
      </c>
      <c r="AD25" s="9">
        <f>IF($A25="","",ROW())</f>
        <v/>
      </c>
      <c r="AE25" s="9">
        <f>IF($W25+$AA25&gt;0,1,0)</f>
        <v/>
      </c>
    </row>
    <row r="26" ht="18" customHeight="1">
      <c r="A26" s="27" t="n"/>
      <c r="B26" s="28" t="n"/>
      <c r="C26" s="27" t="n"/>
      <c r="D26" s="28" t="n"/>
      <c r="E26" s="28" t="n"/>
      <c r="F26" s="14" t="n"/>
      <c r="G26" s="28" t="n"/>
      <c r="H26" s="14" t="n"/>
      <c r="I26" s="28" t="n"/>
      <c r="J26" s="14" t="n"/>
      <c r="K26" s="14" t="n"/>
      <c r="L26" s="28" t="n"/>
      <c r="M26" s="14" t="n"/>
      <c r="N26" s="28" t="n"/>
      <c r="O26" s="29" t="n"/>
      <c r="P26" s="30">
        <f>IF(OR($A26="",NOT(ISNUMBER($E26)),NOT(ISNUMBER($G26)),NOT(ISNUMBER($L26))),"",IF($G26=$E26,"",($L26-$E26)/($G26-$E26)))</f>
        <v/>
      </c>
      <c r="Q26" s="9">
        <f>IF($A26="","",IF(OR(NOT(ISNUMBER($E26)),NOT(ISNUMBER($G26)),NOT(ISNUMBER($N26))),"Not read",IF($G26=$E26,"Not read",IF(($N26-$E26)/($G26-$E26)&gt;=1,"□ On track",IF(1-($N26-$E26)/($G26-$E26)&lt;=Dashboard!$H$7,"◧ Amber","■ Red")))))</f>
        <v/>
      </c>
      <c r="R26" s="9">
        <f>IF($A26="","",IF(NOT(ISNUMBER($K26)),"△ No review date",IF($K26&lt;Dashboard!$B$16,"△ Overdue, was due "&amp;TEXT($K26,"d mmm yyyy"),"Due "&amp;TEXT($K26,"d mmm yyyy"))))</f>
        <v/>
      </c>
      <c r="S26" s="31">
        <f>IF(OR($A26="",NOT(ISNUMBER($O26))),"",$O26-SUMPRODUCT(--(Costs!$B$7:$B$21=$A26),Costs!$C$7:$C$21))</f>
        <v/>
      </c>
      <c r="T26" s="9">
        <f>IF($A26="","",IF($Y26=1,"△ Name used twice",IF($U26=1,"△ Missing a measure, baseline, target, owner or date",IF($AB26=1,"△ A figure is typed as words",IF($W26=1,"△ Worth money, but no line on Costs",IF($AA26=1,"△ Worth a year isn't baseline minus target",IF($V26=1,"△ Read after close, with nobody named to take it",IF($X26=1,"△ No review date, or it has passed",IF($Z26=1,"△ First read has passed, with no Last read or Forecast","○ Clear")))))))))</f>
        <v/>
      </c>
      <c r="U26" s="9">
        <f>IF($A26="",0,IF(COUNTA($C26:$J26)&lt;8,1,0))</f>
        <v/>
      </c>
      <c r="V26" s="9">
        <f>IF($A26="",0,IF(AND(ISNUMBER($H26),ISNUMBER(Dashboard!$B$10),Dashboard!$B$13=""),IF($H26&gt;Dashboard!$B$10,1,0),0))</f>
        <v/>
      </c>
      <c r="W26" s="9">
        <f>IF($A26="",0,IF(AND(ISNUMBER($O26),$O26&gt;0),IF(SUMPRODUCT(--(Costs!$B$7:$B$21=$A26))=0,1,0),0))</f>
        <v/>
      </c>
      <c r="X26" s="9">
        <f>IF($A26="",0,IF(NOT(ISNUMBER($K26)),1,IF($K26&lt;Dashboard!$B$16,1,0)))</f>
        <v/>
      </c>
      <c r="Y26" s="9">
        <f>IF($A26="",0,IF(SUMPRODUCT(--($A$7:$A$46=$A26))&gt;1,1,0))</f>
        <v/>
      </c>
      <c r="Z26" s="9">
        <f>IF($A26="",0,IF(AND(ISNUMBER($J26),$J26&lt;Dashboard!$B$16,OR($L26="",$N26="")),1,0))</f>
        <v/>
      </c>
      <c r="AA26" s="9">
        <f>IF($A26="",0,IF(AND(OR(ISNUMBER(SEARCH("dollar",$D26)),ISNUMBER(SEARCH("USD",$D26)),ISNUMBER(SEARCH("EUR",$D26)),ISNUMBER(SEARCH("GBP",$D26))),ISNUMBER($E26),ISNUMBER($G26),ISNUMBER($O26)),IF(ABS($E26-$G26)&lt;&gt;$O26,1,0),0))</f>
        <v/>
      </c>
      <c r="AB26" s="9">
        <f>IF($A26="",0,IF(OR(AND($E26&lt;&gt;"",NOT(ISNUMBER($E26))),AND($G26&lt;&gt;"",NOT(ISNUMBER($G26))),AND($L26&lt;&gt;"",NOT(ISNUMBER($L26))),AND($N26&lt;&gt;"",NOT(ISNUMBER($N26))),AND($O26&lt;&gt;"",NOT(ISNUMBER($O26)))),1,0))</f>
        <v/>
      </c>
      <c r="AC26" s="9">
        <f>IF($U26+$X26+$Y26+$Z26+$AB26&gt;0,1,0)</f>
        <v/>
      </c>
      <c r="AD26" s="9">
        <f>IF($A26="","",ROW())</f>
        <v/>
      </c>
      <c r="AE26" s="9">
        <f>IF($W26+$AA26&gt;0,1,0)</f>
        <v/>
      </c>
    </row>
    <row r="27" ht="18" customHeight="1">
      <c r="A27" s="27" t="n"/>
      <c r="B27" s="28" t="n"/>
      <c r="C27" s="27" t="n"/>
      <c r="D27" s="28" t="n"/>
      <c r="E27" s="28" t="n"/>
      <c r="F27" s="14" t="n"/>
      <c r="G27" s="28" t="n"/>
      <c r="H27" s="14" t="n"/>
      <c r="I27" s="28" t="n"/>
      <c r="J27" s="14" t="n"/>
      <c r="K27" s="14" t="n"/>
      <c r="L27" s="28" t="n"/>
      <c r="M27" s="14" t="n"/>
      <c r="N27" s="28" t="n"/>
      <c r="O27" s="29" t="n"/>
      <c r="P27" s="30">
        <f>IF(OR($A27="",NOT(ISNUMBER($E27)),NOT(ISNUMBER($G27)),NOT(ISNUMBER($L27))),"",IF($G27=$E27,"",($L27-$E27)/($G27-$E27)))</f>
        <v/>
      </c>
      <c r="Q27" s="9">
        <f>IF($A27="","",IF(OR(NOT(ISNUMBER($E27)),NOT(ISNUMBER($G27)),NOT(ISNUMBER($N27))),"Not read",IF($G27=$E27,"Not read",IF(($N27-$E27)/($G27-$E27)&gt;=1,"□ On track",IF(1-($N27-$E27)/($G27-$E27)&lt;=Dashboard!$H$7,"◧ Amber","■ Red")))))</f>
        <v/>
      </c>
      <c r="R27" s="9">
        <f>IF($A27="","",IF(NOT(ISNUMBER($K27)),"△ No review date",IF($K27&lt;Dashboard!$B$16,"△ Overdue, was due "&amp;TEXT($K27,"d mmm yyyy"),"Due "&amp;TEXT($K27,"d mmm yyyy"))))</f>
        <v/>
      </c>
      <c r="S27" s="31">
        <f>IF(OR($A27="",NOT(ISNUMBER($O27))),"",$O27-SUMPRODUCT(--(Costs!$B$7:$B$21=$A27),Costs!$C$7:$C$21))</f>
        <v/>
      </c>
      <c r="T27" s="9">
        <f>IF($A27="","",IF($Y27=1,"△ Name used twice",IF($U27=1,"△ Missing a measure, baseline, target, owner or date",IF($AB27=1,"△ A figure is typed as words",IF($W27=1,"△ Worth money, but no line on Costs",IF($AA27=1,"△ Worth a year isn't baseline minus target",IF($V27=1,"△ Read after close, with nobody named to take it",IF($X27=1,"△ No review date, or it has passed",IF($Z27=1,"△ First read has passed, with no Last read or Forecast","○ Clear")))))))))</f>
        <v/>
      </c>
      <c r="U27" s="9">
        <f>IF($A27="",0,IF(COUNTA($C27:$J27)&lt;8,1,0))</f>
        <v/>
      </c>
      <c r="V27" s="9">
        <f>IF($A27="",0,IF(AND(ISNUMBER($H27),ISNUMBER(Dashboard!$B$10),Dashboard!$B$13=""),IF($H27&gt;Dashboard!$B$10,1,0),0))</f>
        <v/>
      </c>
      <c r="W27" s="9">
        <f>IF($A27="",0,IF(AND(ISNUMBER($O27),$O27&gt;0),IF(SUMPRODUCT(--(Costs!$B$7:$B$21=$A27))=0,1,0),0))</f>
        <v/>
      </c>
      <c r="X27" s="9">
        <f>IF($A27="",0,IF(NOT(ISNUMBER($K27)),1,IF($K27&lt;Dashboard!$B$16,1,0)))</f>
        <v/>
      </c>
      <c r="Y27" s="9">
        <f>IF($A27="",0,IF(SUMPRODUCT(--($A$7:$A$46=$A27))&gt;1,1,0))</f>
        <v/>
      </c>
      <c r="Z27" s="9">
        <f>IF($A27="",0,IF(AND(ISNUMBER($J27),$J27&lt;Dashboard!$B$16,OR($L27="",$N27="")),1,0))</f>
        <v/>
      </c>
      <c r="AA27" s="9">
        <f>IF($A27="",0,IF(AND(OR(ISNUMBER(SEARCH("dollar",$D27)),ISNUMBER(SEARCH("USD",$D27)),ISNUMBER(SEARCH("EUR",$D27)),ISNUMBER(SEARCH("GBP",$D27))),ISNUMBER($E27),ISNUMBER($G27),ISNUMBER($O27)),IF(ABS($E27-$G27)&lt;&gt;$O27,1,0),0))</f>
        <v/>
      </c>
      <c r="AB27" s="9">
        <f>IF($A27="",0,IF(OR(AND($E27&lt;&gt;"",NOT(ISNUMBER($E27))),AND($G27&lt;&gt;"",NOT(ISNUMBER($G27))),AND($L27&lt;&gt;"",NOT(ISNUMBER($L27))),AND($N27&lt;&gt;"",NOT(ISNUMBER($N27))),AND($O27&lt;&gt;"",NOT(ISNUMBER($O27)))),1,0))</f>
        <v/>
      </c>
      <c r="AC27" s="9">
        <f>IF($U27+$X27+$Y27+$Z27+$AB27&gt;0,1,0)</f>
        <v/>
      </c>
      <c r="AD27" s="9">
        <f>IF($A27="","",ROW())</f>
        <v/>
      </c>
      <c r="AE27" s="9">
        <f>IF($W27+$AA27&gt;0,1,0)</f>
        <v/>
      </c>
    </row>
    <row r="28" ht="18" customHeight="1">
      <c r="A28" s="27" t="n"/>
      <c r="B28" s="28" t="n"/>
      <c r="C28" s="27" t="n"/>
      <c r="D28" s="28" t="n"/>
      <c r="E28" s="28" t="n"/>
      <c r="F28" s="14" t="n"/>
      <c r="G28" s="28" t="n"/>
      <c r="H28" s="14" t="n"/>
      <c r="I28" s="28" t="n"/>
      <c r="J28" s="14" t="n"/>
      <c r="K28" s="14" t="n"/>
      <c r="L28" s="28" t="n"/>
      <c r="M28" s="14" t="n"/>
      <c r="N28" s="28" t="n"/>
      <c r="O28" s="29" t="n"/>
      <c r="P28" s="30">
        <f>IF(OR($A28="",NOT(ISNUMBER($E28)),NOT(ISNUMBER($G28)),NOT(ISNUMBER($L28))),"",IF($G28=$E28,"",($L28-$E28)/($G28-$E28)))</f>
        <v/>
      </c>
      <c r="Q28" s="9">
        <f>IF($A28="","",IF(OR(NOT(ISNUMBER($E28)),NOT(ISNUMBER($G28)),NOT(ISNUMBER($N28))),"Not read",IF($G28=$E28,"Not read",IF(($N28-$E28)/($G28-$E28)&gt;=1,"□ On track",IF(1-($N28-$E28)/($G28-$E28)&lt;=Dashboard!$H$7,"◧ Amber","■ Red")))))</f>
        <v/>
      </c>
      <c r="R28" s="9">
        <f>IF($A28="","",IF(NOT(ISNUMBER($K28)),"△ No review date",IF($K28&lt;Dashboard!$B$16,"△ Overdue, was due "&amp;TEXT($K28,"d mmm yyyy"),"Due "&amp;TEXT($K28,"d mmm yyyy"))))</f>
        <v/>
      </c>
      <c r="S28" s="31">
        <f>IF(OR($A28="",NOT(ISNUMBER($O28))),"",$O28-SUMPRODUCT(--(Costs!$B$7:$B$21=$A28),Costs!$C$7:$C$21))</f>
        <v/>
      </c>
      <c r="T28" s="9">
        <f>IF($A28="","",IF($Y28=1,"△ Name used twice",IF($U28=1,"△ Missing a measure, baseline, target, owner or date",IF($AB28=1,"△ A figure is typed as words",IF($W28=1,"△ Worth money, but no line on Costs",IF($AA28=1,"△ Worth a year isn't baseline minus target",IF($V28=1,"△ Read after close, with nobody named to take it",IF($X28=1,"△ No review date, or it has passed",IF($Z28=1,"△ First read has passed, with no Last read or Forecast","○ Clear")))))))))</f>
        <v/>
      </c>
      <c r="U28" s="9">
        <f>IF($A28="",0,IF(COUNTA($C28:$J28)&lt;8,1,0))</f>
        <v/>
      </c>
      <c r="V28" s="9">
        <f>IF($A28="",0,IF(AND(ISNUMBER($H28),ISNUMBER(Dashboard!$B$10),Dashboard!$B$13=""),IF($H28&gt;Dashboard!$B$10,1,0),0))</f>
        <v/>
      </c>
      <c r="W28" s="9">
        <f>IF($A28="",0,IF(AND(ISNUMBER($O28),$O28&gt;0),IF(SUMPRODUCT(--(Costs!$B$7:$B$21=$A28))=0,1,0),0))</f>
        <v/>
      </c>
      <c r="X28" s="9">
        <f>IF($A28="",0,IF(NOT(ISNUMBER($K28)),1,IF($K28&lt;Dashboard!$B$16,1,0)))</f>
        <v/>
      </c>
      <c r="Y28" s="9">
        <f>IF($A28="",0,IF(SUMPRODUCT(--($A$7:$A$46=$A28))&gt;1,1,0))</f>
        <v/>
      </c>
      <c r="Z28" s="9">
        <f>IF($A28="",0,IF(AND(ISNUMBER($J28),$J28&lt;Dashboard!$B$16,OR($L28="",$N28="")),1,0))</f>
        <v/>
      </c>
      <c r="AA28" s="9">
        <f>IF($A28="",0,IF(AND(OR(ISNUMBER(SEARCH("dollar",$D28)),ISNUMBER(SEARCH("USD",$D28)),ISNUMBER(SEARCH("EUR",$D28)),ISNUMBER(SEARCH("GBP",$D28))),ISNUMBER($E28),ISNUMBER($G28),ISNUMBER($O28)),IF(ABS($E28-$G28)&lt;&gt;$O28,1,0),0))</f>
        <v/>
      </c>
      <c r="AB28" s="9">
        <f>IF($A28="",0,IF(OR(AND($E28&lt;&gt;"",NOT(ISNUMBER($E28))),AND($G28&lt;&gt;"",NOT(ISNUMBER($G28))),AND($L28&lt;&gt;"",NOT(ISNUMBER($L28))),AND($N28&lt;&gt;"",NOT(ISNUMBER($N28))),AND($O28&lt;&gt;"",NOT(ISNUMBER($O28)))),1,0))</f>
        <v/>
      </c>
      <c r="AC28" s="9">
        <f>IF($U28+$X28+$Y28+$Z28+$AB28&gt;0,1,0)</f>
        <v/>
      </c>
      <c r="AD28" s="9">
        <f>IF($A28="","",ROW())</f>
        <v/>
      </c>
      <c r="AE28" s="9">
        <f>IF($W28+$AA28&gt;0,1,0)</f>
        <v/>
      </c>
    </row>
    <row r="29" ht="18" customHeight="1">
      <c r="A29" s="27" t="n"/>
      <c r="B29" s="28" t="n"/>
      <c r="C29" s="27" t="n"/>
      <c r="D29" s="28" t="n"/>
      <c r="E29" s="28" t="n"/>
      <c r="F29" s="14" t="n"/>
      <c r="G29" s="28" t="n"/>
      <c r="H29" s="14" t="n"/>
      <c r="I29" s="28" t="n"/>
      <c r="J29" s="14" t="n"/>
      <c r="K29" s="14" t="n"/>
      <c r="L29" s="28" t="n"/>
      <c r="M29" s="14" t="n"/>
      <c r="N29" s="28" t="n"/>
      <c r="O29" s="29" t="n"/>
      <c r="P29" s="30">
        <f>IF(OR($A29="",NOT(ISNUMBER($E29)),NOT(ISNUMBER($G29)),NOT(ISNUMBER($L29))),"",IF($G29=$E29,"",($L29-$E29)/($G29-$E29)))</f>
        <v/>
      </c>
      <c r="Q29" s="9">
        <f>IF($A29="","",IF(OR(NOT(ISNUMBER($E29)),NOT(ISNUMBER($G29)),NOT(ISNUMBER($N29))),"Not read",IF($G29=$E29,"Not read",IF(($N29-$E29)/($G29-$E29)&gt;=1,"□ On track",IF(1-($N29-$E29)/($G29-$E29)&lt;=Dashboard!$H$7,"◧ Amber","■ Red")))))</f>
        <v/>
      </c>
      <c r="R29" s="9">
        <f>IF($A29="","",IF(NOT(ISNUMBER($K29)),"△ No review date",IF($K29&lt;Dashboard!$B$16,"△ Overdue, was due "&amp;TEXT($K29,"d mmm yyyy"),"Due "&amp;TEXT($K29,"d mmm yyyy"))))</f>
        <v/>
      </c>
      <c r="S29" s="31">
        <f>IF(OR($A29="",NOT(ISNUMBER($O29))),"",$O29-SUMPRODUCT(--(Costs!$B$7:$B$21=$A29),Costs!$C$7:$C$21))</f>
        <v/>
      </c>
      <c r="T29" s="9">
        <f>IF($A29="","",IF($Y29=1,"△ Name used twice",IF($U29=1,"△ Missing a measure, baseline, target, owner or date",IF($AB29=1,"△ A figure is typed as words",IF($W29=1,"△ Worth money, but no line on Costs",IF($AA29=1,"△ Worth a year isn't baseline minus target",IF($V29=1,"△ Read after close, with nobody named to take it",IF($X29=1,"△ No review date, or it has passed",IF($Z29=1,"△ First read has passed, with no Last read or Forecast","○ Clear")))))))))</f>
        <v/>
      </c>
      <c r="U29" s="9">
        <f>IF($A29="",0,IF(COUNTA($C29:$J29)&lt;8,1,0))</f>
        <v/>
      </c>
      <c r="V29" s="9">
        <f>IF($A29="",0,IF(AND(ISNUMBER($H29),ISNUMBER(Dashboard!$B$10),Dashboard!$B$13=""),IF($H29&gt;Dashboard!$B$10,1,0),0))</f>
        <v/>
      </c>
      <c r="W29" s="9">
        <f>IF($A29="",0,IF(AND(ISNUMBER($O29),$O29&gt;0),IF(SUMPRODUCT(--(Costs!$B$7:$B$21=$A29))=0,1,0),0))</f>
        <v/>
      </c>
      <c r="X29" s="9">
        <f>IF($A29="",0,IF(NOT(ISNUMBER($K29)),1,IF($K29&lt;Dashboard!$B$16,1,0)))</f>
        <v/>
      </c>
      <c r="Y29" s="9">
        <f>IF($A29="",0,IF(SUMPRODUCT(--($A$7:$A$46=$A29))&gt;1,1,0))</f>
        <v/>
      </c>
      <c r="Z29" s="9">
        <f>IF($A29="",0,IF(AND(ISNUMBER($J29),$J29&lt;Dashboard!$B$16,OR($L29="",$N29="")),1,0))</f>
        <v/>
      </c>
      <c r="AA29" s="9">
        <f>IF($A29="",0,IF(AND(OR(ISNUMBER(SEARCH("dollar",$D29)),ISNUMBER(SEARCH("USD",$D29)),ISNUMBER(SEARCH("EUR",$D29)),ISNUMBER(SEARCH("GBP",$D29))),ISNUMBER($E29),ISNUMBER($G29),ISNUMBER($O29)),IF(ABS($E29-$G29)&lt;&gt;$O29,1,0),0))</f>
        <v/>
      </c>
      <c r="AB29" s="9">
        <f>IF($A29="",0,IF(OR(AND($E29&lt;&gt;"",NOT(ISNUMBER($E29))),AND($G29&lt;&gt;"",NOT(ISNUMBER($G29))),AND($L29&lt;&gt;"",NOT(ISNUMBER($L29))),AND($N29&lt;&gt;"",NOT(ISNUMBER($N29))),AND($O29&lt;&gt;"",NOT(ISNUMBER($O29)))),1,0))</f>
        <v/>
      </c>
      <c r="AC29" s="9">
        <f>IF($U29+$X29+$Y29+$Z29+$AB29&gt;0,1,0)</f>
        <v/>
      </c>
      <c r="AD29" s="9">
        <f>IF($A29="","",ROW())</f>
        <v/>
      </c>
      <c r="AE29" s="9">
        <f>IF($W29+$AA29&gt;0,1,0)</f>
        <v/>
      </c>
    </row>
    <row r="30" ht="18" customHeight="1">
      <c r="A30" s="27" t="n"/>
      <c r="B30" s="28" t="n"/>
      <c r="C30" s="27" t="n"/>
      <c r="D30" s="28" t="n"/>
      <c r="E30" s="28" t="n"/>
      <c r="F30" s="14" t="n"/>
      <c r="G30" s="28" t="n"/>
      <c r="H30" s="14" t="n"/>
      <c r="I30" s="28" t="n"/>
      <c r="J30" s="14" t="n"/>
      <c r="K30" s="14" t="n"/>
      <c r="L30" s="28" t="n"/>
      <c r="M30" s="14" t="n"/>
      <c r="N30" s="28" t="n"/>
      <c r="O30" s="29" t="n"/>
      <c r="P30" s="30">
        <f>IF(OR($A30="",NOT(ISNUMBER($E30)),NOT(ISNUMBER($G30)),NOT(ISNUMBER($L30))),"",IF($G30=$E30,"",($L30-$E30)/($G30-$E30)))</f>
        <v/>
      </c>
      <c r="Q30" s="9">
        <f>IF($A30="","",IF(OR(NOT(ISNUMBER($E30)),NOT(ISNUMBER($G30)),NOT(ISNUMBER($N30))),"Not read",IF($G30=$E30,"Not read",IF(($N30-$E30)/($G30-$E30)&gt;=1,"□ On track",IF(1-($N30-$E30)/($G30-$E30)&lt;=Dashboard!$H$7,"◧ Amber","■ Red")))))</f>
        <v/>
      </c>
      <c r="R30" s="9">
        <f>IF($A30="","",IF(NOT(ISNUMBER($K30)),"△ No review date",IF($K30&lt;Dashboard!$B$16,"△ Overdue, was due "&amp;TEXT($K30,"d mmm yyyy"),"Due "&amp;TEXT($K30,"d mmm yyyy"))))</f>
        <v/>
      </c>
      <c r="S30" s="31">
        <f>IF(OR($A30="",NOT(ISNUMBER($O30))),"",$O30-SUMPRODUCT(--(Costs!$B$7:$B$21=$A30),Costs!$C$7:$C$21))</f>
        <v/>
      </c>
      <c r="T30" s="9">
        <f>IF($A30="","",IF($Y30=1,"△ Name used twice",IF($U30=1,"△ Missing a measure, baseline, target, owner or date",IF($AB30=1,"△ A figure is typed as words",IF($W30=1,"△ Worth money, but no line on Costs",IF($AA30=1,"△ Worth a year isn't baseline minus target",IF($V30=1,"△ Read after close, with nobody named to take it",IF($X30=1,"△ No review date, or it has passed",IF($Z30=1,"△ First read has passed, with no Last read or Forecast","○ Clear")))))))))</f>
        <v/>
      </c>
      <c r="U30" s="9">
        <f>IF($A30="",0,IF(COUNTA($C30:$J30)&lt;8,1,0))</f>
        <v/>
      </c>
      <c r="V30" s="9">
        <f>IF($A30="",0,IF(AND(ISNUMBER($H30),ISNUMBER(Dashboard!$B$10),Dashboard!$B$13=""),IF($H30&gt;Dashboard!$B$10,1,0),0))</f>
        <v/>
      </c>
      <c r="W30" s="9">
        <f>IF($A30="",0,IF(AND(ISNUMBER($O30),$O30&gt;0),IF(SUMPRODUCT(--(Costs!$B$7:$B$21=$A30))=0,1,0),0))</f>
        <v/>
      </c>
      <c r="X30" s="9">
        <f>IF($A30="",0,IF(NOT(ISNUMBER($K30)),1,IF($K30&lt;Dashboard!$B$16,1,0)))</f>
        <v/>
      </c>
      <c r="Y30" s="9">
        <f>IF($A30="",0,IF(SUMPRODUCT(--($A$7:$A$46=$A30))&gt;1,1,0))</f>
        <v/>
      </c>
      <c r="Z30" s="9">
        <f>IF($A30="",0,IF(AND(ISNUMBER($J30),$J30&lt;Dashboard!$B$16,OR($L30="",$N30="")),1,0))</f>
        <v/>
      </c>
      <c r="AA30" s="9">
        <f>IF($A30="",0,IF(AND(OR(ISNUMBER(SEARCH("dollar",$D30)),ISNUMBER(SEARCH("USD",$D30)),ISNUMBER(SEARCH("EUR",$D30)),ISNUMBER(SEARCH("GBP",$D30))),ISNUMBER($E30),ISNUMBER($G30),ISNUMBER($O30)),IF(ABS($E30-$G30)&lt;&gt;$O30,1,0),0))</f>
        <v/>
      </c>
      <c r="AB30" s="9">
        <f>IF($A30="",0,IF(OR(AND($E30&lt;&gt;"",NOT(ISNUMBER($E30))),AND($G30&lt;&gt;"",NOT(ISNUMBER($G30))),AND($L30&lt;&gt;"",NOT(ISNUMBER($L30))),AND($N30&lt;&gt;"",NOT(ISNUMBER($N30))),AND($O30&lt;&gt;"",NOT(ISNUMBER($O30)))),1,0))</f>
        <v/>
      </c>
      <c r="AC30" s="9">
        <f>IF($U30+$X30+$Y30+$Z30+$AB30&gt;0,1,0)</f>
        <v/>
      </c>
      <c r="AD30" s="9">
        <f>IF($A30="","",ROW())</f>
        <v/>
      </c>
      <c r="AE30" s="9">
        <f>IF($W30+$AA30&gt;0,1,0)</f>
        <v/>
      </c>
    </row>
    <row r="31" ht="18" customHeight="1">
      <c r="A31" s="27" t="n"/>
      <c r="B31" s="28" t="n"/>
      <c r="C31" s="27" t="n"/>
      <c r="D31" s="28" t="n"/>
      <c r="E31" s="28" t="n"/>
      <c r="F31" s="14" t="n"/>
      <c r="G31" s="28" t="n"/>
      <c r="H31" s="14" t="n"/>
      <c r="I31" s="28" t="n"/>
      <c r="J31" s="14" t="n"/>
      <c r="K31" s="14" t="n"/>
      <c r="L31" s="28" t="n"/>
      <c r="M31" s="14" t="n"/>
      <c r="N31" s="28" t="n"/>
      <c r="O31" s="29" t="n"/>
      <c r="P31" s="30">
        <f>IF(OR($A31="",NOT(ISNUMBER($E31)),NOT(ISNUMBER($G31)),NOT(ISNUMBER($L31))),"",IF($G31=$E31,"",($L31-$E31)/($G31-$E31)))</f>
        <v/>
      </c>
      <c r="Q31" s="9">
        <f>IF($A31="","",IF(OR(NOT(ISNUMBER($E31)),NOT(ISNUMBER($G31)),NOT(ISNUMBER($N31))),"Not read",IF($G31=$E31,"Not read",IF(($N31-$E31)/($G31-$E31)&gt;=1,"□ On track",IF(1-($N31-$E31)/($G31-$E31)&lt;=Dashboard!$H$7,"◧ Amber","■ Red")))))</f>
        <v/>
      </c>
      <c r="R31" s="9">
        <f>IF($A31="","",IF(NOT(ISNUMBER($K31)),"△ No review date",IF($K31&lt;Dashboard!$B$16,"△ Overdue, was due "&amp;TEXT($K31,"d mmm yyyy"),"Due "&amp;TEXT($K31,"d mmm yyyy"))))</f>
        <v/>
      </c>
      <c r="S31" s="31">
        <f>IF(OR($A31="",NOT(ISNUMBER($O31))),"",$O31-SUMPRODUCT(--(Costs!$B$7:$B$21=$A31),Costs!$C$7:$C$21))</f>
        <v/>
      </c>
      <c r="T31" s="9">
        <f>IF($A31="","",IF($Y31=1,"△ Name used twice",IF($U31=1,"△ Missing a measure, baseline, target, owner or date",IF($AB31=1,"△ A figure is typed as words",IF($W31=1,"△ Worth money, but no line on Costs",IF($AA31=1,"△ Worth a year isn't baseline minus target",IF($V31=1,"△ Read after close, with nobody named to take it",IF($X31=1,"△ No review date, or it has passed",IF($Z31=1,"△ First read has passed, with no Last read or Forecast","○ Clear")))))))))</f>
        <v/>
      </c>
      <c r="U31" s="9">
        <f>IF($A31="",0,IF(COUNTA($C31:$J31)&lt;8,1,0))</f>
        <v/>
      </c>
      <c r="V31" s="9">
        <f>IF($A31="",0,IF(AND(ISNUMBER($H31),ISNUMBER(Dashboard!$B$10),Dashboard!$B$13=""),IF($H31&gt;Dashboard!$B$10,1,0),0))</f>
        <v/>
      </c>
      <c r="W31" s="9">
        <f>IF($A31="",0,IF(AND(ISNUMBER($O31),$O31&gt;0),IF(SUMPRODUCT(--(Costs!$B$7:$B$21=$A31))=0,1,0),0))</f>
        <v/>
      </c>
      <c r="X31" s="9">
        <f>IF($A31="",0,IF(NOT(ISNUMBER($K31)),1,IF($K31&lt;Dashboard!$B$16,1,0)))</f>
        <v/>
      </c>
      <c r="Y31" s="9">
        <f>IF($A31="",0,IF(SUMPRODUCT(--($A$7:$A$46=$A31))&gt;1,1,0))</f>
        <v/>
      </c>
      <c r="Z31" s="9">
        <f>IF($A31="",0,IF(AND(ISNUMBER($J31),$J31&lt;Dashboard!$B$16,OR($L31="",$N31="")),1,0))</f>
        <v/>
      </c>
      <c r="AA31" s="9">
        <f>IF($A31="",0,IF(AND(OR(ISNUMBER(SEARCH("dollar",$D31)),ISNUMBER(SEARCH("USD",$D31)),ISNUMBER(SEARCH("EUR",$D31)),ISNUMBER(SEARCH("GBP",$D31))),ISNUMBER($E31),ISNUMBER($G31),ISNUMBER($O31)),IF(ABS($E31-$G31)&lt;&gt;$O31,1,0),0))</f>
        <v/>
      </c>
      <c r="AB31" s="9">
        <f>IF($A31="",0,IF(OR(AND($E31&lt;&gt;"",NOT(ISNUMBER($E31))),AND($G31&lt;&gt;"",NOT(ISNUMBER($G31))),AND($L31&lt;&gt;"",NOT(ISNUMBER($L31))),AND($N31&lt;&gt;"",NOT(ISNUMBER($N31))),AND($O31&lt;&gt;"",NOT(ISNUMBER($O31)))),1,0))</f>
        <v/>
      </c>
      <c r="AC31" s="9">
        <f>IF($U31+$X31+$Y31+$Z31+$AB31&gt;0,1,0)</f>
        <v/>
      </c>
      <c r="AD31" s="9">
        <f>IF($A31="","",ROW())</f>
        <v/>
      </c>
      <c r="AE31" s="9">
        <f>IF($W31+$AA31&gt;0,1,0)</f>
        <v/>
      </c>
    </row>
    <row r="32" ht="18" customHeight="1">
      <c r="A32" s="27" t="n"/>
      <c r="B32" s="28" t="n"/>
      <c r="C32" s="27" t="n"/>
      <c r="D32" s="28" t="n"/>
      <c r="E32" s="28" t="n"/>
      <c r="F32" s="14" t="n"/>
      <c r="G32" s="28" t="n"/>
      <c r="H32" s="14" t="n"/>
      <c r="I32" s="28" t="n"/>
      <c r="J32" s="14" t="n"/>
      <c r="K32" s="14" t="n"/>
      <c r="L32" s="28" t="n"/>
      <c r="M32" s="14" t="n"/>
      <c r="N32" s="28" t="n"/>
      <c r="O32" s="29" t="n"/>
      <c r="P32" s="30">
        <f>IF(OR($A32="",NOT(ISNUMBER($E32)),NOT(ISNUMBER($G32)),NOT(ISNUMBER($L32))),"",IF($G32=$E32,"",($L32-$E32)/($G32-$E32)))</f>
        <v/>
      </c>
      <c r="Q32" s="9">
        <f>IF($A32="","",IF(OR(NOT(ISNUMBER($E32)),NOT(ISNUMBER($G32)),NOT(ISNUMBER($N32))),"Not read",IF($G32=$E32,"Not read",IF(($N32-$E32)/($G32-$E32)&gt;=1,"□ On track",IF(1-($N32-$E32)/($G32-$E32)&lt;=Dashboard!$H$7,"◧ Amber","■ Red")))))</f>
        <v/>
      </c>
      <c r="R32" s="9">
        <f>IF($A32="","",IF(NOT(ISNUMBER($K32)),"△ No review date",IF($K32&lt;Dashboard!$B$16,"△ Overdue, was due "&amp;TEXT($K32,"d mmm yyyy"),"Due "&amp;TEXT($K32,"d mmm yyyy"))))</f>
        <v/>
      </c>
      <c r="S32" s="31">
        <f>IF(OR($A32="",NOT(ISNUMBER($O32))),"",$O32-SUMPRODUCT(--(Costs!$B$7:$B$21=$A32),Costs!$C$7:$C$21))</f>
        <v/>
      </c>
      <c r="T32" s="9">
        <f>IF($A32="","",IF($Y32=1,"△ Name used twice",IF($U32=1,"△ Missing a measure, baseline, target, owner or date",IF($AB32=1,"△ A figure is typed as words",IF($W32=1,"△ Worth money, but no line on Costs",IF($AA32=1,"△ Worth a year isn't baseline minus target",IF($V32=1,"△ Read after close, with nobody named to take it",IF($X32=1,"△ No review date, or it has passed",IF($Z32=1,"△ First read has passed, with no Last read or Forecast","○ Clear")))))))))</f>
        <v/>
      </c>
      <c r="U32" s="9">
        <f>IF($A32="",0,IF(COUNTA($C32:$J32)&lt;8,1,0))</f>
        <v/>
      </c>
      <c r="V32" s="9">
        <f>IF($A32="",0,IF(AND(ISNUMBER($H32),ISNUMBER(Dashboard!$B$10),Dashboard!$B$13=""),IF($H32&gt;Dashboard!$B$10,1,0),0))</f>
        <v/>
      </c>
      <c r="W32" s="9">
        <f>IF($A32="",0,IF(AND(ISNUMBER($O32),$O32&gt;0),IF(SUMPRODUCT(--(Costs!$B$7:$B$21=$A32))=0,1,0),0))</f>
        <v/>
      </c>
      <c r="X32" s="9">
        <f>IF($A32="",0,IF(NOT(ISNUMBER($K32)),1,IF($K32&lt;Dashboard!$B$16,1,0)))</f>
        <v/>
      </c>
      <c r="Y32" s="9">
        <f>IF($A32="",0,IF(SUMPRODUCT(--($A$7:$A$46=$A32))&gt;1,1,0))</f>
        <v/>
      </c>
      <c r="Z32" s="9">
        <f>IF($A32="",0,IF(AND(ISNUMBER($J32),$J32&lt;Dashboard!$B$16,OR($L32="",$N32="")),1,0))</f>
        <v/>
      </c>
      <c r="AA32" s="9">
        <f>IF($A32="",0,IF(AND(OR(ISNUMBER(SEARCH("dollar",$D32)),ISNUMBER(SEARCH("USD",$D32)),ISNUMBER(SEARCH("EUR",$D32)),ISNUMBER(SEARCH("GBP",$D32))),ISNUMBER($E32),ISNUMBER($G32),ISNUMBER($O32)),IF(ABS($E32-$G32)&lt;&gt;$O32,1,0),0))</f>
        <v/>
      </c>
      <c r="AB32" s="9">
        <f>IF($A32="",0,IF(OR(AND($E32&lt;&gt;"",NOT(ISNUMBER($E32))),AND($G32&lt;&gt;"",NOT(ISNUMBER($G32))),AND($L32&lt;&gt;"",NOT(ISNUMBER($L32))),AND($N32&lt;&gt;"",NOT(ISNUMBER($N32))),AND($O32&lt;&gt;"",NOT(ISNUMBER($O32)))),1,0))</f>
        <v/>
      </c>
      <c r="AC32" s="9">
        <f>IF($U32+$X32+$Y32+$Z32+$AB32&gt;0,1,0)</f>
        <v/>
      </c>
      <c r="AD32" s="9">
        <f>IF($A32="","",ROW())</f>
        <v/>
      </c>
      <c r="AE32" s="9">
        <f>IF($W32+$AA32&gt;0,1,0)</f>
        <v/>
      </c>
    </row>
    <row r="33" ht="18" customHeight="1">
      <c r="A33" s="27" t="n"/>
      <c r="B33" s="28" t="n"/>
      <c r="C33" s="27" t="n"/>
      <c r="D33" s="28" t="n"/>
      <c r="E33" s="28" t="n"/>
      <c r="F33" s="14" t="n"/>
      <c r="G33" s="28" t="n"/>
      <c r="H33" s="14" t="n"/>
      <c r="I33" s="28" t="n"/>
      <c r="J33" s="14" t="n"/>
      <c r="K33" s="14" t="n"/>
      <c r="L33" s="28" t="n"/>
      <c r="M33" s="14" t="n"/>
      <c r="N33" s="28" t="n"/>
      <c r="O33" s="29" t="n"/>
      <c r="P33" s="30">
        <f>IF(OR($A33="",NOT(ISNUMBER($E33)),NOT(ISNUMBER($G33)),NOT(ISNUMBER($L33))),"",IF($G33=$E33,"",($L33-$E33)/($G33-$E33)))</f>
        <v/>
      </c>
      <c r="Q33" s="9">
        <f>IF($A33="","",IF(OR(NOT(ISNUMBER($E33)),NOT(ISNUMBER($G33)),NOT(ISNUMBER($N33))),"Not read",IF($G33=$E33,"Not read",IF(($N33-$E33)/($G33-$E33)&gt;=1,"□ On track",IF(1-($N33-$E33)/($G33-$E33)&lt;=Dashboard!$H$7,"◧ Amber","■ Red")))))</f>
        <v/>
      </c>
      <c r="R33" s="9">
        <f>IF($A33="","",IF(NOT(ISNUMBER($K33)),"△ No review date",IF($K33&lt;Dashboard!$B$16,"△ Overdue, was due "&amp;TEXT($K33,"d mmm yyyy"),"Due "&amp;TEXT($K33,"d mmm yyyy"))))</f>
        <v/>
      </c>
      <c r="S33" s="31">
        <f>IF(OR($A33="",NOT(ISNUMBER($O33))),"",$O33-SUMPRODUCT(--(Costs!$B$7:$B$21=$A33),Costs!$C$7:$C$21))</f>
        <v/>
      </c>
      <c r="T33" s="9">
        <f>IF($A33="","",IF($Y33=1,"△ Name used twice",IF($U33=1,"△ Missing a measure, baseline, target, owner or date",IF($AB33=1,"△ A figure is typed as words",IF($W33=1,"△ Worth money, but no line on Costs",IF($AA33=1,"△ Worth a year isn't baseline minus target",IF($V33=1,"△ Read after close, with nobody named to take it",IF($X33=1,"△ No review date, or it has passed",IF($Z33=1,"△ First read has passed, with no Last read or Forecast","○ Clear")))))))))</f>
        <v/>
      </c>
      <c r="U33" s="9">
        <f>IF($A33="",0,IF(COUNTA($C33:$J33)&lt;8,1,0))</f>
        <v/>
      </c>
      <c r="V33" s="9">
        <f>IF($A33="",0,IF(AND(ISNUMBER($H33),ISNUMBER(Dashboard!$B$10),Dashboard!$B$13=""),IF($H33&gt;Dashboard!$B$10,1,0),0))</f>
        <v/>
      </c>
      <c r="W33" s="9">
        <f>IF($A33="",0,IF(AND(ISNUMBER($O33),$O33&gt;0),IF(SUMPRODUCT(--(Costs!$B$7:$B$21=$A33))=0,1,0),0))</f>
        <v/>
      </c>
      <c r="X33" s="9">
        <f>IF($A33="",0,IF(NOT(ISNUMBER($K33)),1,IF($K33&lt;Dashboard!$B$16,1,0)))</f>
        <v/>
      </c>
      <c r="Y33" s="9">
        <f>IF($A33="",0,IF(SUMPRODUCT(--($A$7:$A$46=$A33))&gt;1,1,0))</f>
        <v/>
      </c>
      <c r="Z33" s="9">
        <f>IF($A33="",0,IF(AND(ISNUMBER($J33),$J33&lt;Dashboard!$B$16,OR($L33="",$N33="")),1,0))</f>
        <v/>
      </c>
      <c r="AA33" s="9">
        <f>IF($A33="",0,IF(AND(OR(ISNUMBER(SEARCH("dollar",$D33)),ISNUMBER(SEARCH("USD",$D33)),ISNUMBER(SEARCH("EUR",$D33)),ISNUMBER(SEARCH("GBP",$D33))),ISNUMBER($E33),ISNUMBER($G33),ISNUMBER($O33)),IF(ABS($E33-$G33)&lt;&gt;$O33,1,0),0))</f>
        <v/>
      </c>
      <c r="AB33" s="9">
        <f>IF($A33="",0,IF(OR(AND($E33&lt;&gt;"",NOT(ISNUMBER($E33))),AND($G33&lt;&gt;"",NOT(ISNUMBER($G33))),AND($L33&lt;&gt;"",NOT(ISNUMBER($L33))),AND($N33&lt;&gt;"",NOT(ISNUMBER($N33))),AND($O33&lt;&gt;"",NOT(ISNUMBER($O33)))),1,0))</f>
        <v/>
      </c>
      <c r="AC33" s="9">
        <f>IF($U33+$X33+$Y33+$Z33+$AB33&gt;0,1,0)</f>
        <v/>
      </c>
      <c r="AD33" s="9">
        <f>IF($A33="","",ROW())</f>
        <v/>
      </c>
      <c r="AE33" s="9">
        <f>IF($W33+$AA33&gt;0,1,0)</f>
        <v/>
      </c>
    </row>
    <row r="34" ht="18" customHeight="1">
      <c r="A34" s="27" t="n"/>
      <c r="B34" s="28" t="n"/>
      <c r="C34" s="27" t="n"/>
      <c r="D34" s="28" t="n"/>
      <c r="E34" s="28" t="n"/>
      <c r="F34" s="14" t="n"/>
      <c r="G34" s="28" t="n"/>
      <c r="H34" s="14" t="n"/>
      <c r="I34" s="28" t="n"/>
      <c r="J34" s="14" t="n"/>
      <c r="K34" s="14" t="n"/>
      <c r="L34" s="28" t="n"/>
      <c r="M34" s="14" t="n"/>
      <c r="N34" s="28" t="n"/>
      <c r="O34" s="29" t="n"/>
      <c r="P34" s="30">
        <f>IF(OR($A34="",NOT(ISNUMBER($E34)),NOT(ISNUMBER($G34)),NOT(ISNUMBER($L34))),"",IF($G34=$E34,"",($L34-$E34)/($G34-$E34)))</f>
        <v/>
      </c>
      <c r="Q34" s="9">
        <f>IF($A34="","",IF(OR(NOT(ISNUMBER($E34)),NOT(ISNUMBER($G34)),NOT(ISNUMBER($N34))),"Not read",IF($G34=$E34,"Not read",IF(($N34-$E34)/($G34-$E34)&gt;=1,"□ On track",IF(1-($N34-$E34)/($G34-$E34)&lt;=Dashboard!$H$7,"◧ Amber","■ Red")))))</f>
        <v/>
      </c>
      <c r="R34" s="9">
        <f>IF($A34="","",IF(NOT(ISNUMBER($K34)),"△ No review date",IF($K34&lt;Dashboard!$B$16,"△ Overdue, was due "&amp;TEXT($K34,"d mmm yyyy"),"Due "&amp;TEXT($K34,"d mmm yyyy"))))</f>
        <v/>
      </c>
      <c r="S34" s="31">
        <f>IF(OR($A34="",NOT(ISNUMBER($O34))),"",$O34-SUMPRODUCT(--(Costs!$B$7:$B$21=$A34),Costs!$C$7:$C$21))</f>
        <v/>
      </c>
      <c r="T34" s="9">
        <f>IF($A34="","",IF($Y34=1,"△ Name used twice",IF($U34=1,"△ Missing a measure, baseline, target, owner or date",IF($AB34=1,"△ A figure is typed as words",IF($W34=1,"△ Worth money, but no line on Costs",IF($AA34=1,"△ Worth a year isn't baseline minus target",IF($V34=1,"△ Read after close, with nobody named to take it",IF($X34=1,"△ No review date, or it has passed",IF($Z34=1,"△ First read has passed, with no Last read or Forecast","○ Clear")))))))))</f>
        <v/>
      </c>
      <c r="U34" s="9">
        <f>IF($A34="",0,IF(COUNTA($C34:$J34)&lt;8,1,0))</f>
        <v/>
      </c>
      <c r="V34" s="9">
        <f>IF($A34="",0,IF(AND(ISNUMBER($H34),ISNUMBER(Dashboard!$B$10),Dashboard!$B$13=""),IF($H34&gt;Dashboard!$B$10,1,0),0))</f>
        <v/>
      </c>
      <c r="W34" s="9">
        <f>IF($A34="",0,IF(AND(ISNUMBER($O34),$O34&gt;0),IF(SUMPRODUCT(--(Costs!$B$7:$B$21=$A34))=0,1,0),0))</f>
        <v/>
      </c>
      <c r="X34" s="9">
        <f>IF($A34="",0,IF(NOT(ISNUMBER($K34)),1,IF($K34&lt;Dashboard!$B$16,1,0)))</f>
        <v/>
      </c>
      <c r="Y34" s="9">
        <f>IF($A34="",0,IF(SUMPRODUCT(--($A$7:$A$46=$A34))&gt;1,1,0))</f>
        <v/>
      </c>
      <c r="Z34" s="9">
        <f>IF($A34="",0,IF(AND(ISNUMBER($J34),$J34&lt;Dashboard!$B$16,OR($L34="",$N34="")),1,0))</f>
        <v/>
      </c>
      <c r="AA34" s="9">
        <f>IF($A34="",0,IF(AND(OR(ISNUMBER(SEARCH("dollar",$D34)),ISNUMBER(SEARCH("USD",$D34)),ISNUMBER(SEARCH("EUR",$D34)),ISNUMBER(SEARCH("GBP",$D34))),ISNUMBER($E34),ISNUMBER($G34),ISNUMBER($O34)),IF(ABS($E34-$G34)&lt;&gt;$O34,1,0),0))</f>
        <v/>
      </c>
      <c r="AB34" s="9">
        <f>IF($A34="",0,IF(OR(AND($E34&lt;&gt;"",NOT(ISNUMBER($E34))),AND($G34&lt;&gt;"",NOT(ISNUMBER($G34))),AND($L34&lt;&gt;"",NOT(ISNUMBER($L34))),AND($N34&lt;&gt;"",NOT(ISNUMBER($N34))),AND($O34&lt;&gt;"",NOT(ISNUMBER($O34)))),1,0))</f>
        <v/>
      </c>
      <c r="AC34" s="9">
        <f>IF($U34+$X34+$Y34+$Z34+$AB34&gt;0,1,0)</f>
        <v/>
      </c>
      <c r="AD34" s="9">
        <f>IF($A34="","",ROW())</f>
        <v/>
      </c>
      <c r="AE34" s="9">
        <f>IF($W34+$AA34&gt;0,1,0)</f>
        <v/>
      </c>
    </row>
    <row r="35" ht="18" customHeight="1">
      <c r="A35" s="27" t="n"/>
      <c r="B35" s="28" t="n"/>
      <c r="C35" s="27" t="n"/>
      <c r="D35" s="28" t="n"/>
      <c r="E35" s="28" t="n"/>
      <c r="F35" s="14" t="n"/>
      <c r="G35" s="28" t="n"/>
      <c r="H35" s="14" t="n"/>
      <c r="I35" s="28" t="n"/>
      <c r="J35" s="14" t="n"/>
      <c r="K35" s="14" t="n"/>
      <c r="L35" s="28" t="n"/>
      <c r="M35" s="14" t="n"/>
      <c r="N35" s="28" t="n"/>
      <c r="O35" s="29" t="n"/>
      <c r="P35" s="30">
        <f>IF(OR($A35="",NOT(ISNUMBER($E35)),NOT(ISNUMBER($G35)),NOT(ISNUMBER($L35))),"",IF($G35=$E35,"",($L35-$E35)/($G35-$E35)))</f>
        <v/>
      </c>
      <c r="Q35" s="9">
        <f>IF($A35="","",IF(OR(NOT(ISNUMBER($E35)),NOT(ISNUMBER($G35)),NOT(ISNUMBER($N35))),"Not read",IF($G35=$E35,"Not read",IF(($N35-$E35)/($G35-$E35)&gt;=1,"□ On track",IF(1-($N35-$E35)/($G35-$E35)&lt;=Dashboard!$H$7,"◧ Amber","■ Red")))))</f>
        <v/>
      </c>
      <c r="R35" s="9">
        <f>IF($A35="","",IF(NOT(ISNUMBER($K35)),"△ No review date",IF($K35&lt;Dashboard!$B$16,"△ Overdue, was due "&amp;TEXT($K35,"d mmm yyyy"),"Due "&amp;TEXT($K35,"d mmm yyyy"))))</f>
        <v/>
      </c>
      <c r="S35" s="31">
        <f>IF(OR($A35="",NOT(ISNUMBER($O35))),"",$O35-SUMPRODUCT(--(Costs!$B$7:$B$21=$A35),Costs!$C$7:$C$21))</f>
        <v/>
      </c>
      <c r="T35" s="9">
        <f>IF($A35="","",IF($Y35=1,"△ Name used twice",IF($U35=1,"△ Missing a measure, baseline, target, owner or date",IF($AB35=1,"△ A figure is typed as words",IF($W35=1,"△ Worth money, but no line on Costs",IF($AA35=1,"△ Worth a year isn't baseline minus target",IF($V35=1,"△ Read after close, with nobody named to take it",IF($X35=1,"△ No review date, or it has passed",IF($Z35=1,"△ First read has passed, with no Last read or Forecast","○ Clear")))))))))</f>
        <v/>
      </c>
      <c r="U35" s="9">
        <f>IF($A35="",0,IF(COUNTA($C35:$J35)&lt;8,1,0))</f>
        <v/>
      </c>
      <c r="V35" s="9">
        <f>IF($A35="",0,IF(AND(ISNUMBER($H35),ISNUMBER(Dashboard!$B$10),Dashboard!$B$13=""),IF($H35&gt;Dashboard!$B$10,1,0),0))</f>
        <v/>
      </c>
      <c r="W35" s="9">
        <f>IF($A35="",0,IF(AND(ISNUMBER($O35),$O35&gt;0),IF(SUMPRODUCT(--(Costs!$B$7:$B$21=$A35))=0,1,0),0))</f>
        <v/>
      </c>
      <c r="X35" s="9">
        <f>IF($A35="",0,IF(NOT(ISNUMBER($K35)),1,IF($K35&lt;Dashboard!$B$16,1,0)))</f>
        <v/>
      </c>
      <c r="Y35" s="9">
        <f>IF($A35="",0,IF(SUMPRODUCT(--($A$7:$A$46=$A35))&gt;1,1,0))</f>
        <v/>
      </c>
      <c r="Z35" s="9">
        <f>IF($A35="",0,IF(AND(ISNUMBER($J35),$J35&lt;Dashboard!$B$16,OR($L35="",$N35="")),1,0))</f>
        <v/>
      </c>
      <c r="AA35" s="9">
        <f>IF($A35="",0,IF(AND(OR(ISNUMBER(SEARCH("dollar",$D35)),ISNUMBER(SEARCH("USD",$D35)),ISNUMBER(SEARCH("EUR",$D35)),ISNUMBER(SEARCH("GBP",$D35))),ISNUMBER($E35),ISNUMBER($G35),ISNUMBER($O35)),IF(ABS($E35-$G35)&lt;&gt;$O35,1,0),0))</f>
        <v/>
      </c>
      <c r="AB35" s="9">
        <f>IF($A35="",0,IF(OR(AND($E35&lt;&gt;"",NOT(ISNUMBER($E35))),AND($G35&lt;&gt;"",NOT(ISNUMBER($G35))),AND($L35&lt;&gt;"",NOT(ISNUMBER($L35))),AND($N35&lt;&gt;"",NOT(ISNUMBER($N35))),AND($O35&lt;&gt;"",NOT(ISNUMBER($O35)))),1,0))</f>
        <v/>
      </c>
      <c r="AC35" s="9">
        <f>IF($U35+$X35+$Y35+$Z35+$AB35&gt;0,1,0)</f>
        <v/>
      </c>
      <c r="AD35" s="9">
        <f>IF($A35="","",ROW())</f>
        <v/>
      </c>
      <c r="AE35" s="9">
        <f>IF($W35+$AA35&gt;0,1,0)</f>
        <v/>
      </c>
    </row>
    <row r="36" ht="18" customHeight="1">
      <c r="A36" s="27" t="n"/>
      <c r="B36" s="28" t="n"/>
      <c r="C36" s="27" t="n"/>
      <c r="D36" s="28" t="n"/>
      <c r="E36" s="28" t="n"/>
      <c r="F36" s="14" t="n"/>
      <c r="G36" s="28" t="n"/>
      <c r="H36" s="14" t="n"/>
      <c r="I36" s="28" t="n"/>
      <c r="J36" s="14" t="n"/>
      <c r="K36" s="14" t="n"/>
      <c r="L36" s="28" t="n"/>
      <c r="M36" s="14" t="n"/>
      <c r="N36" s="28" t="n"/>
      <c r="O36" s="29" t="n"/>
      <c r="P36" s="30">
        <f>IF(OR($A36="",NOT(ISNUMBER($E36)),NOT(ISNUMBER($G36)),NOT(ISNUMBER($L36))),"",IF($G36=$E36,"",($L36-$E36)/($G36-$E36)))</f>
        <v/>
      </c>
      <c r="Q36" s="9">
        <f>IF($A36="","",IF(OR(NOT(ISNUMBER($E36)),NOT(ISNUMBER($G36)),NOT(ISNUMBER($N36))),"Not read",IF($G36=$E36,"Not read",IF(($N36-$E36)/($G36-$E36)&gt;=1,"□ On track",IF(1-($N36-$E36)/($G36-$E36)&lt;=Dashboard!$H$7,"◧ Amber","■ Red")))))</f>
        <v/>
      </c>
      <c r="R36" s="9">
        <f>IF($A36="","",IF(NOT(ISNUMBER($K36)),"△ No review date",IF($K36&lt;Dashboard!$B$16,"△ Overdue, was due "&amp;TEXT($K36,"d mmm yyyy"),"Due "&amp;TEXT($K36,"d mmm yyyy"))))</f>
        <v/>
      </c>
      <c r="S36" s="31">
        <f>IF(OR($A36="",NOT(ISNUMBER($O36))),"",$O36-SUMPRODUCT(--(Costs!$B$7:$B$21=$A36),Costs!$C$7:$C$21))</f>
        <v/>
      </c>
      <c r="T36" s="9">
        <f>IF($A36="","",IF($Y36=1,"△ Name used twice",IF($U36=1,"△ Missing a measure, baseline, target, owner or date",IF($AB36=1,"△ A figure is typed as words",IF($W36=1,"△ Worth money, but no line on Costs",IF($AA36=1,"△ Worth a year isn't baseline minus target",IF($V36=1,"△ Read after close, with nobody named to take it",IF($X36=1,"△ No review date, or it has passed",IF($Z36=1,"△ First read has passed, with no Last read or Forecast","○ Clear")))))))))</f>
        <v/>
      </c>
      <c r="U36" s="9">
        <f>IF($A36="",0,IF(COUNTA($C36:$J36)&lt;8,1,0))</f>
        <v/>
      </c>
      <c r="V36" s="9">
        <f>IF($A36="",0,IF(AND(ISNUMBER($H36),ISNUMBER(Dashboard!$B$10),Dashboard!$B$13=""),IF($H36&gt;Dashboard!$B$10,1,0),0))</f>
        <v/>
      </c>
      <c r="W36" s="9">
        <f>IF($A36="",0,IF(AND(ISNUMBER($O36),$O36&gt;0),IF(SUMPRODUCT(--(Costs!$B$7:$B$21=$A36))=0,1,0),0))</f>
        <v/>
      </c>
      <c r="X36" s="9">
        <f>IF($A36="",0,IF(NOT(ISNUMBER($K36)),1,IF($K36&lt;Dashboard!$B$16,1,0)))</f>
        <v/>
      </c>
      <c r="Y36" s="9">
        <f>IF($A36="",0,IF(SUMPRODUCT(--($A$7:$A$46=$A36))&gt;1,1,0))</f>
        <v/>
      </c>
      <c r="Z36" s="9">
        <f>IF($A36="",0,IF(AND(ISNUMBER($J36),$J36&lt;Dashboard!$B$16,OR($L36="",$N36="")),1,0))</f>
        <v/>
      </c>
      <c r="AA36" s="9">
        <f>IF($A36="",0,IF(AND(OR(ISNUMBER(SEARCH("dollar",$D36)),ISNUMBER(SEARCH("USD",$D36)),ISNUMBER(SEARCH("EUR",$D36)),ISNUMBER(SEARCH("GBP",$D36))),ISNUMBER($E36),ISNUMBER($G36),ISNUMBER($O36)),IF(ABS($E36-$G36)&lt;&gt;$O36,1,0),0))</f>
        <v/>
      </c>
      <c r="AB36" s="9">
        <f>IF($A36="",0,IF(OR(AND($E36&lt;&gt;"",NOT(ISNUMBER($E36))),AND($G36&lt;&gt;"",NOT(ISNUMBER($G36))),AND($L36&lt;&gt;"",NOT(ISNUMBER($L36))),AND($N36&lt;&gt;"",NOT(ISNUMBER($N36))),AND($O36&lt;&gt;"",NOT(ISNUMBER($O36)))),1,0))</f>
        <v/>
      </c>
      <c r="AC36" s="9">
        <f>IF($U36+$X36+$Y36+$Z36+$AB36&gt;0,1,0)</f>
        <v/>
      </c>
      <c r="AD36" s="9">
        <f>IF($A36="","",ROW())</f>
        <v/>
      </c>
      <c r="AE36" s="9">
        <f>IF($W36+$AA36&gt;0,1,0)</f>
        <v/>
      </c>
    </row>
    <row r="37" ht="18" customHeight="1">
      <c r="A37" s="27" t="n"/>
      <c r="B37" s="28" t="n"/>
      <c r="C37" s="27" t="n"/>
      <c r="D37" s="28" t="n"/>
      <c r="E37" s="28" t="n"/>
      <c r="F37" s="14" t="n"/>
      <c r="G37" s="28" t="n"/>
      <c r="H37" s="14" t="n"/>
      <c r="I37" s="28" t="n"/>
      <c r="J37" s="14" t="n"/>
      <c r="K37" s="14" t="n"/>
      <c r="L37" s="28" t="n"/>
      <c r="M37" s="14" t="n"/>
      <c r="N37" s="28" t="n"/>
      <c r="O37" s="29" t="n"/>
      <c r="P37" s="30">
        <f>IF(OR($A37="",NOT(ISNUMBER($E37)),NOT(ISNUMBER($G37)),NOT(ISNUMBER($L37))),"",IF($G37=$E37,"",($L37-$E37)/($G37-$E37)))</f>
        <v/>
      </c>
      <c r="Q37" s="9">
        <f>IF($A37="","",IF(OR(NOT(ISNUMBER($E37)),NOT(ISNUMBER($G37)),NOT(ISNUMBER($N37))),"Not read",IF($G37=$E37,"Not read",IF(($N37-$E37)/($G37-$E37)&gt;=1,"□ On track",IF(1-($N37-$E37)/($G37-$E37)&lt;=Dashboard!$H$7,"◧ Amber","■ Red")))))</f>
        <v/>
      </c>
      <c r="R37" s="9">
        <f>IF($A37="","",IF(NOT(ISNUMBER($K37)),"△ No review date",IF($K37&lt;Dashboard!$B$16,"△ Overdue, was due "&amp;TEXT($K37,"d mmm yyyy"),"Due "&amp;TEXT($K37,"d mmm yyyy"))))</f>
        <v/>
      </c>
      <c r="S37" s="31">
        <f>IF(OR($A37="",NOT(ISNUMBER($O37))),"",$O37-SUMPRODUCT(--(Costs!$B$7:$B$21=$A37),Costs!$C$7:$C$21))</f>
        <v/>
      </c>
      <c r="T37" s="9">
        <f>IF($A37="","",IF($Y37=1,"△ Name used twice",IF($U37=1,"△ Missing a measure, baseline, target, owner or date",IF($AB37=1,"△ A figure is typed as words",IF($W37=1,"△ Worth money, but no line on Costs",IF($AA37=1,"△ Worth a year isn't baseline minus target",IF($V37=1,"△ Read after close, with nobody named to take it",IF($X37=1,"△ No review date, or it has passed",IF($Z37=1,"△ First read has passed, with no Last read or Forecast","○ Clear")))))))))</f>
        <v/>
      </c>
      <c r="U37" s="9">
        <f>IF($A37="",0,IF(COUNTA($C37:$J37)&lt;8,1,0))</f>
        <v/>
      </c>
      <c r="V37" s="9">
        <f>IF($A37="",0,IF(AND(ISNUMBER($H37),ISNUMBER(Dashboard!$B$10),Dashboard!$B$13=""),IF($H37&gt;Dashboard!$B$10,1,0),0))</f>
        <v/>
      </c>
      <c r="W37" s="9">
        <f>IF($A37="",0,IF(AND(ISNUMBER($O37),$O37&gt;0),IF(SUMPRODUCT(--(Costs!$B$7:$B$21=$A37))=0,1,0),0))</f>
        <v/>
      </c>
      <c r="X37" s="9">
        <f>IF($A37="",0,IF(NOT(ISNUMBER($K37)),1,IF($K37&lt;Dashboard!$B$16,1,0)))</f>
        <v/>
      </c>
      <c r="Y37" s="9">
        <f>IF($A37="",0,IF(SUMPRODUCT(--($A$7:$A$46=$A37))&gt;1,1,0))</f>
        <v/>
      </c>
      <c r="Z37" s="9">
        <f>IF($A37="",0,IF(AND(ISNUMBER($J37),$J37&lt;Dashboard!$B$16,OR($L37="",$N37="")),1,0))</f>
        <v/>
      </c>
      <c r="AA37" s="9">
        <f>IF($A37="",0,IF(AND(OR(ISNUMBER(SEARCH("dollar",$D37)),ISNUMBER(SEARCH("USD",$D37)),ISNUMBER(SEARCH("EUR",$D37)),ISNUMBER(SEARCH("GBP",$D37))),ISNUMBER($E37),ISNUMBER($G37),ISNUMBER($O37)),IF(ABS($E37-$G37)&lt;&gt;$O37,1,0),0))</f>
        <v/>
      </c>
      <c r="AB37" s="9">
        <f>IF($A37="",0,IF(OR(AND($E37&lt;&gt;"",NOT(ISNUMBER($E37))),AND($G37&lt;&gt;"",NOT(ISNUMBER($G37))),AND($L37&lt;&gt;"",NOT(ISNUMBER($L37))),AND($N37&lt;&gt;"",NOT(ISNUMBER($N37))),AND($O37&lt;&gt;"",NOT(ISNUMBER($O37)))),1,0))</f>
        <v/>
      </c>
      <c r="AC37" s="9">
        <f>IF($U37+$X37+$Y37+$Z37+$AB37&gt;0,1,0)</f>
        <v/>
      </c>
      <c r="AD37" s="9">
        <f>IF($A37="","",ROW())</f>
        <v/>
      </c>
      <c r="AE37" s="9">
        <f>IF($W37+$AA37&gt;0,1,0)</f>
        <v/>
      </c>
    </row>
    <row r="38" ht="18" customHeight="1">
      <c r="A38" s="27" t="n"/>
      <c r="B38" s="28" t="n"/>
      <c r="C38" s="27" t="n"/>
      <c r="D38" s="28" t="n"/>
      <c r="E38" s="28" t="n"/>
      <c r="F38" s="14" t="n"/>
      <c r="G38" s="28" t="n"/>
      <c r="H38" s="14" t="n"/>
      <c r="I38" s="28" t="n"/>
      <c r="J38" s="14" t="n"/>
      <c r="K38" s="14" t="n"/>
      <c r="L38" s="28" t="n"/>
      <c r="M38" s="14" t="n"/>
      <c r="N38" s="28" t="n"/>
      <c r="O38" s="29" t="n"/>
      <c r="P38" s="30">
        <f>IF(OR($A38="",NOT(ISNUMBER($E38)),NOT(ISNUMBER($G38)),NOT(ISNUMBER($L38))),"",IF($G38=$E38,"",($L38-$E38)/($G38-$E38)))</f>
        <v/>
      </c>
      <c r="Q38" s="9">
        <f>IF($A38="","",IF(OR(NOT(ISNUMBER($E38)),NOT(ISNUMBER($G38)),NOT(ISNUMBER($N38))),"Not read",IF($G38=$E38,"Not read",IF(($N38-$E38)/($G38-$E38)&gt;=1,"□ On track",IF(1-($N38-$E38)/($G38-$E38)&lt;=Dashboard!$H$7,"◧ Amber","■ Red")))))</f>
        <v/>
      </c>
      <c r="R38" s="9">
        <f>IF($A38="","",IF(NOT(ISNUMBER($K38)),"△ No review date",IF($K38&lt;Dashboard!$B$16,"△ Overdue, was due "&amp;TEXT($K38,"d mmm yyyy"),"Due "&amp;TEXT($K38,"d mmm yyyy"))))</f>
        <v/>
      </c>
      <c r="S38" s="31">
        <f>IF(OR($A38="",NOT(ISNUMBER($O38))),"",$O38-SUMPRODUCT(--(Costs!$B$7:$B$21=$A38),Costs!$C$7:$C$21))</f>
        <v/>
      </c>
      <c r="T38" s="9">
        <f>IF($A38="","",IF($Y38=1,"△ Name used twice",IF($U38=1,"△ Missing a measure, baseline, target, owner or date",IF($AB38=1,"△ A figure is typed as words",IF($W38=1,"△ Worth money, but no line on Costs",IF($AA38=1,"△ Worth a year isn't baseline minus target",IF($V38=1,"△ Read after close, with nobody named to take it",IF($X38=1,"△ No review date, or it has passed",IF($Z38=1,"△ First read has passed, with no Last read or Forecast","○ Clear")))))))))</f>
        <v/>
      </c>
      <c r="U38" s="9">
        <f>IF($A38="",0,IF(COUNTA($C38:$J38)&lt;8,1,0))</f>
        <v/>
      </c>
      <c r="V38" s="9">
        <f>IF($A38="",0,IF(AND(ISNUMBER($H38),ISNUMBER(Dashboard!$B$10),Dashboard!$B$13=""),IF($H38&gt;Dashboard!$B$10,1,0),0))</f>
        <v/>
      </c>
      <c r="W38" s="9">
        <f>IF($A38="",0,IF(AND(ISNUMBER($O38),$O38&gt;0),IF(SUMPRODUCT(--(Costs!$B$7:$B$21=$A38))=0,1,0),0))</f>
        <v/>
      </c>
      <c r="X38" s="9">
        <f>IF($A38="",0,IF(NOT(ISNUMBER($K38)),1,IF($K38&lt;Dashboard!$B$16,1,0)))</f>
        <v/>
      </c>
      <c r="Y38" s="9">
        <f>IF($A38="",0,IF(SUMPRODUCT(--($A$7:$A$46=$A38))&gt;1,1,0))</f>
        <v/>
      </c>
      <c r="Z38" s="9">
        <f>IF($A38="",0,IF(AND(ISNUMBER($J38),$J38&lt;Dashboard!$B$16,OR($L38="",$N38="")),1,0))</f>
        <v/>
      </c>
      <c r="AA38" s="9">
        <f>IF($A38="",0,IF(AND(OR(ISNUMBER(SEARCH("dollar",$D38)),ISNUMBER(SEARCH("USD",$D38)),ISNUMBER(SEARCH("EUR",$D38)),ISNUMBER(SEARCH("GBP",$D38))),ISNUMBER($E38),ISNUMBER($G38),ISNUMBER($O38)),IF(ABS($E38-$G38)&lt;&gt;$O38,1,0),0))</f>
        <v/>
      </c>
      <c r="AB38" s="9">
        <f>IF($A38="",0,IF(OR(AND($E38&lt;&gt;"",NOT(ISNUMBER($E38))),AND($G38&lt;&gt;"",NOT(ISNUMBER($G38))),AND($L38&lt;&gt;"",NOT(ISNUMBER($L38))),AND($N38&lt;&gt;"",NOT(ISNUMBER($N38))),AND($O38&lt;&gt;"",NOT(ISNUMBER($O38)))),1,0))</f>
        <v/>
      </c>
      <c r="AC38" s="9">
        <f>IF($U38+$X38+$Y38+$Z38+$AB38&gt;0,1,0)</f>
        <v/>
      </c>
      <c r="AD38" s="9">
        <f>IF($A38="","",ROW())</f>
        <v/>
      </c>
      <c r="AE38" s="9">
        <f>IF($W38+$AA38&gt;0,1,0)</f>
        <v/>
      </c>
    </row>
    <row r="39" ht="18" customHeight="1">
      <c r="A39" s="27" t="n"/>
      <c r="B39" s="28" t="n"/>
      <c r="C39" s="27" t="n"/>
      <c r="D39" s="28" t="n"/>
      <c r="E39" s="28" t="n"/>
      <c r="F39" s="14" t="n"/>
      <c r="G39" s="28" t="n"/>
      <c r="H39" s="14" t="n"/>
      <c r="I39" s="28" t="n"/>
      <c r="J39" s="14" t="n"/>
      <c r="K39" s="14" t="n"/>
      <c r="L39" s="28" t="n"/>
      <c r="M39" s="14" t="n"/>
      <c r="N39" s="28" t="n"/>
      <c r="O39" s="29" t="n"/>
      <c r="P39" s="30">
        <f>IF(OR($A39="",NOT(ISNUMBER($E39)),NOT(ISNUMBER($G39)),NOT(ISNUMBER($L39))),"",IF($G39=$E39,"",($L39-$E39)/($G39-$E39)))</f>
        <v/>
      </c>
      <c r="Q39" s="9">
        <f>IF($A39="","",IF(OR(NOT(ISNUMBER($E39)),NOT(ISNUMBER($G39)),NOT(ISNUMBER($N39))),"Not read",IF($G39=$E39,"Not read",IF(($N39-$E39)/($G39-$E39)&gt;=1,"□ On track",IF(1-($N39-$E39)/($G39-$E39)&lt;=Dashboard!$H$7,"◧ Amber","■ Red")))))</f>
        <v/>
      </c>
      <c r="R39" s="9">
        <f>IF($A39="","",IF(NOT(ISNUMBER($K39)),"△ No review date",IF($K39&lt;Dashboard!$B$16,"△ Overdue, was due "&amp;TEXT($K39,"d mmm yyyy"),"Due "&amp;TEXT($K39,"d mmm yyyy"))))</f>
        <v/>
      </c>
      <c r="S39" s="31">
        <f>IF(OR($A39="",NOT(ISNUMBER($O39))),"",$O39-SUMPRODUCT(--(Costs!$B$7:$B$21=$A39),Costs!$C$7:$C$21))</f>
        <v/>
      </c>
      <c r="T39" s="9">
        <f>IF($A39="","",IF($Y39=1,"△ Name used twice",IF($U39=1,"△ Missing a measure, baseline, target, owner or date",IF($AB39=1,"△ A figure is typed as words",IF($W39=1,"△ Worth money, but no line on Costs",IF($AA39=1,"△ Worth a year isn't baseline minus target",IF($V39=1,"△ Read after close, with nobody named to take it",IF($X39=1,"△ No review date, or it has passed",IF($Z39=1,"△ First read has passed, with no Last read or Forecast","○ Clear")))))))))</f>
        <v/>
      </c>
      <c r="U39" s="9">
        <f>IF($A39="",0,IF(COUNTA($C39:$J39)&lt;8,1,0))</f>
        <v/>
      </c>
      <c r="V39" s="9">
        <f>IF($A39="",0,IF(AND(ISNUMBER($H39),ISNUMBER(Dashboard!$B$10),Dashboard!$B$13=""),IF($H39&gt;Dashboard!$B$10,1,0),0))</f>
        <v/>
      </c>
      <c r="W39" s="9">
        <f>IF($A39="",0,IF(AND(ISNUMBER($O39),$O39&gt;0),IF(SUMPRODUCT(--(Costs!$B$7:$B$21=$A39))=0,1,0),0))</f>
        <v/>
      </c>
      <c r="X39" s="9">
        <f>IF($A39="",0,IF(NOT(ISNUMBER($K39)),1,IF($K39&lt;Dashboard!$B$16,1,0)))</f>
        <v/>
      </c>
      <c r="Y39" s="9">
        <f>IF($A39="",0,IF(SUMPRODUCT(--($A$7:$A$46=$A39))&gt;1,1,0))</f>
        <v/>
      </c>
      <c r="Z39" s="9">
        <f>IF($A39="",0,IF(AND(ISNUMBER($J39),$J39&lt;Dashboard!$B$16,OR($L39="",$N39="")),1,0))</f>
        <v/>
      </c>
      <c r="AA39" s="9">
        <f>IF($A39="",0,IF(AND(OR(ISNUMBER(SEARCH("dollar",$D39)),ISNUMBER(SEARCH("USD",$D39)),ISNUMBER(SEARCH("EUR",$D39)),ISNUMBER(SEARCH("GBP",$D39))),ISNUMBER($E39),ISNUMBER($G39),ISNUMBER($O39)),IF(ABS($E39-$G39)&lt;&gt;$O39,1,0),0))</f>
        <v/>
      </c>
      <c r="AB39" s="9">
        <f>IF($A39="",0,IF(OR(AND($E39&lt;&gt;"",NOT(ISNUMBER($E39))),AND($G39&lt;&gt;"",NOT(ISNUMBER($G39))),AND($L39&lt;&gt;"",NOT(ISNUMBER($L39))),AND($N39&lt;&gt;"",NOT(ISNUMBER($N39))),AND($O39&lt;&gt;"",NOT(ISNUMBER($O39)))),1,0))</f>
        <v/>
      </c>
      <c r="AC39" s="9">
        <f>IF($U39+$X39+$Y39+$Z39+$AB39&gt;0,1,0)</f>
        <v/>
      </c>
      <c r="AD39" s="9">
        <f>IF($A39="","",ROW())</f>
        <v/>
      </c>
      <c r="AE39" s="9">
        <f>IF($W39+$AA39&gt;0,1,0)</f>
        <v/>
      </c>
    </row>
    <row r="40" ht="18" customHeight="1">
      <c r="A40" s="27" t="n"/>
      <c r="B40" s="28" t="n"/>
      <c r="C40" s="27" t="n"/>
      <c r="D40" s="28" t="n"/>
      <c r="E40" s="28" t="n"/>
      <c r="F40" s="14" t="n"/>
      <c r="G40" s="28" t="n"/>
      <c r="H40" s="14" t="n"/>
      <c r="I40" s="28" t="n"/>
      <c r="J40" s="14" t="n"/>
      <c r="K40" s="14" t="n"/>
      <c r="L40" s="28" t="n"/>
      <c r="M40" s="14" t="n"/>
      <c r="N40" s="28" t="n"/>
      <c r="O40" s="29" t="n"/>
      <c r="P40" s="30">
        <f>IF(OR($A40="",NOT(ISNUMBER($E40)),NOT(ISNUMBER($G40)),NOT(ISNUMBER($L40))),"",IF($G40=$E40,"",($L40-$E40)/($G40-$E40)))</f>
        <v/>
      </c>
      <c r="Q40" s="9">
        <f>IF($A40="","",IF(OR(NOT(ISNUMBER($E40)),NOT(ISNUMBER($G40)),NOT(ISNUMBER($N40))),"Not read",IF($G40=$E40,"Not read",IF(($N40-$E40)/($G40-$E40)&gt;=1,"□ On track",IF(1-($N40-$E40)/($G40-$E40)&lt;=Dashboard!$H$7,"◧ Amber","■ Red")))))</f>
        <v/>
      </c>
      <c r="R40" s="9">
        <f>IF($A40="","",IF(NOT(ISNUMBER($K40)),"△ No review date",IF($K40&lt;Dashboard!$B$16,"△ Overdue, was due "&amp;TEXT($K40,"d mmm yyyy"),"Due "&amp;TEXT($K40,"d mmm yyyy"))))</f>
        <v/>
      </c>
      <c r="S40" s="31">
        <f>IF(OR($A40="",NOT(ISNUMBER($O40))),"",$O40-SUMPRODUCT(--(Costs!$B$7:$B$21=$A40),Costs!$C$7:$C$21))</f>
        <v/>
      </c>
      <c r="T40" s="9">
        <f>IF($A40="","",IF($Y40=1,"△ Name used twice",IF($U40=1,"△ Missing a measure, baseline, target, owner or date",IF($AB40=1,"△ A figure is typed as words",IF($W40=1,"△ Worth money, but no line on Costs",IF($AA40=1,"△ Worth a year isn't baseline minus target",IF($V40=1,"△ Read after close, with nobody named to take it",IF($X40=1,"△ No review date, or it has passed",IF($Z40=1,"△ First read has passed, with no Last read or Forecast","○ Clear")))))))))</f>
        <v/>
      </c>
      <c r="U40" s="9">
        <f>IF($A40="",0,IF(COUNTA($C40:$J40)&lt;8,1,0))</f>
        <v/>
      </c>
      <c r="V40" s="9">
        <f>IF($A40="",0,IF(AND(ISNUMBER($H40),ISNUMBER(Dashboard!$B$10),Dashboard!$B$13=""),IF($H40&gt;Dashboard!$B$10,1,0),0))</f>
        <v/>
      </c>
      <c r="W40" s="9">
        <f>IF($A40="",0,IF(AND(ISNUMBER($O40),$O40&gt;0),IF(SUMPRODUCT(--(Costs!$B$7:$B$21=$A40))=0,1,0),0))</f>
        <v/>
      </c>
      <c r="X40" s="9">
        <f>IF($A40="",0,IF(NOT(ISNUMBER($K40)),1,IF($K40&lt;Dashboard!$B$16,1,0)))</f>
        <v/>
      </c>
      <c r="Y40" s="9">
        <f>IF($A40="",0,IF(SUMPRODUCT(--($A$7:$A$46=$A40))&gt;1,1,0))</f>
        <v/>
      </c>
      <c r="Z40" s="9">
        <f>IF($A40="",0,IF(AND(ISNUMBER($J40),$J40&lt;Dashboard!$B$16,OR($L40="",$N40="")),1,0))</f>
        <v/>
      </c>
      <c r="AA40" s="9">
        <f>IF($A40="",0,IF(AND(OR(ISNUMBER(SEARCH("dollar",$D40)),ISNUMBER(SEARCH("USD",$D40)),ISNUMBER(SEARCH("EUR",$D40)),ISNUMBER(SEARCH("GBP",$D40))),ISNUMBER($E40),ISNUMBER($G40),ISNUMBER($O40)),IF(ABS($E40-$G40)&lt;&gt;$O40,1,0),0))</f>
        <v/>
      </c>
      <c r="AB40" s="9">
        <f>IF($A40="",0,IF(OR(AND($E40&lt;&gt;"",NOT(ISNUMBER($E40))),AND($G40&lt;&gt;"",NOT(ISNUMBER($G40))),AND($L40&lt;&gt;"",NOT(ISNUMBER($L40))),AND($N40&lt;&gt;"",NOT(ISNUMBER($N40))),AND($O40&lt;&gt;"",NOT(ISNUMBER($O40)))),1,0))</f>
        <v/>
      </c>
      <c r="AC40" s="9">
        <f>IF($U40+$X40+$Y40+$Z40+$AB40&gt;0,1,0)</f>
        <v/>
      </c>
      <c r="AD40" s="9">
        <f>IF($A40="","",ROW())</f>
        <v/>
      </c>
      <c r="AE40" s="9">
        <f>IF($W40+$AA40&gt;0,1,0)</f>
        <v/>
      </c>
    </row>
    <row r="41" ht="18" customHeight="1">
      <c r="A41" s="27" t="n"/>
      <c r="B41" s="28" t="n"/>
      <c r="C41" s="27" t="n"/>
      <c r="D41" s="28" t="n"/>
      <c r="E41" s="28" t="n"/>
      <c r="F41" s="14" t="n"/>
      <c r="G41" s="28" t="n"/>
      <c r="H41" s="14" t="n"/>
      <c r="I41" s="28" t="n"/>
      <c r="J41" s="14" t="n"/>
      <c r="K41" s="14" t="n"/>
      <c r="L41" s="28" t="n"/>
      <c r="M41" s="14" t="n"/>
      <c r="N41" s="28" t="n"/>
      <c r="O41" s="29" t="n"/>
      <c r="P41" s="30">
        <f>IF(OR($A41="",NOT(ISNUMBER($E41)),NOT(ISNUMBER($G41)),NOT(ISNUMBER($L41))),"",IF($G41=$E41,"",($L41-$E41)/($G41-$E41)))</f>
        <v/>
      </c>
      <c r="Q41" s="9">
        <f>IF($A41="","",IF(OR(NOT(ISNUMBER($E41)),NOT(ISNUMBER($G41)),NOT(ISNUMBER($N41))),"Not read",IF($G41=$E41,"Not read",IF(($N41-$E41)/($G41-$E41)&gt;=1,"□ On track",IF(1-($N41-$E41)/($G41-$E41)&lt;=Dashboard!$H$7,"◧ Amber","■ Red")))))</f>
        <v/>
      </c>
      <c r="R41" s="9">
        <f>IF($A41="","",IF(NOT(ISNUMBER($K41)),"△ No review date",IF($K41&lt;Dashboard!$B$16,"△ Overdue, was due "&amp;TEXT($K41,"d mmm yyyy"),"Due "&amp;TEXT($K41,"d mmm yyyy"))))</f>
        <v/>
      </c>
      <c r="S41" s="31">
        <f>IF(OR($A41="",NOT(ISNUMBER($O41))),"",$O41-SUMPRODUCT(--(Costs!$B$7:$B$21=$A41),Costs!$C$7:$C$21))</f>
        <v/>
      </c>
      <c r="T41" s="9">
        <f>IF($A41="","",IF($Y41=1,"△ Name used twice",IF($U41=1,"△ Missing a measure, baseline, target, owner or date",IF($AB41=1,"△ A figure is typed as words",IF($W41=1,"△ Worth money, but no line on Costs",IF($AA41=1,"△ Worth a year isn't baseline minus target",IF($V41=1,"△ Read after close, with nobody named to take it",IF($X41=1,"△ No review date, or it has passed",IF($Z41=1,"△ First read has passed, with no Last read or Forecast","○ Clear")))))))))</f>
        <v/>
      </c>
      <c r="U41" s="9">
        <f>IF($A41="",0,IF(COUNTA($C41:$J41)&lt;8,1,0))</f>
        <v/>
      </c>
      <c r="V41" s="9">
        <f>IF($A41="",0,IF(AND(ISNUMBER($H41),ISNUMBER(Dashboard!$B$10),Dashboard!$B$13=""),IF($H41&gt;Dashboard!$B$10,1,0),0))</f>
        <v/>
      </c>
      <c r="W41" s="9">
        <f>IF($A41="",0,IF(AND(ISNUMBER($O41),$O41&gt;0),IF(SUMPRODUCT(--(Costs!$B$7:$B$21=$A41))=0,1,0),0))</f>
        <v/>
      </c>
      <c r="X41" s="9">
        <f>IF($A41="",0,IF(NOT(ISNUMBER($K41)),1,IF($K41&lt;Dashboard!$B$16,1,0)))</f>
        <v/>
      </c>
      <c r="Y41" s="9">
        <f>IF($A41="",0,IF(SUMPRODUCT(--($A$7:$A$46=$A41))&gt;1,1,0))</f>
        <v/>
      </c>
      <c r="Z41" s="9">
        <f>IF($A41="",0,IF(AND(ISNUMBER($J41),$J41&lt;Dashboard!$B$16,OR($L41="",$N41="")),1,0))</f>
        <v/>
      </c>
      <c r="AA41" s="9">
        <f>IF($A41="",0,IF(AND(OR(ISNUMBER(SEARCH("dollar",$D41)),ISNUMBER(SEARCH("USD",$D41)),ISNUMBER(SEARCH("EUR",$D41)),ISNUMBER(SEARCH("GBP",$D41))),ISNUMBER($E41),ISNUMBER($G41),ISNUMBER($O41)),IF(ABS($E41-$G41)&lt;&gt;$O41,1,0),0))</f>
        <v/>
      </c>
      <c r="AB41" s="9">
        <f>IF($A41="",0,IF(OR(AND($E41&lt;&gt;"",NOT(ISNUMBER($E41))),AND($G41&lt;&gt;"",NOT(ISNUMBER($G41))),AND($L41&lt;&gt;"",NOT(ISNUMBER($L41))),AND($N41&lt;&gt;"",NOT(ISNUMBER($N41))),AND($O41&lt;&gt;"",NOT(ISNUMBER($O41)))),1,0))</f>
        <v/>
      </c>
      <c r="AC41" s="9">
        <f>IF($U41+$X41+$Y41+$Z41+$AB41&gt;0,1,0)</f>
        <v/>
      </c>
      <c r="AD41" s="9">
        <f>IF($A41="","",ROW())</f>
        <v/>
      </c>
      <c r="AE41" s="9">
        <f>IF($W41+$AA41&gt;0,1,0)</f>
        <v/>
      </c>
    </row>
    <row r="42" ht="18" customHeight="1">
      <c r="A42" s="27" t="n"/>
      <c r="B42" s="28" t="n"/>
      <c r="C42" s="27" t="n"/>
      <c r="D42" s="28" t="n"/>
      <c r="E42" s="28" t="n"/>
      <c r="F42" s="14" t="n"/>
      <c r="G42" s="28" t="n"/>
      <c r="H42" s="14" t="n"/>
      <c r="I42" s="28" t="n"/>
      <c r="J42" s="14" t="n"/>
      <c r="K42" s="14" t="n"/>
      <c r="L42" s="28" t="n"/>
      <c r="M42" s="14" t="n"/>
      <c r="N42" s="28" t="n"/>
      <c r="O42" s="29" t="n"/>
      <c r="P42" s="30">
        <f>IF(OR($A42="",NOT(ISNUMBER($E42)),NOT(ISNUMBER($G42)),NOT(ISNUMBER($L42))),"",IF($G42=$E42,"",($L42-$E42)/($G42-$E42)))</f>
        <v/>
      </c>
      <c r="Q42" s="9">
        <f>IF($A42="","",IF(OR(NOT(ISNUMBER($E42)),NOT(ISNUMBER($G42)),NOT(ISNUMBER($N42))),"Not read",IF($G42=$E42,"Not read",IF(($N42-$E42)/($G42-$E42)&gt;=1,"□ On track",IF(1-($N42-$E42)/($G42-$E42)&lt;=Dashboard!$H$7,"◧ Amber","■ Red")))))</f>
        <v/>
      </c>
      <c r="R42" s="9">
        <f>IF($A42="","",IF(NOT(ISNUMBER($K42)),"△ No review date",IF($K42&lt;Dashboard!$B$16,"△ Overdue, was due "&amp;TEXT($K42,"d mmm yyyy"),"Due "&amp;TEXT($K42,"d mmm yyyy"))))</f>
        <v/>
      </c>
      <c r="S42" s="31">
        <f>IF(OR($A42="",NOT(ISNUMBER($O42))),"",$O42-SUMPRODUCT(--(Costs!$B$7:$B$21=$A42),Costs!$C$7:$C$21))</f>
        <v/>
      </c>
      <c r="T42" s="9">
        <f>IF($A42="","",IF($Y42=1,"△ Name used twice",IF($U42=1,"△ Missing a measure, baseline, target, owner or date",IF($AB42=1,"△ A figure is typed as words",IF($W42=1,"△ Worth money, but no line on Costs",IF($AA42=1,"△ Worth a year isn't baseline minus target",IF($V42=1,"△ Read after close, with nobody named to take it",IF($X42=1,"△ No review date, or it has passed",IF($Z42=1,"△ First read has passed, with no Last read or Forecast","○ Clear")))))))))</f>
        <v/>
      </c>
      <c r="U42" s="9">
        <f>IF($A42="",0,IF(COUNTA($C42:$J42)&lt;8,1,0))</f>
        <v/>
      </c>
      <c r="V42" s="9">
        <f>IF($A42="",0,IF(AND(ISNUMBER($H42),ISNUMBER(Dashboard!$B$10),Dashboard!$B$13=""),IF($H42&gt;Dashboard!$B$10,1,0),0))</f>
        <v/>
      </c>
      <c r="W42" s="9">
        <f>IF($A42="",0,IF(AND(ISNUMBER($O42),$O42&gt;0),IF(SUMPRODUCT(--(Costs!$B$7:$B$21=$A42))=0,1,0),0))</f>
        <v/>
      </c>
      <c r="X42" s="9">
        <f>IF($A42="",0,IF(NOT(ISNUMBER($K42)),1,IF($K42&lt;Dashboard!$B$16,1,0)))</f>
        <v/>
      </c>
      <c r="Y42" s="9">
        <f>IF($A42="",0,IF(SUMPRODUCT(--($A$7:$A$46=$A42))&gt;1,1,0))</f>
        <v/>
      </c>
      <c r="Z42" s="9">
        <f>IF($A42="",0,IF(AND(ISNUMBER($J42),$J42&lt;Dashboard!$B$16,OR($L42="",$N42="")),1,0))</f>
        <v/>
      </c>
      <c r="AA42" s="9">
        <f>IF($A42="",0,IF(AND(OR(ISNUMBER(SEARCH("dollar",$D42)),ISNUMBER(SEARCH("USD",$D42)),ISNUMBER(SEARCH("EUR",$D42)),ISNUMBER(SEARCH("GBP",$D42))),ISNUMBER($E42),ISNUMBER($G42),ISNUMBER($O42)),IF(ABS($E42-$G42)&lt;&gt;$O42,1,0),0))</f>
        <v/>
      </c>
      <c r="AB42" s="9">
        <f>IF($A42="",0,IF(OR(AND($E42&lt;&gt;"",NOT(ISNUMBER($E42))),AND($G42&lt;&gt;"",NOT(ISNUMBER($G42))),AND($L42&lt;&gt;"",NOT(ISNUMBER($L42))),AND($N42&lt;&gt;"",NOT(ISNUMBER($N42))),AND($O42&lt;&gt;"",NOT(ISNUMBER($O42)))),1,0))</f>
        <v/>
      </c>
      <c r="AC42" s="9">
        <f>IF($U42+$X42+$Y42+$Z42+$AB42&gt;0,1,0)</f>
        <v/>
      </c>
      <c r="AD42" s="9">
        <f>IF($A42="","",ROW())</f>
        <v/>
      </c>
      <c r="AE42" s="9">
        <f>IF($W42+$AA42&gt;0,1,0)</f>
        <v/>
      </c>
    </row>
    <row r="43" ht="18" customHeight="1">
      <c r="A43" s="27" t="n"/>
      <c r="B43" s="28" t="n"/>
      <c r="C43" s="27" t="n"/>
      <c r="D43" s="28" t="n"/>
      <c r="E43" s="28" t="n"/>
      <c r="F43" s="14" t="n"/>
      <c r="G43" s="28" t="n"/>
      <c r="H43" s="14" t="n"/>
      <c r="I43" s="28" t="n"/>
      <c r="J43" s="14" t="n"/>
      <c r="K43" s="14" t="n"/>
      <c r="L43" s="28" t="n"/>
      <c r="M43" s="14" t="n"/>
      <c r="N43" s="28" t="n"/>
      <c r="O43" s="29" t="n"/>
      <c r="P43" s="30">
        <f>IF(OR($A43="",NOT(ISNUMBER($E43)),NOT(ISNUMBER($G43)),NOT(ISNUMBER($L43))),"",IF($G43=$E43,"",($L43-$E43)/($G43-$E43)))</f>
        <v/>
      </c>
      <c r="Q43" s="9">
        <f>IF($A43="","",IF(OR(NOT(ISNUMBER($E43)),NOT(ISNUMBER($G43)),NOT(ISNUMBER($N43))),"Not read",IF($G43=$E43,"Not read",IF(($N43-$E43)/($G43-$E43)&gt;=1,"□ On track",IF(1-($N43-$E43)/($G43-$E43)&lt;=Dashboard!$H$7,"◧ Amber","■ Red")))))</f>
        <v/>
      </c>
      <c r="R43" s="9">
        <f>IF($A43="","",IF(NOT(ISNUMBER($K43)),"△ No review date",IF($K43&lt;Dashboard!$B$16,"△ Overdue, was due "&amp;TEXT($K43,"d mmm yyyy"),"Due "&amp;TEXT($K43,"d mmm yyyy"))))</f>
        <v/>
      </c>
      <c r="S43" s="31">
        <f>IF(OR($A43="",NOT(ISNUMBER($O43))),"",$O43-SUMPRODUCT(--(Costs!$B$7:$B$21=$A43),Costs!$C$7:$C$21))</f>
        <v/>
      </c>
      <c r="T43" s="9">
        <f>IF($A43="","",IF($Y43=1,"△ Name used twice",IF($U43=1,"△ Missing a measure, baseline, target, owner or date",IF($AB43=1,"△ A figure is typed as words",IF($W43=1,"△ Worth money, but no line on Costs",IF($AA43=1,"△ Worth a year isn't baseline minus target",IF($V43=1,"△ Read after close, with nobody named to take it",IF($X43=1,"△ No review date, or it has passed",IF($Z43=1,"△ First read has passed, with no Last read or Forecast","○ Clear")))))))))</f>
        <v/>
      </c>
      <c r="U43" s="9">
        <f>IF($A43="",0,IF(COUNTA($C43:$J43)&lt;8,1,0))</f>
        <v/>
      </c>
      <c r="V43" s="9">
        <f>IF($A43="",0,IF(AND(ISNUMBER($H43),ISNUMBER(Dashboard!$B$10),Dashboard!$B$13=""),IF($H43&gt;Dashboard!$B$10,1,0),0))</f>
        <v/>
      </c>
      <c r="W43" s="9">
        <f>IF($A43="",0,IF(AND(ISNUMBER($O43),$O43&gt;0),IF(SUMPRODUCT(--(Costs!$B$7:$B$21=$A43))=0,1,0),0))</f>
        <v/>
      </c>
      <c r="X43" s="9">
        <f>IF($A43="",0,IF(NOT(ISNUMBER($K43)),1,IF($K43&lt;Dashboard!$B$16,1,0)))</f>
        <v/>
      </c>
      <c r="Y43" s="9">
        <f>IF($A43="",0,IF(SUMPRODUCT(--($A$7:$A$46=$A43))&gt;1,1,0))</f>
        <v/>
      </c>
      <c r="Z43" s="9">
        <f>IF($A43="",0,IF(AND(ISNUMBER($J43),$J43&lt;Dashboard!$B$16,OR($L43="",$N43="")),1,0))</f>
        <v/>
      </c>
      <c r="AA43" s="9">
        <f>IF($A43="",0,IF(AND(OR(ISNUMBER(SEARCH("dollar",$D43)),ISNUMBER(SEARCH("USD",$D43)),ISNUMBER(SEARCH("EUR",$D43)),ISNUMBER(SEARCH("GBP",$D43))),ISNUMBER($E43),ISNUMBER($G43),ISNUMBER($O43)),IF(ABS($E43-$G43)&lt;&gt;$O43,1,0),0))</f>
        <v/>
      </c>
      <c r="AB43" s="9">
        <f>IF($A43="",0,IF(OR(AND($E43&lt;&gt;"",NOT(ISNUMBER($E43))),AND($G43&lt;&gt;"",NOT(ISNUMBER($G43))),AND($L43&lt;&gt;"",NOT(ISNUMBER($L43))),AND($N43&lt;&gt;"",NOT(ISNUMBER($N43))),AND($O43&lt;&gt;"",NOT(ISNUMBER($O43)))),1,0))</f>
        <v/>
      </c>
      <c r="AC43" s="9">
        <f>IF($U43+$X43+$Y43+$Z43+$AB43&gt;0,1,0)</f>
        <v/>
      </c>
      <c r="AD43" s="9">
        <f>IF($A43="","",ROW())</f>
        <v/>
      </c>
      <c r="AE43" s="9">
        <f>IF($W43+$AA43&gt;0,1,0)</f>
        <v/>
      </c>
    </row>
    <row r="44" ht="18" customHeight="1">
      <c r="A44" s="27" t="n"/>
      <c r="B44" s="28" t="n"/>
      <c r="C44" s="27" t="n"/>
      <c r="D44" s="28" t="n"/>
      <c r="E44" s="28" t="n"/>
      <c r="F44" s="14" t="n"/>
      <c r="G44" s="28" t="n"/>
      <c r="H44" s="14" t="n"/>
      <c r="I44" s="28" t="n"/>
      <c r="J44" s="14" t="n"/>
      <c r="K44" s="14" t="n"/>
      <c r="L44" s="28" t="n"/>
      <c r="M44" s="14" t="n"/>
      <c r="N44" s="28" t="n"/>
      <c r="O44" s="29" t="n"/>
      <c r="P44" s="30">
        <f>IF(OR($A44="",NOT(ISNUMBER($E44)),NOT(ISNUMBER($G44)),NOT(ISNUMBER($L44))),"",IF($G44=$E44,"",($L44-$E44)/($G44-$E44)))</f>
        <v/>
      </c>
      <c r="Q44" s="9">
        <f>IF($A44="","",IF(OR(NOT(ISNUMBER($E44)),NOT(ISNUMBER($G44)),NOT(ISNUMBER($N44))),"Not read",IF($G44=$E44,"Not read",IF(($N44-$E44)/($G44-$E44)&gt;=1,"□ On track",IF(1-($N44-$E44)/($G44-$E44)&lt;=Dashboard!$H$7,"◧ Amber","■ Red")))))</f>
        <v/>
      </c>
      <c r="R44" s="9">
        <f>IF($A44="","",IF(NOT(ISNUMBER($K44)),"△ No review date",IF($K44&lt;Dashboard!$B$16,"△ Overdue, was due "&amp;TEXT($K44,"d mmm yyyy"),"Due "&amp;TEXT($K44,"d mmm yyyy"))))</f>
        <v/>
      </c>
      <c r="S44" s="31">
        <f>IF(OR($A44="",NOT(ISNUMBER($O44))),"",$O44-SUMPRODUCT(--(Costs!$B$7:$B$21=$A44),Costs!$C$7:$C$21))</f>
        <v/>
      </c>
      <c r="T44" s="9">
        <f>IF($A44="","",IF($Y44=1,"△ Name used twice",IF($U44=1,"△ Missing a measure, baseline, target, owner or date",IF($AB44=1,"△ A figure is typed as words",IF($W44=1,"△ Worth money, but no line on Costs",IF($AA44=1,"△ Worth a year isn't baseline minus target",IF($V44=1,"△ Read after close, with nobody named to take it",IF($X44=1,"△ No review date, or it has passed",IF($Z44=1,"△ First read has passed, with no Last read or Forecast","○ Clear")))))))))</f>
        <v/>
      </c>
      <c r="U44" s="9">
        <f>IF($A44="",0,IF(COUNTA($C44:$J44)&lt;8,1,0))</f>
        <v/>
      </c>
      <c r="V44" s="9">
        <f>IF($A44="",0,IF(AND(ISNUMBER($H44),ISNUMBER(Dashboard!$B$10),Dashboard!$B$13=""),IF($H44&gt;Dashboard!$B$10,1,0),0))</f>
        <v/>
      </c>
      <c r="W44" s="9">
        <f>IF($A44="",0,IF(AND(ISNUMBER($O44),$O44&gt;0),IF(SUMPRODUCT(--(Costs!$B$7:$B$21=$A44))=0,1,0),0))</f>
        <v/>
      </c>
      <c r="X44" s="9">
        <f>IF($A44="",0,IF(NOT(ISNUMBER($K44)),1,IF($K44&lt;Dashboard!$B$16,1,0)))</f>
        <v/>
      </c>
      <c r="Y44" s="9">
        <f>IF($A44="",0,IF(SUMPRODUCT(--($A$7:$A$46=$A44))&gt;1,1,0))</f>
        <v/>
      </c>
      <c r="Z44" s="9">
        <f>IF($A44="",0,IF(AND(ISNUMBER($J44),$J44&lt;Dashboard!$B$16,OR($L44="",$N44="")),1,0))</f>
        <v/>
      </c>
      <c r="AA44" s="9">
        <f>IF($A44="",0,IF(AND(OR(ISNUMBER(SEARCH("dollar",$D44)),ISNUMBER(SEARCH("USD",$D44)),ISNUMBER(SEARCH("EUR",$D44)),ISNUMBER(SEARCH("GBP",$D44))),ISNUMBER($E44),ISNUMBER($G44),ISNUMBER($O44)),IF(ABS($E44-$G44)&lt;&gt;$O44,1,0),0))</f>
        <v/>
      </c>
      <c r="AB44" s="9">
        <f>IF($A44="",0,IF(OR(AND($E44&lt;&gt;"",NOT(ISNUMBER($E44))),AND($G44&lt;&gt;"",NOT(ISNUMBER($G44))),AND($L44&lt;&gt;"",NOT(ISNUMBER($L44))),AND($N44&lt;&gt;"",NOT(ISNUMBER($N44))),AND($O44&lt;&gt;"",NOT(ISNUMBER($O44)))),1,0))</f>
        <v/>
      </c>
      <c r="AC44" s="9">
        <f>IF($U44+$X44+$Y44+$Z44+$AB44&gt;0,1,0)</f>
        <v/>
      </c>
      <c r="AD44" s="9">
        <f>IF($A44="","",ROW())</f>
        <v/>
      </c>
      <c r="AE44" s="9">
        <f>IF($W44+$AA44&gt;0,1,0)</f>
        <v/>
      </c>
    </row>
    <row r="45" ht="18" customHeight="1">
      <c r="A45" s="27" t="n"/>
      <c r="B45" s="28" t="n"/>
      <c r="C45" s="27" t="n"/>
      <c r="D45" s="28" t="n"/>
      <c r="E45" s="28" t="n"/>
      <c r="F45" s="14" t="n"/>
      <c r="G45" s="28" t="n"/>
      <c r="H45" s="14" t="n"/>
      <c r="I45" s="28" t="n"/>
      <c r="J45" s="14" t="n"/>
      <c r="K45" s="14" t="n"/>
      <c r="L45" s="28" t="n"/>
      <c r="M45" s="14" t="n"/>
      <c r="N45" s="28" t="n"/>
      <c r="O45" s="29" t="n"/>
      <c r="P45" s="30">
        <f>IF(OR($A45="",NOT(ISNUMBER($E45)),NOT(ISNUMBER($G45)),NOT(ISNUMBER($L45))),"",IF($G45=$E45,"",($L45-$E45)/($G45-$E45)))</f>
        <v/>
      </c>
      <c r="Q45" s="9">
        <f>IF($A45="","",IF(OR(NOT(ISNUMBER($E45)),NOT(ISNUMBER($G45)),NOT(ISNUMBER($N45))),"Not read",IF($G45=$E45,"Not read",IF(($N45-$E45)/($G45-$E45)&gt;=1,"□ On track",IF(1-($N45-$E45)/($G45-$E45)&lt;=Dashboard!$H$7,"◧ Amber","■ Red")))))</f>
        <v/>
      </c>
      <c r="R45" s="9">
        <f>IF($A45="","",IF(NOT(ISNUMBER($K45)),"△ No review date",IF($K45&lt;Dashboard!$B$16,"△ Overdue, was due "&amp;TEXT($K45,"d mmm yyyy"),"Due "&amp;TEXT($K45,"d mmm yyyy"))))</f>
        <v/>
      </c>
      <c r="S45" s="31">
        <f>IF(OR($A45="",NOT(ISNUMBER($O45))),"",$O45-SUMPRODUCT(--(Costs!$B$7:$B$21=$A45),Costs!$C$7:$C$21))</f>
        <v/>
      </c>
      <c r="T45" s="9">
        <f>IF($A45="","",IF($Y45=1,"△ Name used twice",IF($U45=1,"△ Missing a measure, baseline, target, owner or date",IF($AB45=1,"△ A figure is typed as words",IF($W45=1,"△ Worth money, but no line on Costs",IF($AA45=1,"△ Worth a year isn't baseline minus target",IF($V45=1,"△ Read after close, with nobody named to take it",IF($X45=1,"△ No review date, or it has passed",IF($Z45=1,"△ First read has passed, with no Last read or Forecast","○ Clear")))))))))</f>
        <v/>
      </c>
      <c r="U45" s="9">
        <f>IF($A45="",0,IF(COUNTA($C45:$J45)&lt;8,1,0))</f>
        <v/>
      </c>
      <c r="V45" s="9">
        <f>IF($A45="",0,IF(AND(ISNUMBER($H45),ISNUMBER(Dashboard!$B$10),Dashboard!$B$13=""),IF($H45&gt;Dashboard!$B$10,1,0),0))</f>
        <v/>
      </c>
      <c r="W45" s="9">
        <f>IF($A45="",0,IF(AND(ISNUMBER($O45),$O45&gt;0),IF(SUMPRODUCT(--(Costs!$B$7:$B$21=$A45))=0,1,0),0))</f>
        <v/>
      </c>
      <c r="X45" s="9">
        <f>IF($A45="",0,IF(NOT(ISNUMBER($K45)),1,IF($K45&lt;Dashboard!$B$16,1,0)))</f>
        <v/>
      </c>
      <c r="Y45" s="9">
        <f>IF($A45="",0,IF(SUMPRODUCT(--($A$7:$A$46=$A45))&gt;1,1,0))</f>
        <v/>
      </c>
      <c r="Z45" s="9">
        <f>IF($A45="",0,IF(AND(ISNUMBER($J45),$J45&lt;Dashboard!$B$16,OR($L45="",$N45="")),1,0))</f>
        <v/>
      </c>
      <c r="AA45" s="9">
        <f>IF($A45="",0,IF(AND(OR(ISNUMBER(SEARCH("dollar",$D45)),ISNUMBER(SEARCH("USD",$D45)),ISNUMBER(SEARCH("EUR",$D45)),ISNUMBER(SEARCH("GBP",$D45))),ISNUMBER($E45),ISNUMBER($G45),ISNUMBER($O45)),IF(ABS($E45-$G45)&lt;&gt;$O45,1,0),0))</f>
        <v/>
      </c>
      <c r="AB45" s="9">
        <f>IF($A45="",0,IF(OR(AND($E45&lt;&gt;"",NOT(ISNUMBER($E45))),AND($G45&lt;&gt;"",NOT(ISNUMBER($G45))),AND($L45&lt;&gt;"",NOT(ISNUMBER($L45))),AND($N45&lt;&gt;"",NOT(ISNUMBER($N45))),AND($O45&lt;&gt;"",NOT(ISNUMBER($O45)))),1,0))</f>
        <v/>
      </c>
      <c r="AC45" s="9">
        <f>IF($U45+$X45+$Y45+$Z45+$AB45&gt;0,1,0)</f>
        <v/>
      </c>
      <c r="AD45" s="9">
        <f>IF($A45="","",ROW())</f>
        <v/>
      </c>
      <c r="AE45" s="9">
        <f>IF($W45+$AA45&gt;0,1,0)</f>
        <v/>
      </c>
    </row>
    <row r="46" ht="18" customHeight="1">
      <c r="A46" s="27" t="n"/>
      <c r="B46" s="28" t="n"/>
      <c r="C46" s="27" t="n"/>
      <c r="D46" s="28" t="n"/>
      <c r="E46" s="28" t="n"/>
      <c r="F46" s="14" t="n"/>
      <c r="G46" s="28" t="n"/>
      <c r="H46" s="14" t="n"/>
      <c r="I46" s="28" t="n"/>
      <c r="J46" s="14" t="n"/>
      <c r="K46" s="14" t="n"/>
      <c r="L46" s="28" t="n"/>
      <c r="M46" s="14" t="n"/>
      <c r="N46" s="28" t="n"/>
      <c r="O46" s="29" t="n"/>
      <c r="P46" s="30">
        <f>IF(OR($A46="",NOT(ISNUMBER($E46)),NOT(ISNUMBER($G46)),NOT(ISNUMBER($L46))),"",IF($G46=$E46,"",($L46-$E46)/($G46-$E46)))</f>
        <v/>
      </c>
      <c r="Q46" s="9">
        <f>IF($A46="","",IF(OR(NOT(ISNUMBER($E46)),NOT(ISNUMBER($G46)),NOT(ISNUMBER($N46))),"Not read",IF($G46=$E46,"Not read",IF(($N46-$E46)/($G46-$E46)&gt;=1,"□ On track",IF(1-($N46-$E46)/($G46-$E46)&lt;=Dashboard!$H$7,"◧ Amber","■ Red")))))</f>
        <v/>
      </c>
      <c r="R46" s="9">
        <f>IF($A46="","",IF(NOT(ISNUMBER($K46)),"△ No review date",IF($K46&lt;Dashboard!$B$16,"△ Overdue, was due "&amp;TEXT($K46,"d mmm yyyy"),"Due "&amp;TEXT($K46,"d mmm yyyy"))))</f>
        <v/>
      </c>
      <c r="S46" s="31">
        <f>IF(OR($A46="",NOT(ISNUMBER($O46))),"",$O46-SUMPRODUCT(--(Costs!$B$7:$B$21=$A46),Costs!$C$7:$C$21))</f>
        <v/>
      </c>
      <c r="T46" s="9">
        <f>IF($A46="","",IF($Y46=1,"△ Name used twice",IF($U46=1,"△ Missing a measure, baseline, target, owner or date",IF($AB46=1,"△ A figure is typed as words",IF($W46=1,"△ Worth money, but no line on Costs",IF($AA46=1,"△ Worth a year isn't baseline minus target",IF($V46=1,"△ Read after close, with nobody named to take it",IF($X46=1,"△ No review date, or it has passed",IF($Z46=1,"△ First read has passed, with no Last read or Forecast","○ Clear")))))))))</f>
        <v/>
      </c>
      <c r="U46" s="9">
        <f>IF($A46="",0,IF(COUNTA($C46:$J46)&lt;8,1,0))</f>
        <v/>
      </c>
      <c r="V46" s="9">
        <f>IF($A46="",0,IF(AND(ISNUMBER($H46),ISNUMBER(Dashboard!$B$10),Dashboard!$B$13=""),IF($H46&gt;Dashboard!$B$10,1,0),0))</f>
        <v/>
      </c>
      <c r="W46" s="9">
        <f>IF($A46="",0,IF(AND(ISNUMBER($O46),$O46&gt;0),IF(SUMPRODUCT(--(Costs!$B$7:$B$21=$A46))=0,1,0),0))</f>
        <v/>
      </c>
      <c r="X46" s="9">
        <f>IF($A46="",0,IF(NOT(ISNUMBER($K46)),1,IF($K46&lt;Dashboard!$B$16,1,0)))</f>
        <v/>
      </c>
      <c r="Y46" s="9">
        <f>IF($A46="",0,IF(SUMPRODUCT(--($A$7:$A$46=$A46))&gt;1,1,0))</f>
        <v/>
      </c>
      <c r="Z46" s="9">
        <f>IF($A46="",0,IF(AND(ISNUMBER($J46),$J46&lt;Dashboard!$B$16,OR($L46="",$N46="")),1,0))</f>
        <v/>
      </c>
      <c r="AA46" s="9">
        <f>IF($A46="",0,IF(AND(OR(ISNUMBER(SEARCH("dollar",$D46)),ISNUMBER(SEARCH("USD",$D46)),ISNUMBER(SEARCH("EUR",$D46)),ISNUMBER(SEARCH("GBP",$D46))),ISNUMBER($E46),ISNUMBER($G46),ISNUMBER($O46)),IF(ABS($E46-$G46)&lt;&gt;$O46,1,0),0))</f>
        <v/>
      </c>
      <c r="AB46" s="9">
        <f>IF($A46="",0,IF(OR(AND($E46&lt;&gt;"",NOT(ISNUMBER($E46))),AND($G46&lt;&gt;"",NOT(ISNUMBER($G46))),AND($L46&lt;&gt;"",NOT(ISNUMBER($L46))),AND($N46&lt;&gt;"",NOT(ISNUMBER($N46))),AND($O46&lt;&gt;"",NOT(ISNUMBER($O46)))),1,0))</f>
        <v/>
      </c>
      <c r="AC46" s="9">
        <f>IF($U46+$X46+$Y46+$Z46+$AB46&gt;0,1,0)</f>
        <v/>
      </c>
      <c r="AD46" s="9">
        <f>IF($A46="","",ROW())</f>
        <v/>
      </c>
      <c r="AE46" s="9">
        <f>IF($W46+$AA46&gt;0,1,0)</f>
        <v/>
      </c>
    </row>
  </sheetData>
  <sheetProtection selectLockedCells="0" selectUnlockedCells="0" sheet="1" objects="0" insertRows="1" insertHyperlinks="1" autoFilter="0" scenarios="0" formatColumns="0" deleteColumns="1" insertColumns="1" pivotTables="1" deleteRows="1" formatCells="0" formatRows="0" sort="0"/>
  <autoFilter ref="A6:T46"/>
  <mergeCells count="1">
    <mergeCell ref="A5:T5"/>
  </mergeCells>
  <conditionalFormatting sqref="Q7:T46">
    <cfRule type="expression" priority="1" dxfId="0" stopIfTrue="0">
      <formula>OR(LEFT(Q7,1)="△",LEFT(Q7,1)="■")</formula>
    </cfRule>
  </conditionalFormatting>
  <dataValidations count="12">
    <dataValidation sqref="A7:A46" showDropDown="0" showInputMessage="0" showErrorMessage="1" allowBlank="1" errorTitle="Check this entry" error="Another benefit already has this name. Use a different one: project files cite a benefit by its name." type="custom" errorStyle="stop">
      <formula1>SUMPRODUCT(--($A$7:$A$46=A7))=1</formula1>
    </dataValidation>
    <dataValidation sqref="B7:B46" showDropDown="0" showInputMessage="0" showErrorMessage="1" allowBlank="1" errorTitle="Check this entry" error="Pick Benefit or Disbenefit." type="list" errorStyle="stop">
      <formula1>"Benefit,Disbenefit"</formula1>
    </dataValidation>
    <dataValidation sqref="E7:E46" showDropDown="0" showInputMessage="0" showErrorMessage="1" allowBlank="1" errorTitle="Check this entry" error="Type a number, with no unit or currency sign." type="decimal" errorStyle="stop" operator="between">
      <formula1>-1000000000000</formula1>
      <formula2>1000000000000</formula2>
    </dataValidation>
    <dataValidation sqref="G7:G46" showDropDown="0" showInputMessage="0" showErrorMessage="1" allowBlank="1" errorTitle="Check this entry" error="Type a number, with no unit or currency sign." type="decimal" errorStyle="stop" operator="between">
      <formula1>-1000000000000</formula1>
      <formula2>1000000000000</formula2>
    </dataValidation>
    <dataValidation sqref="L7:L46" showDropDown="0" showInputMessage="0" showErrorMessage="1" allowBlank="1" errorTitle="Check this entry" error="Type a number, with no unit or currency sign." type="decimal" errorStyle="stop" operator="between">
      <formula1>-1000000000000</formula1>
      <formula2>1000000000000</formula2>
    </dataValidation>
    <dataValidation sqref="N7:N46" showDropDown="0" showInputMessage="0" showErrorMessage="1" allowBlank="1" errorTitle="Check this entry" error="Type a number, with no unit or currency sign." type="decimal" errorStyle="stop" operator="between">
      <formula1>-1000000000000</formula1>
      <formula2>1000000000000</formula2>
    </dataValidation>
    <dataValidation sqref="O7:O46" showDropDown="0" showInputMessage="0" showErrorMessage="1" allowBlank="1" errorTitle="Check this entry" error="Type a number, with no unit or currency sign." type="decimal" errorStyle="stop" operator="between">
      <formula1>-1000000000000</formula1>
      <formula2>1000000000000</formula2>
    </dataValidation>
    <dataValidation sqref="H7:H46" showDropDown="0" showInputMessage="0" showErrorMessage="1" allowBlank="1" errorTitle="Check this entry" error="Type a date, such as 30 Jun 2027." type="date" errorStyle="stop" operator="between">
      <formula1>36526</formula1>
      <formula2>73415</formula2>
    </dataValidation>
    <dataValidation sqref="M7:M46" showDropDown="0" showInputMessage="0" showErrorMessage="1" allowBlank="1" errorTitle="Check this entry" error="Type a date, such as 30 Jun 2027." type="date" errorStyle="stop" operator="between">
      <formula1>36526</formula1>
      <formula2>73415</formula2>
    </dataValidation>
    <dataValidation sqref="K7:K46" showDropDown="0" showInputMessage="0" showErrorMessage="1" allowBlank="1" errorTitle="Check this entry" error="Type a date, such as 30 Jun 2027." type="date" errorStyle="stop" operator="between">
      <formula1>36526</formula1>
      <formula2>73415</formula2>
    </dataValidation>
    <dataValidation sqref="F7:F46" showDropDown="0" showInputMessage="0" showErrorMessage="1" allowBlank="1" errorTitle="Check this entry" error="Type a date, such as 30 Jun 2027." type="date" errorStyle="stop" operator="between">
      <formula1>36526</formula1>
      <formula2>73415</formula2>
    </dataValidation>
    <dataValidation sqref="J7:J46" showDropDown="0" showInputMessage="0" showErrorMessage="1" allowBlank="1" errorTitle="Check this entry" error="Type a date, such as 30 Jun 2027."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H21"/>
  <sheetViews>
    <sheetView showGridLines="0" tabSelected="0" workbookViewId="0">
      <selection activeCell="A1" sqref="A1"/>
    </sheetView>
  </sheetViews>
  <sheetFormatPr baseColWidth="8" defaultRowHeight="15"/>
  <cols>
    <col width="34" customWidth="1" min="1" max="1"/>
    <col width="30" customWidth="1" min="2" max="2"/>
    <col width="12" customWidth="1" min="3" max="3"/>
    <col width="22" customWidth="1" min="4" max="4"/>
    <col width="44" customWidth="1" min="5" max="5"/>
    <col width="40" customWidth="1" min="6" max="6"/>
    <col hidden="1" width="12" customWidth="1" min="7" max="7"/>
    <col hidden="1" width="12" customWidth="1" min="8" max="8"/>
  </cols>
  <sheetData>
    <row r="1" ht="24" customHeight="1">
      <c r="B1" s="1" t="inlineStr">
        <is>
          <t>Costs</t>
        </is>
      </c>
    </row>
    <row r="2" ht="15" customHeight="1">
      <c r="A2" s="7">
        <f>IF(Dashboard!$B$6="","","Program: "&amp;Dashboard!$B$6&amp;IF(Dashboard!$B$7="",".",". Sits under: "&amp;Dashboard!$B$7&amp;"."))</f>
        <v/>
      </c>
    </row>
    <row r="3" ht="6" customHeight="1"/>
    <row r="4" ht="15" customHeight="1"/>
    <row r="5" ht="18" customHeight="1">
      <c r="A5" s="8" t="inlineStr">
        <is>
          <t>Costs that continue</t>
        </is>
      </c>
    </row>
    <row r="6" ht="30" customHeight="1">
      <c r="A6" s="26" t="inlineStr">
        <is>
          <t>Cost</t>
        </is>
      </c>
      <c r="B6" s="26" t="inlineStr">
        <is>
          <t>Comes off</t>
        </is>
      </c>
      <c r="C6" s="26" t="inlineStr">
        <is>
          <t>Per year</t>
        </is>
      </c>
      <c r="D6" s="26" t="inlineStr">
        <is>
          <t>Who pays</t>
        </is>
      </c>
      <c r="E6" s="26" t="inlineStr">
        <is>
          <t>Note</t>
        </is>
      </c>
      <c r="F6" s="21" t="inlineStr">
        <is>
          <t>Row check</t>
        </is>
      </c>
      <c r="G6" s="21" t="inlineStr">
        <is>
          <t>Names no benefit on Benefits (1 or 0)</t>
        </is>
      </c>
      <c r="H6" s="21" t="inlineStr">
        <is>
          <t>Per year missing, or 0 with no Note (1 or 0)</t>
        </is>
      </c>
    </row>
    <row r="7" ht="18" customHeight="1">
      <c r="A7" s="28" t="n"/>
      <c r="B7" s="28" t="n"/>
      <c r="C7" s="29" t="n"/>
      <c r="D7" s="28" t="n"/>
      <c r="E7" s="28" t="n"/>
      <c r="F7" s="9">
        <f>IF(COUNTA($A7:$E7)=0,"",IF($G7=1,"△ Names no benefit on Benefits",IF($H7=1,"△ Per year missing, or 0 with no Note","○ Clear")))</f>
        <v/>
      </c>
      <c r="G7" s="9">
        <f>IF(COUNTA($A7:$E7)=0,0,IF($B7="",1,IF(SUMPRODUCT(--(Benefits!$A$7:$A$46=$B7))=0,1,0)))</f>
        <v/>
      </c>
      <c r="H7" s="9">
        <f>IF(COUNTA($A7:$E7)=0,0,IF(NOT(ISNUMBER($C7)),1,IF(AND($C7=0,$E7=""),1,0)))</f>
        <v/>
      </c>
    </row>
    <row r="8" ht="18" customHeight="1">
      <c r="A8" s="28" t="n"/>
      <c r="B8" s="28" t="n"/>
      <c r="C8" s="29" t="n"/>
      <c r="D8" s="28" t="n"/>
      <c r="E8" s="28" t="n"/>
      <c r="F8" s="9">
        <f>IF(COUNTA($A8:$E8)=0,"",IF($G8=1,"△ Names no benefit on Benefits",IF($H8=1,"△ Per year missing, or 0 with no Note","○ Clear")))</f>
        <v/>
      </c>
      <c r="G8" s="9">
        <f>IF(COUNTA($A8:$E8)=0,0,IF($B8="",1,IF(SUMPRODUCT(--(Benefits!$A$7:$A$46=$B8))=0,1,0)))</f>
        <v/>
      </c>
      <c r="H8" s="9">
        <f>IF(COUNTA($A8:$E8)=0,0,IF(NOT(ISNUMBER($C8)),1,IF(AND($C8=0,$E8=""),1,0)))</f>
        <v/>
      </c>
    </row>
    <row r="9" ht="18" customHeight="1">
      <c r="A9" s="28" t="n"/>
      <c r="B9" s="28" t="n"/>
      <c r="C9" s="29" t="n"/>
      <c r="D9" s="28" t="n"/>
      <c r="E9" s="28" t="n"/>
      <c r="F9" s="9">
        <f>IF(COUNTA($A9:$E9)=0,"",IF($G9=1,"△ Names no benefit on Benefits",IF($H9=1,"△ Per year missing, or 0 with no Note","○ Clear")))</f>
        <v/>
      </c>
      <c r="G9" s="9">
        <f>IF(COUNTA($A9:$E9)=0,0,IF($B9="",1,IF(SUMPRODUCT(--(Benefits!$A$7:$A$46=$B9))=0,1,0)))</f>
        <v/>
      </c>
      <c r="H9" s="9">
        <f>IF(COUNTA($A9:$E9)=0,0,IF(NOT(ISNUMBER($C9)),1,IF(AND($C9=0,$E9=""),1,0)))</f>
        <v/>
      </c>
    </row>
    <row r="10" ht="18" customHeight="1">
      <c r="A10" s="28" t="n"/>
      <c r="B10" s="28" t="n"/>
      <c r="C10" s="29" t="n"/>
      <c r="D10" s="28" t="n"/>
      <c r="E10" s="28" t="n"/>
      <c r="F10" s="9">
        <f>IF(COUNTA($A10:$E10)=0,"",IF($G10=1,"△ Names no benefit on Benefits",IF($H10=1,"△ Per year missing, or 0 with no Note","○ Clear")))</f>
        <v/>
      </c>
      <c r="G10" s="9">
        <f>IF(COUNTA($A10:$E10)=0,0,IF($B10="",1,IF(SUMPRODUCT(--(Benefits!$A$7:$A$46=$B10))=0,1,0)))</f>
        <v/>
      </c>
      <c r="H10" s="9">
        <f>IF(COUNTA($A10:$E10)=0,0,IF(NOT(ISNUMBER($C10)),1,IF(AND($C10=0,$E10=""),1,0)))</f>
        <v/>
      </c>
    </row>
    <row r="11" ht="18" customHeight="1">
      <c r="A11" s="28" t="n"/>
      <c r="B11" s="28" t="n"/>
      <c r="C11" s="29" t="n"/>
      <c r="D11" s="28" t="n"/>
      <c r="E11" s="28" t="n"/>
      <c r="F11" s="9">
        <f>IF(COUNTA($A11:$E11)=0,"",IF($G11=1,"△ Names no benefit on Benefits",IF($H11=1,"△ Per year missing, or 0 with no Note","○ Clear")))</f>
        <v/>
      </c>
      <c r="G11" s="9">
        <f>IF(COUNTA($A11:$E11)=0,0,IF($B11="",1,IF(SUMPRODUCT(--(Benefits!$A$7:$A$46=$B11))=0,1,0)))</f>
        <v/>
      </c>
      <c r="H11" s="9">
        <f>IF(COUNTA($A11:$E11)=0,0,IF(NOT(ISNUMBER($C11)),1,IF(AND($C11=0,$E11=""),1,0)))</f>
        <v/>
      </c>
    </row>
    <row r="12" ht="18" customHeight="1">
      <c r="A12" s="28" t="n"/>
      <c r="B12" s="28" t="n"/>
      <c r="C12" s="29" t="n"/>
      <c r="D12" s="28" t="n"/>
      <c r="E12" s="28" t="n"/>
      <c r="F12" s="9">
        <f>IF(COUNTA($A12:$E12)=0,"",IF($G12=1,"△ Names no benefit on Benefits",IF($H12=1,"△ Per year missing, or 0 with no Note","○ Clear")))</f>
        <v/>
      </c>
      <c r="G12" s="9">
        <f>IF(COUNTA($A12:$E12)=0,0,IF($B12="",1,IF(SUMPRODUCT(--(Benefits!$A$7:$A$46=$B12))=0,1,0)))</f>
        <v/>
      </c>
      <c r="H12" s="9">
        <f>IF(COUNTA($A12:$E12)=0,0,IF(NOT(ISNUMBER($C12)),1,IF(AND($C12=0,$E12=""),1,0)))</f>
        <v/>
      </c>
    </row>
    <row r="13" ht="18" customHeight="1">
      <c r="A13" s="28" t="n"/>
      <c r="B13" s="28" t="n"/>
      <c r="C13" s="29" t="n"/>
      <c r="D13" s="28" t="n"/>
      <c r="E13" s="28" t="n"/>
      <c r="F13" s="9">
        <f>IF(COUNTA($A13:$E13)=0,"",IF($G13=1,"△ Names no benefit on Benefits",IF($H13=1,"△ Per year missing, or 0 with no Note","○ Clear")))</f>
        <v/>
      </c>
      <c r="G13" s="9">
        <f>IF(COUNTA($A13:$E13)=0,0,IF($B13="",1,IF(SUMPRODUCT(--(Benefits!$A$7:$A$46=$B13))=0,1,0)))</f>
        <v/>
      </c>
      <c r="H13" s="9">
        <f>IF(COUNTA($A13:$E13)=0,0,IF(NOT(ISNUMBER($C13)),1,IF(AND($C13=0,$E13=""),1,0)))</f>
        <v/>
      </c>
    </row>
    <row r="14" ht="18" customHeight="1">
      <c r="A14" s="28" t="n"/>
      <c r="B14" s="28" t="n"/>
      <c r="C14" s="29" t="n"/>
      <c r="D14" s="28" t="n"/>
      <c r="E14" s="28" t="n"/>
      <c r="F14" s="9">
        <f>IF(COUNTA($A14:$E14)=0,"",IF($G14=1,"△ Names no benefit on Benefits",IF($H14=1,"△ Per year missing, or 0 with no Note","○ Clear")))</f>
        <v/>
      </c>
      <c r="G14" s="9">
        <f>IF(COUNTA($A14:$E14)=0,0,IF($B14="",1,IF(SUMPRODUCT(--(Benefits!$A$7:$A$46=$B14))=0,1,0)))</f>
        <v/>
      </c>
      <c r="H14" s="9">
        <f>IF(COUNTA($A14:$E14)=0,0,IF(NOT(ISNUMBER($C14)),1,IF(AND($C14=0,$E14=""),1,0)))</f>
        <v/>
      </c>
    </row>
    <row r="15" ht="18" customHeight="1">
      <c r="A15" s="28" t="n"/>
      <c r="B15" s="28" t="n"/>
      <c r="C15" s="29" t="n"/>
      <c r="D15" s="28" t="n"/>
      <c r="E15" s="28" t="n"/>
      <c r="F15" s="9">
        <f>IF(COUNTA($A15:$E15)=0,"",IF($G15=1,"△ Names no benefit on Benefits",IF($H15=1,"△ Per year missing, or 0 with no Note","○ Clear")))</f>
        <v/>
      </c>
      <c r="G15" s="9">
        <f>IF(COUNTA($A15:$E15)=0,0,IF($B15="",1,IF(SUMPRODUCT(--(Benefits!$A$7:$A$46=$B15))=0,1,0)))</f>
        <v/>
      </c>
      <c r="H15" s="9">
        <f>IF(COUNTA($A15:$E15)=0,0,IF(NOT(ISNUMBER($C15)),1,IF(AND($C15=0,$E15=""),1,0)))</f>
        <v/>
      </c>
    </row>
    <row r="16" ht="18" customHeight="1">
      <c r="A16" s="28" t="n"/>
      <c r="B16" s="28" t="n"/>
      <c r="C16" s="29" t="n"/>
      <c r="D16" s="28" t="n"/>
      <c r="E16" s="28" t="n"/>
      <c r="F16" s="9">
        <f>IF(COUNTA($A16:$E16)=0,"",IF($G16=1,"△ Names no benefit on Benefits",IF($H16=1,"△ Per year missing, or 0 with no Note","○ Clear")))</f>
        <v/>
      </c>
      <c r="G16" s="9">
        <f>IF(COUNTA($A16:$E16)=0,0,IF($B16="",1,IF(SUMPRODUCT(--(Benefits!$A$7:$A$46=$B16))=0,1,0)))</f>
        <v/>
      </c>
      <c r="H16" s="9">
        <f>IF(COUNTA($A16:$E16)=0,0,IF(NOT(ISNUMBER($C16)),1,IF(AND($C16=0,$E16=""),1,0)))</f>
        <v/>
      </c>
    </row>
    <row r="17" ht="18" customHeight="1">
      <c r="A17" s="28" t="n"/>
      <c r="B17" s="28" t="n"/>
      <c r="C17" s="29" t="n"/>
      <c r="D17" s="28" t="n"/>
      <c r="E17" s="28" t="n"/>
      <c r="F17" s="9">
        <f>IF(COUNTA($A17:$E17)=0,"",IF($G17=1,"△ Names no benefit on Benefits",IF($H17=1,"△ Per year missing, or 0 with no Note","○ Clear")))</f>
        <v/>
      </c>
      <c r="G17" s="9">
        <f>IF(COUNTA($A17:$E17)=0,0,IF($B17="",1,IF(SUMPRODUCT(--(Benefits!$A$7:$A$46=$B17))=0,1,0)))</f>
        <v/>
      </c>
      <c r="H17" s="9">
        <f>IF(COUNTA($A17:$E17)=0,0,IF(NOT(ISNUMBER($C17)),1,IF(AND($C17=0,$E17=""),1,0)))</f>
        <v/>
      </c>
    </row>
    <row r="18" ht="18" customHeight="1">
      <c r="A18" s="28" t="n"/>
      <c r="B18" s="28" t="n"/>
      <c r="C18" s="29" t="n"/>
      <c r="D18" s="28" t="n"/>
      <c r="E18" s="28" t="n"/>
      <c r="F18" s="9">
        <f>IF(COUNTA($A18:$E18)=0,"",IF($G18=1,"△ Names no benefit on Benefits",IF($H18=1,"△ Per year missing, or 0 with no Note","○ Clear")))</f>
        <v/>
      </c>
      <c r="G18" s="9">
        <f>IF(COUNTA($A18:$E18)=0,0,IF($B18="",1,IF(SUMPRODUCT(--(Benefits!$A$7:$A$46=$B18))=0,1,0)))</f>
        <v/>
      </c>
      <c r="H18" s="9">
        <f>IF(COUNTA($A18:$E18)=0,0,IF(NOT(ISNUMBER($C18)),1,IF(AND($C18=0,$E18=""),1,0)))</f>
        <v/>
      </c>
    </row>
    <row r="19" ht="18" customHeight="1">
      <c r="A19" s="28" t="n"/>
      <c r="B19" s="28" t="n"/>
      <c r="C19" s="29" t="n"/>
      <c r="D19" s="28" t="n"/>
      <c r="E19" s="28" t="n"/>
      <c r="F19" s="9">
        <f>IF(COUNTA($A19:$E19)=0,"",IF($G19=1,"△ Names no benefit on Benefits",IF($H19=1,"△ Per year missing, or 0 with no Note","○ Clear")))</f>
        <v/>
      </c>
      <c r="G19" s="9">
        <f>IF(COUNTA($A19:$E19)=0,0,IF($B19="",1,IF(SUMPRODUCT(--(Benefits!$A$7:$A$46=$B19))=0,1,0)))</f>
        <v/>
      </c>
      <c r="H19" s="9">
        <f>IF(COUNTA($A19:$E19)=0,0,IF(NOT(ISNUMBER($C19)),1,IF(AND($C19=0,$E19=""),1,0)))</f>
        <v/>
      </c>
    </row>
    <row r="20" ht="18" customHeight="1">
      <c r="A20" s="28" t="n"/>
      <c r="B20" s="28" t="n"/>
      <c r="C20" s="29" t="n"/>
      <c r="D20" s="28" t="n"/>
      <c r="E20" s="28" t="n"/>
      <c r="F20" s="9">
        <f>IF(COUNTA($A20:$E20)=0,"",IF($G20=1,"△ Names no benefit on Benefits",IF($H20=1,"△ Per year missing, or 0 with no Note","○ Clear")))</f>
        <v/>
      </c>
      <c r="G20" s="9">
        <f>IF(COUNTA($A20:$E20)=0,0,IF($B20="",1,IF(SUMPRODUCT(--(Benefits!$A$7:$A$46=$B20))=0,1,0)))</f>
        <v/>
      </c>
      <c r="H20" s="9">
        <f>IF(COUNTA($A20:$E20)=0,0,IF(NOT(ISNUMBER($C20)),1,IF(AND($C20=0,$E20=""),1,0)))</f>
        <v/>
      </c>
    </row>
    <row r="21" ht="18" customHeight="1">
      <c r="A21" s="28" t="n"/>
      <c r="B21" s="28" t="n"/>
      <c r="C21" s="29" t="n"/>
      <c r="D21" s="28" t="n"/>
      <c r="E21" s="28" t="n"/>
      <c r="F21" s="9">
        <f>IF(COUNTA($A21:$E21)=0,"",IF($G21=1,"△ Names no benefit on Benefits",IF($H21=1,"△ Per year missing, or 0 with no Note","○ Clear")))</f>
        <v/>
      </c>
      <c r="G21" s="9">
        <f>IF(COUNTA($A21:$E21)=0,0,IF($B21="",1,IF(SUMPRODUCT(--(Benefits!$A$7:$A$46=$B21))=0,1,0)))</f>
        <v/>
      </c>
      <c r="H21" s="9">
        <f>IF(COUNTA($A21:$E21)=0,0,IF(NOT(ISNUMBER($C21)),1,IF(AND($C21=0,$E21=""),1,0)))</f>
        <v/>
      </c>
    </row>
  </sheetData>
  <sheetProtection selectLockedCells="0" selectUnlockedCells="0" sheet="1" objects="0" insertRows="1" insertHyperlinks="1" autoFilter="0" scenarios="0" formatColumns="0" deleteColumns="1" insertColumns="1" pivotTables="1" deleteRows="1" formatCells="0" formatRows="0" sort="0"/>
  <autoFilter ref="A6:F21"/>
  <mergeCells count="1">
    <mergeCell ref="A5:F5"/>
  </mergeCells>
  <conditionalFormatting sqref="F7:F21">
    <cfRule type="expression" priority="1" dxfId="0" stopIfTrue="0">
      <formula>OR(LEFT(F7,1)="△",LEFT(F7,1)="■")</formula>
    </cfRule>
  </conditionalFormatting>
  <dataValidations count="2">
    <dataValidation sqref="B7:B21" showDropDown="0" showInputMessage="0" showErrorMessage="1" allowBlank="1" errorTitle="Check this entry" error="That isn't a benefit on Benefits. You can keep it, but the cost won't come off anything until the names match." type="list" errorStyle="warning">
      <formula1>Benefits!$A$7:$A$46</formula1>
    </dataValidation>
    <dataValidation sqref="C7:C21" showDropDown="0" showInputMessage="0" showErrorMessage="1" allowBlank="1" errorTitle="Check this entry" error="Type an amount of 0 or more, with no currency sign." type="decimal" errorStyle="stop" operator="greaterThanOrEqual">
      <formula1>0</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AE36"/>
  <sheetViews>
    <sheetView showGridLines="0" tabSelected="0" workbookViewId="0">
      <pane xSplit="1" ySplit="6" topLeftCell="B7" activePane="bottomRight" state="frozen"/>
      <selection pane="topRight"/>
      <selection pane="bottomLeft"/>
      <selection pane="bottomRight" activeCell="A1" sqref="A1"/>
    </sheetView>
  </sheetViews>
  <sheetFormatPr baseColWidth="8" defaultRowHeight="15"/>
  <cols>
    <col width="32" customWidth="1" min="1" max="1"/>
    <col width="15" customWidth="1" min="2" max="2"/>
    <col width="36" customWidth="1" min="3" max="3"/>
    <col width="12" customWidth="1" min="4" max="4"/>
    <col width="13" customWidth="1" min="5" max="5"/>
    <col width="13" customWidth="1" min="6" max="6"/>
    <col width="13" customWidth="1" min="7" max="7"/>
    <col width="10" customWidth="1" min="8" max="8"/>
    <col width="40" customWidth="1" min="9" max="9"/>
    <col width="2"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2" customWidth="1" min="26" max="26"/>
    <col hidden="1" width="12" customWidth="1" min="27" max="27"/>
    <col hidden="1" width="12" customWidth="1" min="28" max="28"/>
    <col hidden="1" width="12" customWidth="1" min="29" max="29"/>
    <col hidden="1" width="12" customWidth="1" min="30" max="30"/>
    <col hidden="1" width="12" customWidth="1" min="31" max="31"/>
  </cols>
  <sheetData>
    <row r="1" ht="24" customHeight="1">
      <c r="B1" s="1" t="inlineStr">
        <is>
          <t>Roadmap</t>
        </is>
      </c>
    </row>
    <row r="2" ht="15" customHeight="1">
      <c r="A2" s="7">
        <f>IF(Dashboard!$B$6="","","Program: "&amp;Dashboard!$B$6&amp;IF(Dashboard!$B$7="",".",". Sits under: "&amp;Dashboard!$B$7&amp;"."))</f>
        <v/>
      </c>
    </row>
    <row r="3" ht="6" customHeight="1"/>
    <row r="4" ht="15" customHeight="1"/>
    <row r="5" ht="18" customHeight="1">
      <c r="A5" s="8" t="inlineStr">
        <is>
          <t>Projects and decision points</t>
        </is>
      </c>
    </row>
    <row r="6" ht="30" customHeight="1">
      <c r="A6" s="26" t="inlineStr">
        <is>
          <t>Item</t>
        </is>
      </c>
      <c r="B6" s="26" t="inlineStr">
        <is>
          <t>Kind</t>
        </is>
      </c>
      <c r="C6" s="21" t="inlineStr">
        <is>
          <t>Note</t>
        </is>
      </c>
      <c r="D6" s="26" t="inlineStr">
        <is>
          <t>Status</t>
        </is>
      </c>
      <c r="E6" s="26" t="inlineStr">
        <is>
          <t>Start</t>
        </is>
      </c>
      <c r="F6" s="26" t="inlineStr">
        <is>
          <t>Planned finish</t>
        </is>
      </c>
      <c r="G6" s="26" t="inlineStr">
        <is>
          <t>Latest forecast</t>
        </is>
      </c>
      <c r="H6" s="21" t="inlineStr">
        <is>
          <t>Working days late</t>
        </is>
      </c>
      <c r="I6" s="21" t="inlineStr">
        <is>
          <t>Row check</t>
        </is>
      </c>
      <c r="K6" s="32">
        <f>IF(ISNUMBER(Dashboard!$H$10),DATE(YEAR(Dashboard!$H$10),MONTH(Dashboard!$H$10),1),DATE(YEAR(Dashboard!$B$16),MONTH(Dashboard!$B$16),1))</f>
        <v/>
      </c>
      <c r="L6" s="32">
        <f>DATE(YEAR(K6),MONTH(K6)+1,1)</f>
        <v/>
      </c>
      <c r="M6" s="32">
        <f>DATE(YEAR(L6),MONTH(L6)+1,1)</f>
        <v/>
      </c>
      <c r="N6" s="32">
        <f>DATE(YEAR(M6),MONTH(M6)+1,1)</f>
        <v/>
      </c>
      <c r="O6" s="32">
        <f>DATE(YEAR(N6),MONTH(N6)+1,1)</f>
        <v/>
      </c>
      <c r="P6" s="32">
        <f>DATE(YEAR(O6),MONTH(O6)+1,1)</f>
        <v/>
      </c>
      <c r="Q6" s="32">
        <f>DATE(YEAR(P6),MONTH(P6)+1,1)</f>
        <v/>
      </c>
      <c r="R6" s="32">
        <f>DATE(YEAR(Q6),MONTH(Q6)+1,1)</f>
        <v/>
      </c>
      <c r="S6" s="32">
        <f>DATE(YEAR(R6),MONTH(R6)+1,1)</f>
        <v/>
      </c>
      <c r="T6" s="32">
        <f>DATE(YEAR(S6),MONTH(S6)+1,1)</f>
        <v/>
      </c>
      <c r="U6" s="32">
        <f>DATE(YEAR(T6),MONTH(T6)+1,1)</f>
        <v/>
      </c>
      <c r="V6" s="32">
        <f>DATE(YEAR(U6),MONTH(U6)+1,1)</f>
        <v/>
      </c>
      <c r="W6" s="32">
        <f>DATE(YEAR(V6),MONTH(V6)+1,1)</f>
        <v/>
      </c>
      <c r="X6" s="32">
        <f>DATE(YEAR(W6),MONTH(W6)+1,1)</f>
        <v/>
      </c>
      <c r="Y6" s="32">
        <f>DATE(YEAR(X6),MONTH(X6)+1,1)</f>
        <v/>
      </c>
      <c r="AA6" s="21" t="inlineStr">
        <is>
          <t>Forecast counted toward the outcome date</t>
        </is>
      </c>
      <c r="AB6" s="21" t="inlineStr">
        <is>
          <t>Decision point on or after Counting from</t>
        </is>
      </c>
      <c r="AC6" s="21" t="inlineStr">
        <is>
          <t>Helper, worked out</t>
        </is>
      </c>
      <c r="AD6" s="21" t="inlineStr">
        <is>
          <t>Helper, worked out</t>
        </is>
      </c>
      <c r="AE6" s="21" t="inlineStr">
        <is>
          <t>Helper, worked out</t>
        </is>
      </c>
    </row>
    <row r="7" ht="18" customHeight="1">
      <c r="A7" s="28" t="n"/>
      <c r="B7" s="28" t="n"/>
      <c r="C7" s="9">
        <f>IF($A7="","",IF(AND($B7="Project",$D7="Proposed"),"Proposed, so not counted until it's Active",IF($AE7=1,"Runs past the last month shown","")))</f>
        <v/>
      </c>
      <c r="D7" s="28" t="n"/>
      <c r="E7" s="14" t="n"/>
      <c r="F7" s="14" t="n"/>
      <c r="G7" s="14" t="n"/>
      <c r="H7" s="33">
        <f>IF($A7="","",IF(OR($B7&lt;&gt;"Project",$D7="Proposed",NOT(ISNUMBER($F7)),NOT(ISNUMBER($G7))),"",IF($G7&lt;=$F7,0,NETWORKDAYS($F7+1,$G7))))</f>
        <v/>
      </c>
      <c r="I7" s="9">
        <f>IF($A7="","",IF(SUMPRODUCT(--($A$7:$A$36=$A7))&gt;1,"△ Name used twice",IF(OR($B7="",NOT(ISNUMBER($F7))),"△ Kind or Planned finish missing",IF(AND($B7="Project",OR($D7="",AND($D7&lt;&gt;"Proposed",OR(NOT(ISNUMBER($E7)),NOT(ISNUMBER($G7)))))),"△ Status, Start or Latest forecast missing",IF(AND(ISNUMBER($E7),ISNUMBER($F7)),IF($E7&gt;$F7,"△ Start is after Planned finish","○ Clear"),"○ Clear")))))</f>
        <v/>
      </c>
      <c r="K7" s="34">
        <f>IF($A7="","",IF($B7="Decision point",IF(AND(ISNUMBER($F7),$F7&gt;=K$6,$F7&lt;=DATE(YEAR(K$6),MONTH(K$6)+1,0)),"◆",""),IF($B7="Project",IF(AND(ISNUMBER($E7),ISNUMBER($F7),$E7&lt;=DATE(YEAR(K$6),MONTH(K$6)+1,0),$F7&gt;=K$6),"█",IF(AND(ISNUMBER($F7),ISNUMBER($G7),$G7&gt;$F7,K$6&lt;=$G7,DATE(YEAR(K$6),MONTH(K$6)+1,0)&gt;$F7),"░","")),"")))</f>
        <v/>
      </c>
      <c r="L7" s="34">
        <f>IF($A7="","",IF($B7="Decision point",IF(AND(ISNUMBER($F7),$F7&gt;=L$6,$F7&lt;=DATE(YEAR(L$6),MONTH(L$6)+1,0)),"◆",""),IF($B7="Project",IF(AND(ISNUMBER($E7),ISNUMBER($F7),$E7&lt;=DATE(YEAR(L$6),MONTH(L$6)+1,0),$F7&gt;=L$6),"█",IF(AND(ISNUMBER($F7),ISNUMBER($G7),$G7&gt;$F7,L$6&lt;=$G7,DATE(YEAR(L$6),MONTH(L$6)+1,0)&gt;$F7),"░","")),"")))</f>
        <v/>
      </c>
      <c r="M7" s="34">
        <f>IF($A7="","",IF($B7="Decision point",IF(AND(ISNUMBER($F7),$F7&gt;=M$6,$F7&lt;=DATE(YEAR(M$6),MONTH(M$6)+1,0)),"◆",""),IF($B7="Project",IF(AND(ISNUMBER($E7),ISNUMBER($F7),$E7&lt;=DATE(YEAR(M$6),MONTH(M$6)+1,0),$F7&gt;=M$6),"█",IF(AND(ISNUMBER($F7),ISNUMBER($G7),$G7&gt;$F7,M$6&lt;=$G7,DATE(YEAR(M$6),MONTH(M$6)+1,0)&gt;$F7),"░","")),"")))</f>
        <v/>
      </c>
      <c r="N7" s="34">
        <f>IF($A7="","",IF($B7="Decision point",IF(AND(ISNUMBER($F7),$F7&gt;=N$6,$F7&lt;=DATE(YEAR(N$6),MONTH(N$6)+1,0)),"◆",""),IF($B7="Project",IF(AND(ISNUMBER($E7),ISNUMBER($F7),$E7&lt;=DATE(YEAR(N$6),MONTH(N$6)+1,0),$F7&gt;=N$6),"█",IF(AND(ISNUMBER($F7),ISNUMBER($G7),$G7&gt;$F7,N$6&lt;=$G7,DATE(YEAR(N$6),MONTH(N$6)+1,0)&gt;$F7),"░","")),"")))</f>
        <v/>
      </c>
      <c r="O7" s="34">
        <f>IF($A7="","",IF($B7="Decision point",IF(AND(ISNUMBER($F7),$F7&gt;=O$6,$F7&lt;=DATE(YEAR(O$6),MONTH(O$6)+1,0)),"◆",""),IF($B7="Project",IF(AND(ISNUMBER($E7),ISNUMBER($F7),$E7&lt;=DATE(YEAR(O$6),MONTH(O$6)+1,0),$F7&gt;=O$6),"█",IF(AND(ISNUMBER($F7),ISNUMBER($G7),$G7&gt;$F7,O$6&lt;=$G7,DATE(YEAR(O$6),MONTH(O$6)+1,0)&gt;$F7),"░","")),"")))</f>
        <v/>
      </c>
      <c r="P7" s="34">
        <f>IF($A7="","",IF($B7="Decision point",IF(AND(ISNUMBER($F7),$F7&gt;=P$6,$F7&lt;=DATE(YEAR(P$6),MONTH(P$6)+1,0)),"◆",""),IF($B7="Project",IF(AND(ISNUMBER($E7),ISNUMBER($F7),$E7&lt;=DATE(YEAR(P$6),MONTH(P$6)+1,0),$F7&gt;=P$6),"█",IF(AND(ISNUMBER($F7),ISNUMBER($G7),$G7&gt;$F7,P$6&lt;=$G7,DATE(YEAR(P$6),MONTH(P$6)+1,0)&gt;$F7),"░","")),"")))</f>
        <v/>
      </c>
      <c r="Q7" s="34">
        <f>IF($A7="","",IF($B7="Decision point",IF(AND(ISNUMBER($F7),$F7&gt;=Q$6,$F7&lt;=DATE(YEAR(Q$6),MONTH(Q$6)+1,0)),"◆",""),IF($B7="Project",IF(AND(ISNUMBER($E7),ISNUMBER($F7),$E7&lt;=DATE(YEAR(Q$6),MONTH(Q$6)+1,0),$F7&gt;=Q$6),"█",IF(AND(ISNUMBER($F7),ISNUMBER($G7),$G7&gt;$F7,Q$6&lt;=$G7,DATE(YEAR(Q$6),MONTH(Q$6)+1,0)&gt;$F7),"░","")),"")))</f>
        <v/>
      </c>
      <c r="R7" s="34">
        <f>IF($A7="","",IF($B7="Decision point",IF(AND(ISNUMBER($F7),$F7&gt;=R$6,$F7&lt;=DATE(YEAR(R$6),MONTH(R$6)+1,0)),"◆",""),IF($B7="Project",IF(AND(ISNUMBER($E7),ISNUMBER($F7),$E7&lt;=DATE(YEAR(R$6),MONTH(R$6)+1,0),$F7&gt;=R$6),"█",IF(AND(ISNUMBER($F7),ISNUMBER($G7),$G7&gt;$F7,R$6&lt;=$G7,DATE(YEAR(R$6),MONTH(R$6)+1,0)&gt;$F7),"░","")),"")))</f>
        <v/>
      </c>
      <c r="S7" s="34">
        <f>IF($A7="","",IF($B7="Decision point",IF(AND(ISNUMBER($F7),$F7&gt;=S$6,$F7&lt;=DATE(YEAR(S$6),MONTH(S$6)+1,0)),"◆",""),IF($B7="Project",IF(AND(ISNUMBER($E7),ISNUMBER($F7),$E7&lt;=DATE(YEAR(S$6),MONTH(S$6)+1,0),$F7&gt;=S$6),"█",IF(AND(ISNUMBER($F7),ISNUMBER($G7),$G7&gt;$F7,S$6&lt;=$G7,DATE(YEAR(S$6),MONTH(S$6)+1,0)&gt;$F7),"░","")),"")))</f>
        <v/>
      </c>
      <c r="T7" s="34">
        <f>IF($A7="","",IF($B7="Decision point",IF(AND(ISNUMBER($F7),$F7&gt;=T$6,$F7&lt;=DATE(YEAR(T$6),MONTH(T$6)+1,0)),"◆",""),IF($B7="Project",IF(AND(ISNUMBER($E7),ISNUMBER($F7),$E7&lt;=DATE(YEAR(T$6),MONTH(T$6)+1,0),$F7&gt;=T$6),"█",IF(AND(ISNUMBER($F7),ISNUMBER($G7),$G7&gt;$F7,T$6&lt;=$G7,DATE(YEAR(T$6),MONTH(T$6)+1,0)&gt;$F7),"░","")),"")))</f>
        <v/>
      </c>
      <c r="U7" s="34">
        <f>IF($A7="","",IF($B7="Decision point",IF(AND(ISNUMBER($F7),$F7&gt;=U$6,$F7&lt;=DATE(YEAR(U$6),MONTH(U$6)+1,0)),"◆",""),IF($B7="Project",IF(AND(ISNUMBER($E7),ISNUMBER($F7),$E7&lt;=DATE(YEAR(U$6),MONTH(U$6)+1,0),$F7&gt;=U$6),"█",IF(AND(ISNUMBER($F7),ISNUMBER($G7),$G7&gt;$F7,U$6&lt;=$G7,DATE(YEAR(U$6),MONTH(U$6)+1,0)&gt;$F7),"░","")),"")))</f>
        <v/>
      </c>
      <c r="V7" s="34">
        <f>IF($A7="","",IF($B7="Decision point",IF(AND(ISNUMBER($F7),$F7&gt;=V$6,$F7&lt;=DATE(YEAR(V$6),MONTH(V$6)+1,0)),"◆",""),IF($B7="Project",IF(AND(ISNUMBER($E7),ISNUMBER($F7),$E7&lt;=DATE(YEAR(V$6),MONTH(V$6)+1,0),$F7&gt;=V$6),"█",IF(AND(ISNUMBER($F7),ISNUMBER($G7),$G7&gt;$F7,V$6&lt;=$G7,DATE(YEAR(V$6),MONTH(V$6)+1,0)&gt;$F7),"░","")),"")))</f>
        <v/>
      </c>
      <c r="W7" s="34">
        <f>IF($A7="","",IF($B7="Decision point",IF(AND(ISNUMBER($F7),$F7&gt;=W$6,$F7&lt;=DATE(YEAR(W$6),MONTH(W$6)+1,0)),"◆",""),IF($B7="Project",IF(AND(ISNUMBER($E7),ISNUMBER($F7),$E7&lt;=DATE(YEAR(W$6),MONTH(W$6)+1,0),$F7&gt;=W$6),"█",IF(AND(ISNUMBER($F7),ISNUMBER($G7),$G7&gt;$F7,W$6&lt;=$G7,DATE(YEAR(W$6),MONTH(W$6)+1,0)&gt;$F7),"░","")),"")))</f>
        <v/>
      </c>
      <c r="X7" s="34">
        <f>IF($A7="","",IF($B7="Decision point",IF(AND(ISNUMBER($F7),$F7&gt;=X$6,$F7&lt;=DATE(YEAR(X$6),MONTH(X$6)+1,0)),"◆",""),IF($B7="Project",IF(AND(ISNUMBER($E7),ISNUMBER($F7),$E7&lt;=DATE(YEAR(X$6),MONTH(X$6)+1,0),$F7&gt;=X$6),"█",IF(AND(ISNUMBER($F7),ISNUMBER($G7),$G7&gt;$F7,X$6&lt;=$G7,DATE(YEAR(X$6),MONTH(X$6)+1,0)&gt;$F7),"░","")),"")))</f>
        <v/>
      </c>
      <c r="Y7" s="34">
        <f>IF($AE7=1,"▶",IF($A7="","",IF($B7="Decision point",IF(AND(ISNUMBER($F7),$F7&gt;=Y$6,$F7&lt;=DATE(YEAR(Y$6),MONTH(Y$6)+1,0)),"◆",""),IF($B7="Project",IF(AND(ISNUMBER($E7),ISNUMBER($F7),$E7&lt;=DATE(YEAR(Y$6),MONTH(Y$6)+1,0),$F7&gt;=Y$6),"█",IF(AND(ISNUMBER($F7),ISNUMBER($G7),$G7&gt;$F7,Y$6&lt;=$G7,DATE(YEAR(Y$6),MONTH(Y$6)+1,0)&gt;$F7),"░","")),""))))</f>
        <v/>
      </c>
      <c r="AA7" s="9">
        <f>IF(AND($B7="Project",OR($D7="Active",$D7="Paused"),ISNUMBER($G7)),$G7,"")</f>
        <v/>
      </c>
      <c r="AB7" s="9">
        <f>IF(AND($B7="Decision point",ISNUMBER($F7)),IF($F7&gt;=Dashboard!$B$16,$F7,""),"")</f>
        <v/>
      </c>
      <c r="AC7" s="9">
        <f>IF(LEFT($I7,1)="△",1,0)</f>
        <v/>
      </c>
      <c r="AD7" s="9">
        <f>IF(ISNUMBER($AB7),100000-$AB7,0)</f>
        <v/>
      </c>
      <c r="AE7" s="9">
        <f>IF($A7="",0,IF(OR(AND(ISNUMBER($F7),$F7&gt;DATE(YEAR($Y$6),MONTH($Y$6)+1,0)),AND($B7="Project",ISNUMBER($G7),$G7&gt;DATE(YEAR($Y$6),MONTH($Y$6)+1,0))),1,0))</f>
        <v/>
      </c>
    </row>
    <row r="8" ht="18" customHeight="1">
      <c r="A8" s="28" t="n"/>
      <c r="B8" s="28" t="n"/>
      <c r="C8" s="9">
        <f>IF($A8="","",IF(AND($B8="Project",$D8="Proposed"),"Proposed, so not counted until it's Active",IF($AE8=1,"Runs past the last month shown","")))</f>
        <v/>
      </c>
      <c r="D8" s="28" t="n"/>
      <c r="E8" s="14" t="n"/>
      <c r="F8" s="14" t="n"/>
      <c r="G8" s="14" t="n"/>
      <c r="H8" s="33">
        <f>IF($A8="","",IF(OR($B8&lt;&gt;"Project",$D8="Proposed",NOT(ISNUMBER($F8)),NOT(ISNUMBER($G8))),"",IF($G8&lt;=$F8,0,NETWORKDAYS($F8+1,$G8))))</f>
        <v/>
      </c>
      <c r="I8" s="9">
        <f>IF($A8="","",IF(SUMPRODUCT(--($A$7:$A$36=$A8))&gt;1,"△ Name used twice",IF(OR($B8="",NOT(ISNUMBER($F8))),"△ Kind or Planned finish missing",IF(AND($B8="Project",OR($D8="",AND($D8&lt;&gt;"Proposed",OR(NOT(ISNUMBER($E8)),NOT(ISNUMBER($G8)))))),"△ Status, Start or Latest forecast missing",IF(AND(ISNUMBER($E8),ISNUMBER($F8)),IF($E8&gt;$F8,"△ Start is after Planned finish","○ Clear"),"○ Clear")))))</f>
        <v/>
      </c>
      <c r="K8" s="34">
        <f>IF($A8="","",IF($B8="Decision point",IF(AND(ISNUMBER($F8),$F8&gt;=K$6,$F8&lt;=DATE(YEAR(K$6),MONTH(K$6)+1,0)),"◆",""),IF($B8="Project",IF(AND(ISNUMBER($E8),ISNUMBER($F8),$E8&lt;=DATE(YEAR(K$6),MONTH(K$6)+1,0),$F8&gt;=K$6),"█",IF(AND(ISNUMBER($F8),ISNUMBER($G8),$G8&gt;$F8,K$6&lt;=$G8,DATE(YEAR(K$6),MONTH(K$6)+1,0)&gt;$F8),"░","")),"")))</f>
        <v/>
      </c>
      <c r="L8" s="34">
        <f>IF($A8="","",IF($B8="Decision point",IF(AND(ISNUMBER($F8),$F8&gt;=L$6,$F8&lt;=DATE(YEAR(L$6),MONTH(L$6)+1,0)),"◆",""),IF($B8="Project",IF(AND(ISNUMBER($E8),ISNUMBER($F8),$E8&lt;=DATE(YEAR(L$6),MONTH(L$6)+1,0),$F8&gt;=L$6),"█",IF(AND(ISNUMBER($F8),ISNUMBER($G8),$G8&gt;$F8,L$6&lt;=$G8,DATE(YEAR(L$6),MONTH(L$6)+1,0)&gt;$F8),"░","")),"")))</f>
        <v/>
      </c>
      <c r="M8" s="34">
        <f>IF($A8="","",IF($B8="Decision point",IF(AND(ISNUMBER($F8),$F8&gt;=M$6,$F8&lt;=DATE(YEAR(M$6),MONTH(M$6)+1,0)),"◆",""),IF($B8="Project",IF(AND(ISNUMBER($E8),ISNUMBER($F8),$E8&lt;=DATE(YEAR(M$6),MONTH(M$6)+1,0),$F8&gt;=M$6),"█",IF(AND(ISNUMBER($F8),ISNUMBER($G8),$G8&gt;$F8,M$6&lt;=$G8,DATE(YEAR(M$6),MONTH(M$6)+1,0)&gt;$F8),"░","")),"")))</f>
        <v/>
      </c>
      <c r="N8" s="34">
        <f>IF($A8="","",IF($B8="Decision point",IF(AND(ISNUMBER($F8),$F8&gt;=N$6,$F8&lt;=DATE(YEAR(N$6),MONTH(N$6)+1,0)),"◆",""),IF($B8="Project",IF(AND(ISNUMBER($E8),ISNUMBER($F8),$E8&lt;=DATE(YEAR(N$6),MONTH(N$6)+1,0),$F8&gt;=N$6),"█",IF(AND(ISNUMBER($F8),ISNUMBER($G8),$G8&gt;$F8,N$6&lt;=$G8,DATE(YEAR(N$6),MONTH(N$6)+1,0)&gt;$F8),"░","")),"")))</f>
        <v/>
      </c>
      <c r="O8" s="34">
        <f>IF($A8="","",IF($B8="Decision point",IF(AND(ISNUMBER($F8),$F8&gt;=O$6,$F8&lt;=DATE(YEAR(O$6),MONTH(O$6)+1,0)),"◆",""),IF($B8="Project",IF(AND(ISNUMBER($E8),ISNUMBER($F8),$E8&lt;=DATE(YEAR(O$6),MONTH(O$6)+1,0),$F8&gt;=O$6),"█",IF(AND(ISNUMBER($F8),ISNUMBER($G8),$G8&gt;$F8,O$6&lt;=$G8,DATE(YEAR(O$6),MONTH(O$6)+1,0)&gt;$F8),"░","")),"")))</f>
        <v/>
      </c>
      <c r="P8" s="34">
        <f>IF($A8="","",IF($B8="Decision point",IF(AND(ISNUMBER($F8),$F8&gt;=P$6,$F8&lt;=DATE(YEAR(P$6),MONTH(P$6)+1,0)),"◆",""),IF($B8="Project",IF(AND(ISNUMBER($E8),ISNUMBER($F8),$E8&lt;=DATE(YEAR(P$6),MONTH(P$6)+1,0),$F8&gt;=P$6),"█",IF(AND(ISNUMBER($F8),ISNUMBER($G8),$G8&gt;$F8,P$6&lt;=$G8,DATE(YEAR(P$6),MONTH(P$6)+1,0)&gt;$F8),"░","")),"")))</f>
        <v/>
      </c>
      <c r="Q8" s="34">
        <f>IF($A8="","",IF($B8="Decision point",IF(AND(ISNUMBER($F8),$F8&gt;=Q$6,$F8&lt;=DATE(YEAR(Q$6),MONTH(Q$6)+1,0)),"◆",""),IF($B8="Project",IF(AND(ISNUMBER($E8),ISNUMBER($F8),$E8&lt;=DATE(YEAR(Q$6),MONTH(Q$6)+1,0),$F8&gt;=Q$6),"█",IF(AND(ISNUMBER($F8),ISNUMBER($G8),$G8&gt;$F8,Q$6&lt;=$G8,DATE(YEAR(Q$6),MONTH(Q$6)+1,0)&gt;$F8),"░","")),"")))</f>
        <v/>
      </c>
      <c r="R8" s="34">
        <f>IF($A8="","",IF($B8="Decision point",IF(AND(ISNUMBER($F8),$F8&gt;=R$6,$F8&lt;=DATE(YEAR(R$6),MONTH(R$6)+1,0)),"◆",""),IF($B8="Project",IF(AND(ISNUMBER($E8),ISNUMBER($F8),$E8&lt;=DATE(YEAR(R$6),MONTH(R$6)+1,0),$F8&gt;=R$6),"█",IF(AND(ISNUMBER($F8),ISNUMBER($G8),$G8&gt;$F8,R$6&lt;=$G8,DATE(YEAR(R$6),MONTH(R$6)+1,0)&gt;$F8),"░","")),"")))</f>
        <v/>
      </c>
      <c r="S8" s="34">
        <f>IF($A8="","",IF($B8="Decision point",IF(AND(ISNUMBER($F8),$F8&gt;=S$6,$F8&lt;=DATE(YEAR(S$6),MONTH(S$6)+1,0)),"◆",""),IF($B8="Project",IF(AND(ISNUMBER($E8),ISNUMBER($F8),$E8&lt;=DATE(YEAR(S$6),MONTH(S$6)+1,0),$F8&gt;=S$6),"█",IF(AND(ISNUMBER($F8),ISNUMBER($G8),$G8&gt;$F8,S$6&lt;=$G8,DATE(YEAR(S$6),MONTH(S$6)+1,0)&gt;$F8),"░","")),"")))</f>
        <v/>
      </c>
      <c r="T8" s="34">
        <f>IF($A8="","",IF($B8="Decision point",IF(AND(ISNUMBER($F8),$F8&gt;=T$6,$F8&lt;=DATE(YEAR(T$6),MONTH(T$6)+1,0)),"◆",""),IF($B8="Project",IF(AND(ISNUMBER($E8),ISNUMBER($F8),$E8&lt;=DATE(YEAR(T$6),MONTH(T$6)+1,0),$F8&gt;=T$6),"█",IF(AND(ISNUMBER($F8),ISNUMBER($G8),$G8&gt;$F8,T$6&lt;=$G8,DATE(YEAR(T$6),MONTH(T$6)+1,0)&gt;$F8),"░","")),"")))</f>
        <v/>
      </c>
      <c r="U8" s="34">
        <f>IF($A8="","",IF($B8="Decision point",IF(AND(ISNUMBER($F8),$F8&gt;=U$6,$F8&lt;=DATE(YEAR(U$6),MONTH(U$6)+1,0)),"◆",""),IF($B8="Project",IF(AND(ISNUMBER($E8),ISNUMBER($F8),$E8&lt;=DATE(YEAR(U$6),MONTH(U$6)+1,0),$F8&gt;=U$6),"█",IF(AND(ISNUMBER($F8),ISNUMBER($G8),$G8&gt;$F8,U$6&lt;=$G8,DATE(YEAR(U$6),MONTH(U$6)+1,0)&gt;$F8),"░","")),"")))</f>
        <v/>
      </c>
      <c r="V8" s="34">
        <f>IF($A8="","",IF($B8="Decision point",IF(AND(ISNUMBER($F8),$F8&gt;=V$6,$F8&lt;=DATE(YEAR(V$6),MONTH(V$6)+1,0)),"◆",""),IF($B8="Project",IF(AND(ISNUMBER($E8),ISNUMBER($F8),$E8&lt;=DATE(YEAR(V$6),MONTH(V$6)+1,0),$F8&gt;=V$6),"█",IF(AND(ISNUMBER($F8),ISNUMBER($G8),$G8&gt;$F8,V$6&lt;=$G8,DATE(YEAR(V$6),MONTH(V$6)+1,0)&gt;$F8),"░","")),"")))</f>
        <v/>
      </c>
      <c r="W8" s="34">
        <f>IF($A8="","",IF($B8="Decision point",IF(AND(ISNUMBER($F8),$F8&gt;=W$6,$F8&lt;=DATE(YEAR(W$6),MONTH(W$6)+1,0)),"◆",""),IF($B8="Project",IF(AND(ISNUMBER($E8),ISNUMBER($F8),$E8&lt;=DATE(YEAR(W$6),MONTH(W$6)+1,0),$F8&gt;=W$6),"█",IF(AND(ISNUMBER($F8),ISNUMBER($G8),$G8&gt;$F8,W$6&lt;=$G8,DATE(YEAR(W$6),MONTH(W$6)+1,0)&gt;$F8),"░","")),"")))</f>
        <v/>
      </c>
      <c r="X8" s="34">
        <f>IF($A8="","",IF($B8="Decision point",IF(AND(ISNUMBER($F8),$F8&gt;=X$6,$F8&lt;=DATE(YEAR(X$6),MONTH(X$6)+1,0)),"◆",""),IF($B8="Project",IF(AND(ISNUMBER($E8),ISNUMBER($F8),$E8&lt;=DATE(YEAR(X$6),MONTH(X$6)+1,0),$F8&gt;=X$6),"█",IF(AND(ISNUMBER($F8),ISNUMBER($G8),$G8&gt;$F8,X$6&lt;=$G8,DATE(YEAR(X$6),MONTH(X$6)+1,0)&gt;$F8),"░","")),"")))</f>
        <v/>
      </c>
      <c r="Y8" s="34">
        <f>IF($AE8=1,"▶",IF($A8="","",IF($B8="Decision point",IF(AND(ISNUMBER($F8),$F8&gt;=Y$6,$F8&lt;=DATE(YEAR(Y$6),MONTH(Y$6)+1,0)),"◆",""),IF($B8="Project",IF(AND(ISNUMBER($E8),ISNUMBER($F8),$E8&lt;=DATE(YEAR(Y$6),MONTH(Y$6)+1,0),$F8&gt;=Y$6),"█",IF(AND(ISNUMBER($F8),ISNUMBER($G8),$G8&gt;$F8,Y$6&lt;=$G8,DATE(YEAR(Y$6),MONTH(Y$6)+1,0)&gt;$F8),"░","")),""))))</f>
        <v/>
      </c>
      <c r="AA8" s="9">
        <f>IF(AND($B8="Project",OR($D8="Active",$D8="Paused"),ISNUMBER($G8)),$G8,"")</f>
        <v/>
      </c>
      <c r="AB8" s="9">
        <f>IF(AND($B8="Decision point",ISNUMBER($F8)),IF($F8&gt;=Dashboard!$B$16,$F8,""),"")</f>
        <v/>
      </c>
      <c r="AC8" s="9">
        <f>IF(LEFT($I8,1)="△",1,0)</f>
        <v/>
      </c>
      <c r="AD8" s="9">
        <f>IF(ISNUMBER($AB8),100000-$AB8,0)</f>
        <v/>
      </c>
      <c r="AE8" s="9">
        <f>IF($A8="",0,IF(OR(AND(ISNUMBER($F8),$F8&gt;DATE(YEAR($Y$6),MONTH($Y$6)+1,0)),AND($B8="Project",ISNUMBER($G8),$G8&gt;DATE(YEAR($Y$6),MONTH($Y$6)+1,0))),1,0))</f>
        <v/>
      </c>
    </row>
    <row r="9" ht="18" customHeight="1">
      <c r="A9" s="28" t="n"/>
      <c r="B9" s="28" t="n"/>
      <c r="C9" s="9">
        <f>IF($A9="","",IF(AND($B9="Project",$D9="Proposed"),"Proposed, so not counted until it's Active",IF($AE9=1,"Runs past the last month shown","")))</f>
        <v/>
      </c>
      <c r="D9" s="28" t="n"/>
      <c r="E9" s="14" t="n"/>
      <c r="F9" s="14" t="n"/>
      <c r="G9" s="14" t="n"/>
      <c r="H9" s="33">
        <f>IF($A9="","",IF(OR($B9&lt;&gt;"Project",$D9="Proposed",NOT(ISNUMBER($F9)),NOT(ISNUMBER($G9))),"",IF($G9&lt;=$F9,0,NETWORKDAYS($F9+1,$G9))))</f>
        <v/>
      </c>
      <c r="I9" s="9">
        <f>IF($A9="","",IF(SUMPRODUCT(--($A$7:$A$36=$A9))&gt;1,"△ Name used twice",IF(OR($B9="",NOT(ISNUMBER($F9))),"△ Kind or Planned finish missing",IF(AND($B9="Project",OR($D9="",AND($D9&lt;&gt;"Proposed",OR(NOT(ISNUMBER($E9)),NOT(ISNUMBER($G9)))))),"△ Status, Start or Latest forecast missing",IF(AND(ISNUMBER($E9),ISNUMBER($F9)),IF($E9&gt;$F9,"△ Start is after Planned finish","○ Clear"),"○ Clear")))))</f>
        <v/>
      </c>
      <c r="K9" s="34">
        <f>IF($A9="","",IF($B9="Decision point",IF(AND(ISNUMBER($F9),$F9&gt;=K$6,$F9&lt;=DATE(YEAR(K$6),MONTH(K$6)+1,0)),"◆",""),IF($B9="Project",IF(AND(ISNUMBER($E9),ISNUMBER($F9),$E9&lt;=DATE(YEAR(K$6),MONTH(K$6)+1,0),$F9&gt;=K$6),"█",IF(AND(ISNUMBER($F9),ISNUMBER($G9),$G9&gt;$F9,K$6&lt;=$G9,DATE(YEAR(K$6),MONTH(K$6)+1,0)&gt;$F9),"░","")),"")))</f>
        <v/>
      </c>
      <c r="L9" s="34">
        <f>IF($A9="","",IF($B9="Decision point",IF(AND(ISNUMBER($F9),$F9&gt;=L$6,$F9&lt;=DATE(YEAR(L$6),MONTH(L$6)+1,0)),"◆",""),IF($B9="Project",IF(AND(ISNUMBER($E9),ISNUMBER($F9),$E9&lt;=DATE(YEAR(L$6),MONTH(L$6)+1,0),$F9&gt;=L$6),"█",IF(AND(ISNUMBER($F9),ISNUMBER($G9),$G9&gt;$F9,L$6&lt;=$G9,DATE(YEAR(L$6),MONTH(L$6)+1,0)&gt;$F9),"░","")),"")))</f>
        <v/>
      </c>
      <c r="M9" s="34">
        <f>IF($A9="","",IF($B9="Decision point",IF(AND(ISNUMBER($F9),$F9&gt;=M$6,$F9&lt;=DATE(YEAR(M$6),MONTH(M$6)+1,0)),"◆",""),IF($B9="Project",IF(AND(ISNUMBER($E9),ISNUMBER($F9),$E9&lt;=DATE(YEAR(M$6),MONTH(M$6)+1,0),$F9&gt;=M$6),"█",IF(AND(ISNUMBER($F9),ISNUMBER($G9),$G9&gt;$F9,M$6&lt;=$G9,DATE(YEAR(M$6),MONTH(M$6)+1,0)&gt;$F9),"░","")),"")))</f>
        <v/>
      </c>
      <c r="N9" s="34">
        <f>IF($A9="","",IF($B9="Decision point",IF(AND(ISNUMBER($F9),$F9&gt;=N$6,$F9&lt;=DATE(YEAR(N$6),MONTH(N$6)+1,0)),"◆",""),IF($B9="Project",IF(AND(ISNUMBER($E9),ISNUMBER($F9),$E9&lt;=DATE(YEAR(N$6),MONTH(N$6)+1,0),$F9&gt;=N$6),"█",IF(AND(ISNUMBER($F9),ISNUMBER($G9),$G9&gt;$F9,N$6&lt;=$G9,DATE(YEAR(N$6),MONTH(N$6)+1,0)&gt;$F9),"░","")),"")))</f>
        <v/>
      </c>
      <c r="O9" s="34">
        <f>IF($A9="","",IF($B9="Decision point",IF(AND(ISNUMBER($F9),$F9&gt;=O$6,$F9&lt;=DATE(YEAR(O$6),MONTH(O$6)+1,0)),"◆",""),IF($B9="Project",IF(AND(ISNUMBER($E9),ISNUMBER($F9),$E9&lt;=DATE(YEAR(O$6),MONTH(O$6)+1,0),$F9&gt;=O$6),"█",IF(AND(ISNUMBER($F9),ISNUMBER($G9),$G9&gt;$F9,O$6&lt;=$G9,DATE(YEAR(O$6),MONTH(O$6)+1,0)&gt;$F9),"░","")),"")))</f>
        <v/>
      </c>
      <c r="P9" s="34">
        <f>IF($A9="","",IF($B9="Decision point",IF(AND(ISNUMBER($F9),$F9&gt;=P$6,$F9&lt;=DATE(YEAR(P$6),MONTH(P$6)+1,0)),"◆",""),IF($B9="Project",IF(AND(ISNUMBER($E9),ISNUMBER($F9),$E9&lt;=DATE(YEAR(P$6),MONTH(P$6)+1,0),$F9&gt;=P$6),"█",IF(AND(ISNUMBER($F9),ISNUMBER($G9),$G9&gt;$F9,P$6&lt;=$G9,DATE(YEAR(P$6),MONTH(P$6)+1,0)&gt;$F9),"░","")),"")))</f>
        <v/>
      </c>
      <c r="Q9" s="34">
        <f>IF($A9="","",IF($B9="Decision point",IF(AND(ISNUMBER($F9),$F9&gt;=Q$6,$F9&lt;=DATE(YEAR(Q$6),MONTH(Q$6)+1,0)),"◆",""),IF($B9="Project",IF(AND(ISNUMBER($E9),ISNUMBER($F9),$E9&lt;=DATE(YEAR(Q$6),MONTH(Q$6)+1,0),$F9&gt;=Q$6),"█",IF(AND(ISNUMBER($F9),ISNUMBER($G9),$G9&gt;$F9,Q$6&lt;=$G9,DATE(YEAR(Q$6),MONTH(Q$6)+1,0)&gt;$F9),"░","")),"")))</f>
        <v/>
      </c>
      <c r="R9" s="34">
        <f>IF($A9="","",IF($B9="Decision point",IF(AND(ISNUMBER($F9),$F9&gt;=R$6,$F9&lt;=DATE(YEAR(R$6),MONTH(R$6)+1,0)),"◆",""),IF($B9="Project",IF(AND(ISNUMBER($E9),ISNUMBER($F9),$E9&lt;=DATE(YEAR(R$6),MONTH(R$6)+1,0),$F9&gt;=R$6),"█",IF(AND(ISNUMBER($F9),ISNUMBER($G9),$G9&gt;$F9,R$6&lt;=$G9,DATE(YEAR(R$6),MONTH(R$6)+1,0)&gt;$F9),"░","")),"")))</f>
        <v/>
      </c>
      <c r="S9" s="34">
        <f>IF($A9="","",IF($B9="Decision point",IF(AND(ISNUMBER($F9),$F9&gt;=S$6,$F9&lt;=DATE(YEAR(S$6),MONTH(S$6)+1,0)),"◆",""),IF($B9="Project",IF(AND(ISNUMBER($E9),ISNUMBER($F9),$E9&lt;=DATE(YEAR(S$6),MONTH(S$6)+1,0),$F9&gt;=S$6),"█",IF(AND(ISNUMBER($F9),ISNUMBER($G9),$G9&gt;$F9,S$6&lt;=$G9,DATE(YEAR(S$6),MONTH(S$6)+1,0)&gt;$F9),"░","")),"")))</f>
        <v/>
      </c>
      <c r="T9" s="34">
        <f>IF($A9="","",IF($B9="Decision point",IF(AND(ISNUMBER($F9),$F9&gt;=T$6,$F9&lt;=DATE(YEAR(T$6),MONTH(T$6)+1,0)),"◆",""),IF($B9="Project",IF(AND(ISNUMBER($E9),ISNUMBER($F9),$E9&lt;=DATE(YEAR(T$6),MONTH(T$6)+1,0),$F9&gt;=T$6),"█",IF(AND(ISNUMBER($F9),ISNUMBER($G9),$G9&gt;$F9,T$6&lt;=$G9,DATE(YEAR(T$6),MONTH(T$6)+1,0)&gt;$F9),"░","")),"")))</f>
        <v/>
      </c>
      <c r="U9" s="34">
        <f>IF($A9="","",IF($B9="Decision point",IF(AND(ISNUMBER($F9),$F9&gt;=U$6,$F9&lt;=DATE(YEAR(U$6),MONTH(U$6)+1,0)),"◆",""),IF($B9="Project",IF(AND(ISNUMBER($E9),ISNUMBER($F9),$E9&lt;=DATE(YEAR(U$6),MONTH(U$6)+1,0),$F9&gt;=U$6),"█",IF(AND(ISNUMBER($F9),ISNUMBER($G9),$G9&gt;$F9,U$6&lt;=$G9,DATE(YEAR(U$6),MONTH(U$6)+1,0)&gt;$F9),"░","")),"")))</f>
        <v/>
      </c>
      <c r="V9" s="34">
        <f>IF($A9="","",IF($B9="Decision point",IF(AND(ISNUMBER($F9),$F9&gt;=V$6,$F9&lt;=DATE(YEAR(V$6),MONTH(V$6)+1,0)),"◆",""),IF($B9="Project",IF(AND(ISNUMBER($E9),ISNUMBER($F9),$E9&lt;=DATE(YEAR(V$6),MONTH(V$6)+1,0),$F9&gt;=V$6),"█",IF(AND(ISNUMBER($F9),ISNUMBER($G9),$G9&gt;$F9,V$6&lt;=$G9,DATE(YEAR(V$6),MONTH(V$6)+1,0)&gt;$F9),"░","")),"")))</f>
        <v/>
      </c>
      <c r="W9" s="34">
        <f>IF($A9="","",IF($B9="Decision point",IF(AND(ISNUMBER($F9),$F9&gt;=W$6,$F9&lt;=DATE(YEAR(W$6),MONTH(W$6)+1,0)),"◆",""),IF($B9="Project",IF(AND(ISNUMBER($E9),ISNUMBER($F9),$E9&lt;=DATE(YEAR(W$6),MONTH(W$6)+1,0),$F9&gt;=W$6),"█",IF(AND(ISNUMBER($F9),ISNUMBER($G9),$G9&gt;$F9,W$6&lt;=$G9,DATE(YEAR(W$6),MONTH(W$6)+1,0)&gt;$F9),"░","")),"")))</f>
        <v/>
      </c>
      <c r="X9" s="34">
        <f>IF($A9="","",IF($B9="Decision point",IF(AND(ISNUMBER($F9),$F9&gt;=X$6,$F9&lt;=DATE(YEAR(X$6),MONTH(X$6)+1,0)),"◆",""),IF($B9="Project",IF(AND(ISNUMBER($E9),ISNUMBER($F9),$E9&lt;=DATE(YEAR(X$6),MONTH(X$6)+1,0),$F9&gt;=X$6),"█",IF(AND(ISNUMBER($F9),ISNUMBER($G9),$G9&gt;$F9,X$6&lt;=$G9,DATE(YEAR(X$6),MONTH(X$6)+1,0)&gt;$F9),"░","")),"")))</f>
        <v/>
      </c>
      <c r="Y9" s="34">
        <f>IF($AE9=1,"▶",IF($A9="","",IF($B9="Decision point",IF(AND(ISNUMBER($F9),$F9&gt;=Y$6,$F9&lt;=DATE(YEAR(Y$6),MONTH(Y$6)+1,0)),"◆",""),IF($B9="Project",IF(AND(ISNUMBER($E9),ISNUMBER($F9),$E9&lt;=DATE(YEAR(Y$6),MONTH(Y$6)+1,0),$F9&gt;=Y$6),"█",IF(AND(ISNUMBER($F9),ISNUMBER($G9),$G9&gt;$F9,Y$6&lt;=$G9,DATE(YEAR(Y$6),MONTH(Y$6)+1,0)&gt;$F9),"░","")),""))))</f>
        <v/>
      </c>
      <c r="AA9" s="9">
        <f>IF(AND($B9="Project",OR($D9="Active",$D9="Paused"),ISNUMBER($G9)),$G9,"")</f>
        <v/>
      </c>
      <c r="AB9" s="9">
        <f>IF(AND($B9="Decision point",ISNUMBER($F9)),IF($F9&gt;=Dashboard!$B$16,$F9,""),"")</f>
        <v/>
      </c>
      <c r="AC9" s="9">
        <f>IF(LEFT($I9,1)="△",1,0)</f>
        <v/>
      </c>
      <c r="AD9" s="9">
        <f>IF(ISNUMBER($AB9),100000-$AB9,0)</f>
        <v/>
      </c>
      <c r="AE9" s="9">
        <f>IF($A9="",0,IF(OR(AND(ISNUMBER($F9),$F9&gt;DATE(YEAR($Y$6),MONTH($Y$6)+1,0)),AND($B9="Project",ISNUMBER($G9),$G9&gt;DATE(YEAR($Y$6),MONTH($Y$6)+1,0))),1,0))</f>
        <v/>
      </c>
    </row>
    <row r="10" ht="18" customHeight="1">
      <c r="A10" s="28" t="n"/>
      <c r="B10" s="28" t="n"/>
      <c r="C10" s="9">
        <f>IF($A10="","",IF(AND($B10="Project",$D10="Proposed"),"Proposed, so not counted until it's Active",IF($AE10=1,"Runs past the last month shown","")))</f>
        <v/>
      </c>
      <c r="D10" s="28" t="n"/>
      <c r="E10" s="14" t="n"/>
      <c r="F10" s="14" t="n"/>
      <c r="G10" s="14" t="n"/>
      <c r="H10" s="33">
        <f>IF($A10="","",IF(OR($B10&lt;&gt;"Project",$D10="Proposed",NOT(ISNUMBER($F10)),NOT(ISNUMBER($G10))),"",IF($G10&lt;=$F10,0,NETWORKDAYS($F10+1,$G10))))</f>
        <v/>
      </c>
      <c r="I10" s="9">
        <f>IF($A10="","",IF(SUMPRODUCT(--($A$7:$A$36=$A10))&gt;1,"△ Name used twice",IF(OR($B10="",NOT(ISNUMBER($F10))),"△ Kind or Planned finish missing",IF(AND($B10="Project",OR($D10="",AND($D10&lt;&gt;"Proposed",OR(NOT(ISNUMBER($E10)),NOT(ISNUMBER($G10)))))),"△ Status, Start or Latest forecast missing",IF(AND(ISNUMBER($E10),ISNUMBER($F10)),IF($E10&gt;$F10,"△ Start is after Planned finish","○ Clear"),"○ Clear")))))</f>
        <v/>
      </c>
      <c r="K10" s="34">
        <f>IF($A10="","",IF($B10="Decision point",IF(AND(ISNUMBER($F10),$F10&gt;=K$6,$F10&lt;=DATE(YEAR(K$6),MONTH(K$6)+1,0)),"◆",""),IF($B10="Project",IF(AND(ISNUMBER($E10),ISNUMBER($F10),$E10&lt;=DATE(YEAR(K$6),MONTH(K$6)+1,0),$F10&gt;=K$6),"█",IF(AND(ISNUMBER($F10),ISNUMBER($G10),$G10&gt;$F10,K$6&lt;=$G10,DATE(YEAR(K$6),MONTH(K$6)+1,0)&gt;$F10),"░","")),"")))</f>
        <v/>
      </c>
      <c r="L10" s="34">
        <f>IF($A10="","",IF($B10="Decision point",IF(AND(ISNUMBER($F10),$F10&gt;=L$6,$F10&lt;=DATE(YEAR(L$6),MONTH(L$6)+1,0)),"◆",""),IF($B10="Project",IF(AND(ISNUMBER($E10),ISNUMBER($F10),$E10&lt;=DATE(YEAR(L$6),MONTH(L$6)+1,0),$F10&gt;=L$6),"█",IF(AND(ISNUMBER($F10),ISNUMBER($G10),$G10&gt;$F10,L$6&lt;=$G10,DATE(YEAR(L$6),MONTH(L$6)+1,0)&gt;$F10),"░","")),"")))</f>
        <v/>
      </c>
      <c r="M10" s="34">
        <f>IF($A10="","",IF($B10="Decision point",IF(AND(ISNUMBER($F10),$F10&gt;=M$6,$F10&lt;=DATE(YEAR(M$6),MONTH(M$6)+1,0)),"◆",""),IF($B10="Project",IF(AND(ISNUMBER($E10),ISNUMBER($F10),$E10&lt;=DATE(YEAR(M$6),MONTH(M$6)+1,0),$F10&gt;=M$6),"█",IF(AND(ISNUMBER($F10),ISNUMBER($G10),$G10&gt;$F10,M$6&lt;=$G10,DATE(YEAR(M$6),MONTH(M$6)+1,0)&gt;$F10),"░","")),"")))</f>
        <v/>
      </c>
      <c r="N10" s="34">
        <f>IF($A10="","",IF($B10="Decision point",IF(AND(ISNUMBER($F10),$F10&gt;=N$6,$F10&lt;=DATE(YEAR(N$6),MONTH(N$6)+1,0)),"◆",""),IF($B10="Project",IF(AND(ISNUMBER($E10),ISNUMBER($F10),$E10&lt;=DATE(YEAR(N$6),MONTH(N$6)+1,0),$F10&gt;=N$6),"█",IF(AND(ISNUMBER($F10),ISNUMBER($G10),$G10&gt;$F10,N$6&lt;=$G10,DATE(YEAR(N$6),MONTH(N$6)+1,0)&gt;$F10),"░","")),"")))</f>
        <v/>
      </c>
      <c r="O10" s="34">
        <f>IF($A10="","",IF($B10="Decision point",IF(AND(ISNUMBER($F10),$F10&gt;=O$6,$F10&lt;=DATE(YEAR(O$6),MONTH(O$6)+1,0)),"◆",""),IF($B10="Project",IF(AND(ISNUMBER($E10),ISNUMBER($F10),$E10&lt;=DATE(YEAR(O$6),MONTH(O$6)+1,0),$F10&gt;=O$6),"█",IF(AND(ISNUMBER($F10),ISNUMBER($G10),$G10&gt;$F10,O$6&lt;=$G10,DATE(YEAR(O$6),MONTH(O$6)+1,0)&gt;$F10),"░","")),"")))</f>
        <v/>
      </c>
      <c r="P10" s="34">
        <f>IF($A10="","",IF($B10="Decision point",IF(AND(ISNUMBER($F10),$F10&gt;=P$6,$F10&lt;=DATE(YEAR(P$6),MONTH(P$6)+1,0)),"◆",""),IF($B10="Project",IF(AND(ISNUMBER($E10),ISNUMBER($F10),$E10&lt;=DATE(YEAR(P$6),MONTH(P$6)+1,0),$F10&gt;=P$6),"█",IF(AND(ISNUMBER($F10),ISNUMBER($G10),$G10&gt;$F10,P$6&lt;=$G10,DATE(YEAR(P$6),MONTH(P$6)+1,0)&gt;$F10),"░","")),"")))</f>
        <v/>
      </c>
      <c r="Q10" s="34">
        <f>IF($A10="","",IF($B10="Decision point",IF(AND(ISNUMBER($F10),$F10&gt;=Q$6,$F10&lt;=DATE(YEAR(Q$6),MONTH(Q$6)+1,0)),"◆",""),IF($B10="Project",IF(AND(ISNUMBER($E10),ISNUMBER($F10),$E10&lt;=DATE(YEAR(Q$6),MONTH(Q$6)+1,0),$F10&gt;=Q$6),"█",IF(AND(ISNUMBER($F10),ISNUMBER($G10),$G10&gt;$F10,Q$6&lt;=$G10,DATE(YEAR(Q$6),MONTH(Q$6)+1,0)&gt;$F10),"░","")),"")))</f>
        <v/>
      </c>
      <c r="R10" s="34">
        <f>IF($A10="","",IF($B10="Decision point",IF(AND(ISNUMBER($F10),$F10&gt;=R$6,$F10&lt;=DATE(YEAR(R$6),MONTH(R$6)+1,0)),"◆",""),IF($B10="Project",IF(AND(ISNUMBER($E10),ISNUMBER($F10),$E10&lt;=DATE(YEAR(R$6),MONTH(R$6)+1,0),$F10&gt;=R$6),"█",IF(AND(ISNUMBER($F10),ISNUMBER($G10),$G10&gt;$F10,R$6&lt;=$G10,DATE(YEAR(R$6),MONTH(R$6)+1,0)&gt;$F10),"░","")),"")))</f>
        <v/>
      </c>
      <c r="S10" s="34">
        <f>IF($A10="","",IF($B10="Decision point",IF(AND(ISNUMBER($F10),$F10&gt;=S$6,$F10&lt;=DATE(YEAR(S$6),MONTH(S$6)+1,0)),"◆",""),IF($B10="Project",IF(AND(ISNUMBER($E10),ISNUMBER($F10),$E10&lt;=DATE(YEAR(S$6),MONTH(S$6)+1,0),$F10&gt;=S$6),"█",IF(AND(ISNUMBER($F10),ISNUMBER($G10),$G10&gt;$F10,S$6&lt;=$G10,DATE(YEAR(S$6),MONTH(S$6)+1,0)&gt;$F10),"░","")),"")))</f>
        <v/>
      </c>
      <c r="T10" s="34">
        <f>IF($A10="","",IF($B10="Decision point",IF(AND(ISNUMBER($F10),$F10&gt;=T$6,$F10&lt;=DATE(YEAR(T$6),MONTH(T$6)+1,0)),"◆",""),IF($B10="Project",IF(AND(ISNUMBER($E10),ISNUMBER($F10),$E10&lt;=DATE(YEAR(T$6),MONTH(T$6)+1,0),$F10&gt;=T$6),"█",IF(AND(ISNUMBER($F10),ISNUMBER($G10),$G10&gt;$F10,T$6&lt;=$G10,DATE(YEAR(T$6),MONTH(T$6)+1,0)&gt;$F10),"░","")),"")))</f>
        <v/>
      </c>
      <c r="U10" s="34">
        <f>IF($A10="","",IF($B10="Decision point",IF(AND(ISNUMBER($F10),$F10&gt;=U$6,$F10&lt;=DATE(YEAR(U$6),MONTH(U$6)+1,0)),"◆",""),IF($B10="Project",IF(AND(ISNUMBER($E10),ISNUMBER($F10),$E10&lt;=DATE(YEAR(U$6),MONTH(U$6)+1,0),$F10&gt;=U$6),"█",IF(AND(ISNUMBER($F10),ISNUMBER($G10),$G10&gt;$F10,U$6&lt;=$G10,DATE(YEAR(U$6),MONTH(U$6)+1,0)&gt;$F10),"░","")),"")))</f>
        <v/>
      </c>
      <c r="V10" s="34">
        <f>IF($A10="","",IF($B10="Decision point",IF(AND(ISNUMBER($F10),$F10&gt;=V$6,$F10&lt;=DATE(YEAR(V$6),MONTH(V$6)+1,0)),"◆",""),IF($B10="Project",IF(AND(ISNUMBER($E10),ISNUMBER($F10),$E10&lt;=DATE(YEAR(V$6),MONTH(V$6)+1,0),$F10&gt;=V$6),"█",IF(AND(ISNUMBER($F10),ISNUMBER($G10),$G10&gt;$F10,V$6&lt;=$G10,DATE(YEAR(V$6),MONTH(V$6)+1,0)&gt;$F10),"░","")),"")))</f>
        <v/>
      </c>
      <c r="W10" s="34">
        <f>IF($A10="","",IF($B10="Decision point",IF(AND(ISNUMBER($F10),$F10&gt;=W$6,$F10&lt;=DATE(YEAR(W$6),MONTH(W$6)+1,0)),"◆",""),IF($B10="Project",IF(AND(ISNUMBER($E10),ISNUMBER($F10),$E10&lt;=DATE(YEAR(W$6),MONTH(W$6)+1,0),$F10&gt;=W$6),"█",IF(AND(ISNUMBER($F10),ISNUMBER($G10),$G10&gt;$F10,W$6&lt;=$G10,DATE(YEAR(W$6),MONTH(W$6)+1,0)&gt;$F10),"░","")),"")))</f>
        <v/>
      </c>
      <c r="X10" s="34">
        <f>IF($A10="","",IF($B10="Decision point",IF(AND(ISNUMBER($F10),$F10&gt;=X$6,$F10&lt;=DATE(YEAR(X$6),MONTH(X$6)+1,0)),"◆",""),IF($B10="Project",IF(AND(ISNUMBER($E10),ISNUMBER($F10),$E10&lt;=DATE(YEAR(X$6),MONTH(X$6)+1,0),$F10&gt;=X$6),"█",IF(AND(ISNUMBER($F10),ISNUMBER($G10),$G10&gt;$F10,X$6&lt;=$G10,DATE(YEAR(X$6),MONTH(X$6)+1,0)&gt;$F10),"░","")),"")))</f>
        <v/>
      </c>
      <c r="Y10" s="34">
        <f>IF($AE10=1,"▶",IF($A10="","",IF($B10="Decision point",IF(AND(ISNUMBER($F10),$F10&gt;=Y$6,$F10&lt;=DATE(YEAR(Y$6),MONTH(Y$6)+1,0)),"◆",""),IF($B10="Project",IF(AND(ISNUMBER($E10),ISNUMBER($F10),$E10&lt;=DATE(YEAR(Y$6),MONTH(Y$6)+1,0),$F10&gt;=Y$6),"█",IF(AND(ISNUMBER($F10),ISNUMBER($G10),$G10&gt;$F10,Y$6&lt;=$G10,DATE(YEAR(Y$6),MONTH(Y$6)+1,0)&gt;$F10),"░","")),""))))</f>
        <v/>
      </c>
      <c r="AA10" s="9">
        <f>IF(AND($B10="Project",OR($D10="Active",$D10="Paused"),ISNUMBER($G10)),$G10,"")</f>
        <v/>
      </c>
      <c r="AB10" s="9">
        <f>IF(AND($B10="Decision point",ISNUMBER($F10)),IF($F10&gt;=Dashboard!$B$16,$F10,""),"")</f>
        <v/>
      </c>
      <c r="AC10" s="9">
        <f>IF(LEFT($I10,1)="△",1,0)</f>
        <v/>
      </c>
      <c r="AD10" s="9">
        <f>IF(ISNUMBER($AB10),100000-$AB10,0)</f>
        <v/>
      </c>
      <c r="AE10" s="9">
        <f>IF($A10="",0,IF(OR(AND(ISNUMBER($F10),$F10&gt;DATE(YEAR($Y$6),MONTH($Y$6)+1,0)),AND($B10="Project",ISNUMBER($G10),$G10&gt;DATE(YEAR($Y$6),MONTH($Y$6)+1,0))),1,0))</f>
        <v/>
      </c>
    </row>
    <row r="11" ht="18" customHeight="1">
      <c r="A11" s="28" t="n"/>
      <c r="B11" s="28" t="n"/>
      <c r="C11" s="9">
        <f>IF($A11="","",IF(AND($B11="Project",$D11="Proposed"),"Proposed, so not counted until it's Active",IF($AE11=1,"Runs past the last month shown","")))</f>
        <v/>
      </c>
      <c r="D11" s="28" t="n"/>
      <c r="E11" s="14" t="n"/>
      <c r="F11" s="14" t="n"/>
      <c r="G11" s="14" t="n"/>
      <c r="H11" s="33">
        <f>IF($A11="","",IF(OR($B11&lt;&gt;"Project",$D11="Proposed",NOT(ISNUMBER($F11)),NOT(ISNUMBER($G11))),"",IF($G11&lt;=$F11,0,NETWORKDAYS($F11+1,$G11))))</f>
        <v/>
      </c>
      <c r="I11" s="9">
        <f>IF($A11="","",IF(SUMPRODUCT(--($A$7:$A$36=$A11))&gt;1,"△ Name used twice",IF(OR($B11="",NOT(ISNUMBER($F11))),"△ Kind or Planned finish missing",IF(AND($B11="Project",OR($D11="",AND($D11&lt;&gt;"Proposed",OR(NOT(ISNUMBER($E11)),NOT(ISNUMBER($G11)))))),"△ Status, Start or Latest forecast missing",IF(AND(ISNUMBER($E11),ISNUMBER($F11)),IF($E11&gt;$F11,"△ Start is after Planned finish","○ Clear"),"○ Clear")))))</f>
        <v/>
      </c>
      <c r="K11" s="34">
        <f>IF($A11="","",IF($B11="Decision point",IF(AND(ISNUMBER($F11),$F11&gt;=K$6,$F11&lt;=DATE(YEAR(K$6),MONTH(K$6)+1,0)),"◆",""),IF($B11="Project",IF(AND(ISNUMBER($E11),ISNUMBER($F11),$E11&lt;=DATE(YEAR(K$6),MONTH(K$6)+1,0),$F11&gt;=K$6),"█",IF(AND(ISNUMBER($F11),ISNUMBER($G11),$G11&gt;$F11,K$6&lt;=$G11,DATE(YEAR(K$6),MONTH(K$6)+1,0)&gt;$F11),"░","")),"")))</f>
        <v/>
      </c>
      <c r="L11" s="34">
        <f>IF($A11="","",IF($B11="Decision point",IF(AND(ISNUMBER($F11),$F11&gt;=L$6,$F11&lt;=DATE(YEAR(L$6),MONTH(L$6)+1,0)),"◆",""),IF($B11="Project",IF(AND(ISNUMBER($E11),ISNUMBER($F11),$E11&lt;=DATE(YEAR(L$6),MONTH(L$6)+1,0),$F11&gt;=L$6),"█",IF(AND(ISNUMBER($F11),ISNUMBER($G11),$G11&gt;$F11,L$6&lt;=$G11,DATE(YEAR(L$6),MONTH(L$6)+1,0)&gt;$F11),"░","")),"")))</f>
        <v/>
      </c>
      <c r="M11" s="34">
        <f>IF($A11="","",IF($B11="Decision point",IF(AND(ISNUMBER($F11),$F11&gt;=M$6,$F11&lt;=DATE(YEAR(M$6),MONTH(M$6)+1,0)),"◆",""),IF($B11="Project",IF(AND(ISNUMBER($E11),ISNUMBER($F11),$E11&lt;=DATE(YEAR(M$6),MONTH(M$6)+1,0),$F11&gt;=M$6),"█",IF(AND(ISNUMBER($F11),ISNUMBER($G11),$G11&gt;$F11,M$6&lt;=$G11,DATE(YEAR(M$6),MONTH(M$6)+1,0)&gt;$F11),"░","")),"")))</f>
        <v/>
      </c>
      <c r="N11" s="34">
        <f>IF($A11="","",IF($B11="Decision point",IF(AND(ISNUMBER($F11),$F11&gt;=N$6,$F11&lt;=DATE(YEAR(N$6),MONTH(N$6)+1,0)),"◆",""),IF($B11="Project",IF(AND(ISNUMBER($E11),ISNUMBER($F11),$E11&lt;=DATE(YEAR(N$6),MONTH(N$6)+1,0),$F11&gt;=N$6),"█",IF(AND(ISNUMBER($F11),ISNUMBER($G11),$G11&gt;$F11,N$6&lt;=$G11,DATE(YEAR(N$6),MONTH(N$6)+1,0)&gt;$F11),"░","")),"")))</f>
        <v/>
      </c>
      <c r="O11" s="34">
        <f>IF($A11="","",IF($B11="Decision point",IF(AND(ISNUMBER($F11),$F11&gt;=O$6,$F11&lt;=DATE(YEAR(O$6),MONTH(O$6)+1,0)),"◆",""),IF($B11="Project",IF(AND(ISNUMBER($E11),ISNUMBER($F11),$E11&lt;=DATE(YEAR(O$6),MONTH(O$6)+1,0),$F11&gt;=O$6),"█",IF(AND(ISNUMBER($F11),ISNUMBER($G11),$G11&gt;$F11,O$6&lt;=$G11,DATE(YEAR(O$6),MONTH(O$6)+1,0)&gt;$F11),"░","")),"")))</f>
        <v/>
      </c>
      <c r="P11" s="34">
        <f>IF($A11="","",IF($B11="Decision point",IF(AND(ISNUMBER($F11),$F11&gt;=P$6,$F11&lt;=DATE(YEAR(P$6),MONTH(P$6)+1,0)),"◆",""),IF($B11="Project",IF(AND(ISNUMBER($E11),ISNUMBER($F11),$E11&lt;=DATE(YEAR(P$6),MONTH(P$6)+1,0),$F11&gt;=P$6),"█",IF(AND(ISNUMBER($F11),ISNUMBER($G11),$G11&gt;$F11,P$6&lt;=$G11,DATE(YEAR(P$6),MONTH(P$6)+1,0)&gt;$F11),"░","")),"")))</f>
        <v/>
      </c>
      <c r="Q11" s="34">
        <f>IF($A11="","",IF($B11="Decision point",IF(AND(ISNUMBER($F11),$F11&gt;=Q$6,$F11&lt;=DATE(YEAR(Q$6),MONTH(Q$6)+1,0)),"◆",""),IF($B11="Project",IF(AND(ISNUMBER($E11),ISNUMBER($F11),$E11&lt;=DATE(YEAR(Q$6),MONTH(Q$6)+1,0),$F11&gt;=Q$6),"█",IF(AND(ISNUMBER($F11),ISNUMBER($G11),$G11&gt;$F11,Q$6&lt;=$G11,DATE(YEAR(Q$6),MONTH(Q$6)+1,0)&gt;$F11),"░","")),"")))</f>
        <v/>
      </c>
      <c r="R11" s="34">
        <f>IF($A11="","",IF($B11="Decision point",IF(AND(ISNUMBER($F11),$F11&gt;=R$6,$F11&lt;=DATE(YEAR(R$6),MONTH(R$6)+1,0)),"◆",""),IF($B11="Project",IF(AND(ISNUMBER($E11),ISNUMBER($F11),$E11&lt;=DATE(YEAR(R$6),MONTH(R$6)+1,0),$F11&gt;=R$6),"█",IF(AND(ISNUMBER($F11),ISNUMBER($G11),$G11&gt;$F11,R$6&lt;=$G11,DATE(YEAR(R$6),MONTH(R$6)+1,0)&gt;$F11),"░","")),"")))</f>
        <v/>
      </c>
      <c r="S11" s="34">
        <f>IF($A11="","",IF($B11="Decision point",IF(AND(ISNUMBER($F11),$F11&gt;=S$6,$F11&lt;=DATE(YEAR(S$6),MONTH(S$6)+1,0)),"◆",""),IF($B11="Project",IF(AND(ISNUMBER($E11),ISNUMBER($F11),$E11&lt;=DATE(YEAR(S$6),MONTH(S$6)+1,0),$F11&gt;=S$6),"█",IF(AND(ISNUMBER($F11),ISNUMBER($G11),$G11&gt;$F11,S$6&lt;=$G11,DATE(YEAR(S$6),MONTH(S$6)+1,0)&gt;$F11),"░","")),"")))</f>
        <v/>
      </c>
      <c r="T11" s="34">
        <f>IF($A11="","",IF($B11="Decision point",IF(AND(ISNUMBER($F11),$F11&gt;=T$6,$F11&lt;=DATE(YEAR(T$6),MONTH(T$6)+1,0)),"◆",""),IF($B11="Project",IF(AND(ISNUMBER($E11),ISNUMBER($F11),$E11&lt;=DATE(YEAR(T$6),MONTH(T$6)+1,0),$F11&gt;=T$6),"█",IF(AND(ISNUMBER($F11),ISNUMBER($G11),$G11&gt;$F11,T$6&lt;=$G11,DATE(YEAR(T$6),MONTH(T$6)+1,0)&gt;$F11),"░","")),"")))</f>
        <v/>
      </c>
      <c r="U11" s="34">
        <f>IF($A11="","",IF($B11="Decision point",IF(AND(ISNUMBER($F11),$F11&gt;=U$6,$F11&lt;=DATE(YEAR(U$6),MONTH(U$6)+1,0)),"◆",""),IF($B11="Project",IF(AND(ISNUMBER($E11),ISNUMBER($F11),$E11&lt;=DATE(YEAR(U$6),MONTH(U$6)+1,0),$F11&gt;=U$6),"█",IF(AND(ISNUMBER($F11),ISNUMBER($G11),$G11&gt;$F11,U$6&lt;=$G11,DATE(YEAR(U$6),MONTH(U$6)+1,0)&gt;$F11),"░","")),"")))</f>
        <v/>
      </c>
      <c r="V11" s="34">
        <f>IF($A11="","",IF($B11="Decision point",IF(AND(ISNUMBER($F11),$F11&gt;=V$6,$F11&lt;=DATE(YEAR(V$6),MONTH(V$6)+1,0)),"◆",""),IF($B11="Project",IF(AND(ISNUMBER($E11),ISNUMBER($F11),$E11&lt;=DATE(YEAR(V$6),MONTH(V$6)+1,0),$F11&gt;=V$6),"█",IF(AND(ISNUMBER($F11),ISNUMBER($G11),$G11&gt;$F11,V$6&lt;=$G11,DATE(YEAR(V$6),MONTH(V$6)+1,0)&gt;$F11),"░","")),"")))</f>
        <v/>
      </c>
      <c r="W11" s="34">
        <f>IF($A11="","",IF($B11="Decision point",IF(AND(ISNUMBER($F11),$F11&gt;=W$6,$F11&lt;=DATE(YEAR(W$6),MONTH(W$6)+1,0)),"◆",""),IF($B11="Project",IF(AND(ISNUMBER($E11),ISNUMBER($F11),$E11&lt;=DATE(YEAR(W$6),MONTH(W$6)+1,0),$F11&gt;=W$6),"█",IF(AND(ISNUMBER($F11),ISNUMBER($G11),$G11&gt;$F11,W$6&lt;=$G11,DATE(YEAR(W$6),MONTH(W$6)+1,0)&gt;$F11),"░","")),"")))</f>
        <v/>
      </c>
      <c r="X11" s="34">
        <f>IF($A11="","",IF($B11="Decision point",IF(AND(ISNUMBER($F11),$F11&gt;=X$6,$F11&lt;=DATE(YEAR(X$6),MONTH(X$6)+1,0)),"◆",""),IF($B11="Project",IF(AND(ISNUMBER($E11),ISNUMBER($F11),$E11&lt;=DATE(YEAR(X$6),MONTH(X$6)+1,0),$F11&gt;=X$6),"█",IF(AND(ISNUMBER($F11),ISNUMBER($G11),$G11&gt;$F11,X$6&lt;=$G11,DATE(YEAR(X$6),MONTH(X$6)+1,0)&gt;$F11),"░","")),"")))</f>
        <v/>
      </c>
      <c r="Y11" s="34">
        <f>IF($AE11=1,"▶",IF($A11="","",IF($B11="Decision point",IF(AND(ISNUMBER($F11),$F11&gt;=Y$6,$F11&lt;=DATE(YEAR(Y$6),MONTH(Y$6)+1,0)),"◆",""),IF($B11="Project",IF(AND(ISNUMBER($E11),ISNUMBER($F11),$E11&lt;=DATE(YEAR(Y$6),MONTH(Y$6)+1,0),$F11&gt;=Y$6),"█",IF(AND(ISNUMBER($F11),ISNUMBER($G11),$G11&gt;$F11,Y$6&lt;=$G11,DATE(YEAR(Y$6),MONTH(Y$6)+1,0)&gt;$F11),"░","")),""))))</f>
        <v/>
      </c>
      <c r="AA11" s="9">
        <f>IF(AND($B11="Project",OR($D11="Active",$D11="Paused"),ISNUMBER($G11)),$G11,"")</f>
        <v/>
      </c>
      <c r="AB11" s="9">
        <f>IF(AND($B11="Decision point",ISNUMBER($F11)),IF($F11&gt;=Dashboard!$B$16,$F11,""),"")</f>
        <v/>
      </c>
      <c r="AC11" s="9">
        <f>IF(LEFT($I11,1)="△",1,0)</f>
        <v/>
      </c>
      <c r="AD11" s="9">
        <f>IF(ISNUMBER($AB11),100000-$AB11,0)</f>
        <v/>
      </c>
      <c r="AE11" s="9">
        <f>IF($A11="",0,IF(OR(AND(ISNUMBER($F11),$F11&gt;DATE(YEAR($Y$6),MONTH($Y$6)+1,0)),AND($B11="Project",ISNUMBER($G11),$G11&gt;DATE(YEAR($Y$6),MONTH($Y$6)+1,0))),1,0))</f>
        <v/>
      </c>
    </row>
    <row r="12" ht="18" customHeight="1">
      <c r="A12" s="28" t="n"/>
      <c r="B12" s="28" t="n"/>
      <c r="C12" s="9">
        <f>IF($A12="","",IF(AND($B12="Project",$D12="Proposed"),"Proposed, so not counted until it's Active",IF($AE12=1,"Runs past the last month shown","")))</f>
        <v/>
      </c>
      <c r="D12" s="28" t="n"/>
      <c r="E12" s="14" t="n"/>
      <c r="F12" s="14" t="n"/>
      <c r="G12" s="14" t="n"/>
      <c r="H12" s="33">
        <f>IF($A12="","",IF(OR($B12&lt;&gt;"Project",$D12="Proposed",NOT(ISNUMBER($F12)),NOT(ISNUMBER($G12))),"",IF($G12&lt;=$F12,0,NETWORKDAYS($F12+1,$G12))))</f>
        <v/>
      </c>
      <c r="I12" s="9">
        <f>IF($A12="","",IF(SUMPRODUCT(--($A$7:$A$36=$A12))&gt;1,"△ Name used twice",IF(OR($B12="",NOT(ISNUMBER($F12))),"△ Kind or Planned finish missing",IF(AND($B12="Project",OR($D12="",AND($D12&lt;&gt;"Proposed",OR(NOT(ISNUMBER($E12)),NOT(ISNUMBER($G12)))))),"△ Status, Start or Latest forecast missing",IF(AND(ISNUMBER($E12),ISNUMBER($F12)),IF($E12&gt;$F12,"△ Start is after Planned finish","○ Clear"),"○ Clear")))))</f>
        <v/>
      </c>
      <c r="K12" s="34">
        <f>IF($A12="","",IF($B12="Decision point",IF(AND(ISNUMBER($F12),$F12&gt;=K$6,$F12&lt;=DATE(YEAR(K$6),MONTH(K$6)+1,0)),"◆",""),IF($B12="Project",IF(AND(ISNUMBER($E12),ISNUMBER($F12),$E12&lt;=DATE(YEAR(K$6),MONTH(K$6)+1,0),$F12&gt;=K$6),"█",IF(AND(ISNUMBER($F12),ISNUMBER($G12),$G12&gt;$F12,K$6&lt;=$G12,DATE(YEAR(K$6),MONTH(K$6)+1,0)&gt;$F12),"░","")),"")))</f>
        <v/>
      </c>
      <c r="L12" s="34">
        <f>IF($A12="","",IF($B12="Decision point",IF(AND(ISNUMBER($F12),$F12&gt;=L$6,$F12&lt;=DATE(YEAR(L$6),MONTH(L$6)+1,0)),"◆",""),IF($B12="Project",IF(AND(ISNUMBER($E12),ISNUMBER($F12),$E12&lt;=DATE(YEAR(L$6),MONTH(L$6)+1,0),$F12&gt;=L$6),"█",IF(AND(ISNUMBER($F12),ISNUMBER($G12),$G12&gt;$F12,L$6&lt;=$G12,DATE(YEAR(L$6),MONTH(L$6)+1,0)&gt;$F12),"░","")),"")))</f>
        <v/>
      </c>
      <c r="M12" s="34">
        <f>IF($A12="","",IF($B12="Decision point",IF(AND(ISNUMBER($F12),$F12&gt;=M$6,$F12&lt;=DATE(YEAR(M$6),MONTH(M$6)+1,0)),"◆",""),IF($B12="Project",IF(AND(ISNUMBER($E12),ISNUMBER($F12),$E12&lt;=DATE(YEAR(M$6),MONTH(M$6)+1,0),$F12&gt;=M$6),"█",IF(AND(ISNUMBER($F12),ISNUMBER($G12),$G12&gt;$F12,M$6&lt;=$G12,DATE(YEAR(M$6),MONTH(M$6)+1,0)&gt;$F12),"░","")),"")))</f>
        <v/>
      </c>
      <c r="N12" s="34">
        <f>IF($A12="","",IF($B12="Decision point",IF(AND(ISNUMBER($F12),$F12&gt;=N$6,$F12&lt;=DATE(YEAR(N$6),MONTH(N$6)+1,0)),"◆",""),IF($B12="Project",IF(AND(ISNUMBER($E12),ISNUMBER($F12),$E12&lt;=DATE(YEAR(N$6),MONTH(N$6)+1,0),$F12&gt;=N$6),"█",IF(AND(ISNUMBER($F12),ISNUMBER($G12),$G12&gt;$F12,N$6&lt;=$G12,DATE(YEAR(N$6),MONTH(N$6)+1,0)&gt;$F12),"░","")),"")))</f>
        <v/>
      </c>
      <c r="O12" s="34">
        <f>IF($A12="","",IF($B12="Decision point",IF(AND(ISNUMBER($F12),$F12&gt;=O$6,$F12&lt;=DATE(YEAR(O$6),MONTH(O$6)+1,0)),"◆",""),IF($B12="Project",IF(AND(ISNUMBER($E12),ISNUMBER($F12),$E12&lt;=DATE(YEAR(O$6),MONTH(O$6)+1,0),$F12&gt;=O$6),"█",IF(AND(ISNUMBER($F12),ISNUMBER($G12),$G12&gt;$F12,O$6&lt;=$G12,DATE(YEAR(O$6),MONTH(O$6)+1,0)&gt;$F12),"░","")),"")))</f>
        <v/>
      </c>
      <c r="P12" s="34">
        <f>IF($A12="","",IF($B12="Decision point",IF(AND(ISNUMBER($F12),$F12&gt;=P$6,$F12&lt;=DATE(YEAR(P$6),MONTH(P$6)+1,0)),"◆",""),IF($B12="Project",IF(AND(ISNUMBER($E12),ISNUMBER($F12),$E12&lt;=DATE(YEAR(P$6),MONTH(P$6)+1,0),$F12&gt;=P$6),"█",IF(AND(ISNUMBER($F12),ISNUMBER($G12),$G12&gt;$F12,P$6&lt;=$G12,DATE(YEAR(P$6),MONTH(P$6)+1,0)&gt;$F12),"░","")),"")))</f>
        <v/>
      </c>
      <c r="Q12" s="34">
        <f>IF($A12="","",IF($B12="Decision point",IF(AND(ISNUMBER($F12),$F12&gt;=Q$6,$F12&lt;=DATE(YEAR(Q$6),MONTH(Q$6)+1,0)),"◆",""),IF($B12="Project",IF(AND(ISNUMBER($E12),ISNUMBER($F12),$E12&lt;=DATE(YEAR(Q$6),MONTH(Q$6)+1,0),$F12&gt;=Q$6),"█",IF(AND(ISNUMBER($F12),ISNUMBER($G12),$G12&gt;$F12,Q$6&lt;=$G12,DATE(YEAR(Q$6),MONTH(Q$6)+1,0)&gt;$F12),"░","")),"")))</f>
        <v/>
      </c>
      <c r="R12" s="34">
        <f>IF($A12="","",IF($B12="Decision point",IF(AND(ISNUMBER($F12),$F12&gt;=R$6,$F12&lt;=DATE(YEAR(R$6),MONTH(R$6)+1,0)),"◆",""),IF($B12="Project",IF(AND(ISNUMBER($E12),ISNUMBER($F12),$E12&lt;=DATE(YEAR(R$6),MONTH(R$6)+1,0),$F12&gt;=R$6),"█",IF(AND(ISNUMBER($F12),ISNUMBER($G12),$G12&gt;$F12,R$6&lt;=$G12,DATE(YEAR(R$6),MONTH(R$6)+1,0)&gt;$F12),"░","")),"")))</f>
        <v/>
      </c>
      <c r="S12" s="34">
        <f>IF($A12="","",IF($B12="Decision point",IF(AND(ISNUMBER($F12),$F12&gt;=S$6,$F12&lt;=DATE(YEAR(S$6),MONTH(S$6)+1,0)),"◆",""),IF($B12="Project",IF(AND(ISNUMBER($E12),ISNUMBER($F12),$E12&lt;=DATE(YEAR(S$6),MONTH(S$6)+1,0),$F12&gt;=S$6),"█",IF(AND(ISNUMBER($F12),ISNUMBER($G12),$G12&gt;$F12,S$6&lt;=$G12,DATE(YEAR(S$6),MONTH(S$6)+1,0)&gt;$F12),"░","")),"")))</f>
        <v/>
      </c>
      <c r="T12" s="34">
        <f>IF($A12="","",IF($B12="Decision point",IF(AND(ISNUMBER($F12),$F12&gt;=T$6,$F12&lt;=DATE(YEAR(T$6),MONTH(T$6)+1,0)),"◆",""),IF($B12="Project",IF(AND(ISNUMBER($E12),ISNUMBER($F12),$E12&lt;=DATE(YEAR(T$6),MONTH(T$6)+1,0),$F12&gt;=T$6),"█",IF(AND(ISNUMBER($F12),ISNUMBER($G12),$G12&gt;$F12,T$6&lt;=$G12,DATE(YEAR(T$6),MONTH(T$6)+1,0)&gt;$F12),"░","")),"")))</f>
        <v/>
      </c>
      <c r="U12" s="34">
        <f>IF($A12="","",IF($B12="Decision point",IF(AND(ISNUMBER($F12),$F12&gt;=U$6,$F12&lt;=DATE(YEAR(U$6),MONTH(U$6)+1,0)),"◆",""),IF($B12="Project",IF(AND(ISNUMBER($E12),ISNUMBER($F12),$E12&lt;=DATE(YEAR(U$6),MONTH(U$6)+1,0),$F12&gt;=U$6),"█",IF(AND(ISNUMBER($F12),ISNUMBER($G12),$G12&gt;$F12,U$6&lt;=$G12,DATE(YEAR(U$6),MONTH(U$6)+1,0)&gt;$F12),"░","")),"")))</f>
        <v/>
      </c>
      <c r="V12" s="34">
        <f>IF($A12="","",IF($B12="Decision point",IF(AND(ISNUMBER($F12),$F12&gt;=V$6,$F12&lt;=DATE(YEAR(V$6),MONTH(V$6)+1,0)),"◆",""),IF($B12="Project",IF(AND(ISNUMBER($E12),ISNUMBER($F12),$E12&lt;=DATE(YEAR(V$6),MONTH(V$6)+1,0),$F12&gt;=V$6),"█",IF(AND(ISNUMBER($F12),ISNUMBER($G12),$G12&gt;$F12,V$6&lt;=$G12,DATE(YEAR(V$6),MONTH(V$6)+1,0)&gt;$F12),"░","")),"")))</f>
        <v/>
      </c>
      <c r="W12" s="34">
        <f>IF($A12="","",IF($B12="Decision point",IF(AND(ISNUMBER($F12),$F12&gt;=W$6,$F12&lt;=DATE(YEAR(W$6),MONTH(W$6)+1,0)),"◆",""),IF($B12="Project",IF(AND(ISNUMBER($E12),ISNUMBER($F12),$E12&lt;=DATE(YEAR(W$6),MONTH(W$6)+1,0),$F12&gt;=W$6),"█",IF(AND(ISNUMBER($F12),ISNUMBER($G12),$G12&gt;$F12,W$6&lt;=$G12,DATE(YEAR(W$6),MONTH(W$6)+1,0)&gt;$F12),"░","")),"")))</f>
        <v/>
      </c>
      <c r="X12" s="34">
        <f>IF($A12="","",IF($B12="Decision point",IF(AND(ISNUMBER($F12),$F12&gt;=X$6,$F12&lt;=DATE(YEAR(X$6),MONTH(X$6)+1,0)),"◆",""),IF($B12="Project",IF(AND(ISNUMBER($E12),ISNUMBER($F12),$E12&lt;=DATE(YEAR(X$6),MONTH(X$6)+1,0),$F12&gt;=X$6),"█",IF(AND(ISNUMBER($F12),ISNUMBER($G12),$G12&gt;$F12,X$6&lt;=$G12,DATE(YEAR(X$6),MONTH(X$6)+1,0)&gt;$F12),"░","")),"")))</f>
        <v/>
      </c>
      <c r="Y12" s="34">
        <f>IF($AE12=1,"▶",IF($A12="","",IF($B12="Decision point",IF(AND(ISNUMBER($F12),$F12&gt;=Y$6,$F12&lt;=DATE(YEAR(Y$6),MONTH(Y$6)+1,0)),"◆",""),IF($B12="Project",IF(AND(ISNUMBER($E12),ISNUMBER($F12),$E12&lt;=DATE(YEAR(Y$6),MONTH(Y$6)+1,0),$F12&gt;=Y$6),"█",IF(AND(ISNUMBER($F12),ISNUMBER($G12),$G12&gt;$F12,Y$6&lt;=$G12,DATE(YEAR(Y$6),MONTH(Y$6)+1,0)&gt;$F12),"░","")),""))))</f>
        <v/>
      </c>
      <c r="AA12" s="9">
        <f>IF(AND($B12="Project",OR($D12="Active",$D12="Paused"),ISNUMBER($G12)),$G12,"")</f>
        <v/>
      </c>
      <c r="AB12" s="9">
        <f>IF(AND($B12="Decision point",ISNUMBER($F12)),IF($F12&gt;=Dashboard!$B$16,$F12,""),"")</f>
        <v/>
      </c>
      <c r="AC12" s="9">
        <f>IF(LEFT($I12,1)="△",1,0)</f>
        <v/>
      </c>
      <c r="AD12" s="9">
        <f>IF(ISNUMBER($AB12),100000-$AB12,0)</f>
        <v/>
      </c>
      <c r="AE12" s="9">
        <f>IF($A12="",0,IF(OR(AND(ISNUMBER($F12),$F12&gt;DATE(YEAR($Y$6),MONTH($Y$6)+1,0)),AND($B12="Project",ISNUMBER($G12),$G12&gt;DATE(YEAR($Y$6),MONTH($Y$6)+1,0))),1,0))</f>
        <v/>
      </c>
    </row>
    <row r="13" ht="18" customHeight="1">
      <c r="A13" s="28" t="n"/>
      <c r="B13" s="28" t="n"/>
      <c r="C13" s="9">
        <f>IF($A13="","",IF(AND($B13="Project",$D13="Proposed"),"Proposed, so not counted until it's Active",IF($AE13=1,"Runs past the last month shown","")))</f>
        <v/>
      </c>
      <c r="D13" s="28" t="n"/>
      <c r="E13" s="14" t="n"/>
      <c r="F13" s="14" t="n"/>
      <c r="G13" s="14" t="n"/>
      <c r="H13" s="33">
        <f>IF($A13="","",IF(OR($B13&lt;&gt;"Project",$D13="Proposed",NOT(ISNUMBER($F13)),NOT(ISNUMBER($G13))),"",IF($G13&lt;=$F13,0,NETWORKDAYS($F13+1,$G13))))</f>
        <v/>
      </c>
      <c r="I13" s="9">
        <f>IF($A13="","",IF(SUMPRODUCT(--($A$7:$A$36=$A13))&gt;1,"△ Name used twice",IF(OR($B13="",NOT(ISNUMBER($F13))),"△ Kind or Planned finish missing",IF(AND($B13="Project",OR($D13="",AND($D13&lt;&gt;"Proposed",OR(NOT(ISNUMBER($E13)),NOT(ISNUMBER($G13)))))),"△ Status, Start or Latest forecast missing",IF(AND(ISNUMBER($E13),ISNUMBER($F13)),IF($E13&gt;$F13,"△ Start is after Planned finish","○ Clear"),"○ Clear")))))</f>
        <v/>
      </c>
      <c r="K13" s="34">
        <f>IF($A13="","",IF($B13="Decision point",IF(AND(ISNUMBER($F13),$F13&gt;=K$6,$F13&lt;=DATE(YEAR(K$6),MONTH(K$6)+1,0)),"◆",""),IF($B13="Project",IF(AND(ISNUMBER($E13),ISNUMBER($F13),$E13&lt;=DATE(YEAR(K$6),MONTH(K$6)+1,0),$F13&gt;=K$6),"█",IF(AND(ISNUMBER($F13),ISNUMBER($G13),$G13&gt;$F13,K$6&lt;=$G13,DATE(YEAR(K$6),MONTH(K$6)+1,0)&gt;$F13),"░","")),"")))</f>
        <v/>
      </c>
      <c r="L13" s="34">
        <f>IF($A13="","",IF($B13="Decision point",IF(AND(ISNUMBER($F13),$F13&gt;=L$6,$F13&lt;=DATE(YEAR(L$6),MONTH(L$6)+1,0)),"◆",""),IF($B13="Project",IF(AND(ISNUMBER($E13),ISNUMBER($F13),$E13&lt;=DATE(YEAR(L$6),MONTH(L$6)+1,0),$F13&gt;=L$6),"█",IF(AND(ISNUMBER($F13),ISNUMBER($G13),$G13&gt;$F13,L$6&lt;=$G13,DATE(YEAR(L$6),MONTH(L$6)+1,0)&gt;$F13),"░","")),"")))</f>
        <v/>
      </c>
      <c r="M13" s="34">
        <f>IF($A13="","",IF($B13="Decision point",IF(AND(ISNUMBER($F13),$F13&gt;=M$6,$F13&lt;=DATE(YEAR(M$6),MONTH(M$6)+1,0)),"◆",""),IF($B13="Project",IF(AND(ISNUMBER($E13),ISNUMBER($F13),$E13&lt;=DATE(YEAR(M$6),MONTH(M$6)+1,0),$F13&gt;=M$6),"█",IF(AND(ISNUMBER($F13),ISNUMBER($G13),$G13&gt;$F13,M$6&lt;=$G13,DATE(YEAR(M$6),MONTH(M$6)+1,0)&gt;$F13),"░","")),"")))</f>
        <v/>
      </c>
      <c r="N13" s="34">
        <f>IF($A13="","",IF($B13="Decision point",IF(AND(ISNUMBER($F13),$F13&gt;=N$6,$F13&lt;=DATE(YEAR(N$6),MONTH(N$6)+1,0)),"◆",""),IF($B13="Project",IF(AND(ISNUMBER($E13),ISNUMBER($F13),$E13&lt;=DATE(YEAR(N$6),MONTH(N$6)+1,0),$F13&gt;=N$6),"█",IF(AND(ISNUMBER($F13),ISNUMBER($G13),$G13&gt;$F13,N$6&lt;=$G13,DATE(YEAR(N$6),MONTH(N$6)+1,0)&gt;$F13),"░","")),"")))</f>
        <v/>
      </c>
      <c r="O13" s="34">
        <f>IF($A13="","",IF($B13="Decision point",IF(AND(ISNUMBER($F13),$F13&gt;=O$6,$F13&lt;=DATE(YEAR(O$6),MONTH(O$6)+1,0)),"◆",""),IF($B13="Project",IF(AND(ISNUMBER($E13),ISNUMBER($F13),$E13&lt;=DATE(YEAR(O$6),MONTH(O$6)+1,0),$F13&gt;=O$6),"█",IF(AND(ISNUMBER($F13),ISNUMBER($G13),$G13&gt;$F13,O$6&lt;=$G13,DATE(YEAR(O$6),MONTH(O$6)+1,0)&gt;$F13),"░","")),"")))</f>
        <v/>
      </c>
      <c r="P13" s="34">
        <f>IF($A13="","",IF($B13="Decision point",IF(AND(ISNUMBER($F13),$F13&gt;=P$6,$F13&lt;=DATE(YEAR(P$6),MONTH(P$6)+1,0)),"◆",""),IF($B13="Project",IF(AND(ISNUMBER($E13),ISNUMBER($F13),$E13&lt;=DATE(YEAR(P$6),MONTH(P$6)+1,0),$F13&gt;=P$6),"█",IF(AND(ISNUMBER($F13),ISNUMBER($G13),$G13&gt;$F13,P$6&lt;=$G13,DATE(YEAR(P$6),MONTH(P$6)+1,0)&gt;$F13),"░","")),"")))</f>
        <v/>
      </c>
      <c r="Q13" s="34">
        <f>IF($A13="","",IF($B13="Decision point",IF(AND(ISNUMBER($F13),$F13&gt;=Q$6,$F13&lt;=DATE(YEAR(Q$6),MONTH(Q$6)+1,0)),"◆",""),IF($B13="Project",IF(AND(ISNUMBER($E13),ISNUMBER($F13),$E13&lt;=DATE(YEAR(Q$6),MONTH(Q$6)+1,0),$F13&gt;=Q$6),"█",IF(AND(ISNUMBER($F13),ISNUMBER($G13),$G13&gt;$F13,Q$6&lt;=$G13,DATE(YEAR(Q$6),MONTH(Q$6)+1,0)&gt;$F13),"░","")),"")))</f>
        <v/>
      </c>
      <c r="R13" s="34">
        <f>IF($A13="","",IF($B13="Decision point",IF(AND(ISNUMBER($F13),$F13&gt;=R$6,$F13&lt;=DATE(YEAR(R$6),MONTH(R$6)+1,0)),"◆",""),IF($B13="Project",IF(AND(ISNUMBER($E13),ISNUMBER($F13),$E13&lt;=DATE(YEAR(R$6),MONTH(R$6)+1,0),$F13&gt;=R$6),"█",IF(AND(ISNUMBER($F13),ISNUMBER($G13),$G13&gt;$F13,R$6&lt;=$G13,DATE(YEAR(R$6),MONTH(R$6)+1,0)&gt;$F13),"░","")),"")))</f>
        <v/>
      </c>
      <c r="S13" s="34">
        <f>IF($A13="","",IF($B13="Decision point",IF(AND(ISNUMBER($F13),$F13&gt;=S$6,$F13&lt;=DATE(YEAR(S$6),MONTH(S$6)+1,0)),"◆",""),IF($B13="Project",IF(AND(ISNUMBER($E13),ISNUMBER($F13),$E13&lt;=DATE(YEAR(S$6),MONTH(S$6)+1,0),$F13&gt;=S$6),"█",IF(AND(ISNUMBER($F13),ISNUMBER($G13),$G13&gt;$F13,S$6&lt;=$G13,DATE(YEAR(S$6),MONTH(S$6)+1,0)&gt;$F13),"░","")),"")))</f>
        <v/>
      </c>
      <c r="T13" s="34">
        <f>IF($A13="","",IF($B13="Decision point",IF(AND(ISNUMBER($F13),$F13&gt;=T$6,$F13&lt;=DATE(YEAR(T$6),MONTH(T$6)+1,0)),"◆",""),IF($B13="Project",IF(AND(ISNUMBER($E13),ISNUMBER($F13),$E13&lt;=DATE(YEAR(T$6),MONTH(T$6)+1,0),$F13&gt;=T$6),"█",IF(AND(ISNUMBER($F13),ISNUMBER($G13),$G13&gt;$F13,T$6&lt;=$G13,DATE(YEAR(T$6),MONTH(T$6)+1,0)&gt;$F13),"░","")),"")))</f>
        <v/>
      </c>
      <c r="U13" s="34">
        <f>IF($A13="","",IF($B13="Decision point",IF(AND(ISNUMBER($F13),$F13&gt;=U$6,$F13&lt;=DATE(YEAR(U$6),MONTH(U$6)+1,0)),"◆",""),IF($B13="Project",IF(AND(ISNUMBER($E13),ISNUMBER($F13),$E13&lt;=DATE(YEAR(U$6),MONTH(U$6)+1,0),$F13&gt;=U$6),"█",IF(AND(ISNUMBER($F13),ISNUMBER($G13),$G13&gt;$F13,U$6&lt;=$G13,DATE(YEAR(U$6),MONTH(U$6)+1,0)&gt;$F13),"░","")),"")))</f>
        <v/>
      </c>
      <c r="V13" s="34">
        <f>IF($A13="","",IF($B13="Decision point",IF(AND(ISNUMBER($F13),$F13&gt;=V$6,$F13&lt;=DATE(YEAR(V$6),MONTH(V$6)+1,0)),"◆",""),IF($B13="Project",IF(AND(ISNUMBER($E13),ISNUMBER($F13),$E13&lt;=DATE(YEAR(V$6),MONTH(V$6)+1,0),$F13&gt;=V$6),"█",IF(AND(ISNUMBER($F13),ISNUMBER($G13),$G13&gt;$F13,V$6&lt;=$G13,DATE(YEAR(V$6),MONTH(V$6)+1,0)&gt;$F13),"░","")),"")))</f>
        <v/>
      </c>
      <c r="W13" s="34">
        <f>IF($A13="","",IF($B13="Decision point",IF(AND(ISNUMBER($F13),$F13&gt;=W$6,$F13&lt;=DATE(YEAR(W$6),MONTH(W$6)+1,0)),"◆",""),IF($B13="Project",IF(AND(ISNUMBER($E13),ISNUMBER($F13),$E13&lt;=DATE(YEAR(W$6),MONTH(W$6)+1,0),$F13&gt;=W$6),"█",IF(AND(ISNUMBER($F13),ISNUMBER($G13),$G13&gt;$F13,W$6&lt;=$G13,DATE(YEAR(W$6),MONTH(W$6)+1,0)&gt;$F13),"░","")),"")))</f>
        <v/>
      </c>
      <c r="X13" s="34">
        <f>IF($A13="","",IF($B13="Decision point",IF(AND(ISNUMBER($F13),$F13&gt;=X$6,$F13&lt;=DATE(YEAR(X$6),MONTH(X$6)+1,0)),"◆",""),IF($B13="Project",IF(AND(ISNUMBER($E13),ISNUMBER($F13),$E13&lt;=DATE(YEAR(X$6),MONTH(X$6)+1,0),$F13&gt;=X$6),"█",IF(AND(ISNUMBER($F13),ISNUMBER($G13),$G13&gt;$F13,X$6&lt;=$G13,DATE(YEAR(X$6),MONTH(X$6)+1,0)&gt;$F13),"░","")),"")))</f>
        <v/>
      </c>
      <c r="Y13" s="34">
        <f>IF($AE13=1,"▶",IF($A13="","",IF($B13="Decision point",IF(AND(ISNUMBER($F13),$F13&gt;=Y$6,$F13&lt;=DATE(YEAR(Y$6),MONTH(Y$6)+1,0)),"◆",""),IF($B13="Project",IF(AND(ISNUMBER($E13),ISNUMBER($F13),$E13&lt;=DATE(YEAR(Y$6),MONTH(Y$6)+1,0),$F13&gt;=Y$6),"█",IF(AND(ISNUMBER($F13),ISNUMBER($G13),$G13&gt;$F13,Y$6&lt;=$G13,DATE(YEAR(Y$6),MONTH(Y$6)+1,0)&gt;$F13),"░","")),""))))</f>
        <v/>
      </c>
      <c r="AA13" s="9">
        <f>IF(AND($B13="Project",OR($D13="Active",$D13="Paused"),ISNUMBER($G13)),$G13,"")</f>
        <v/>
      </c>
      <c r="AB13" s="9">
        <f>IF(AND($B13="Decision point",ISNUMBER($F13)),IF($F13&gt;=Dashboard!$B$16,$F13,""),"")</f>
        <v/>
      </c>
      <c r="AC13" s="9">
        <f>IF(LEFT($I13,1)="△",1,0)</f>
        <v/>
      </c>
      <c r="AD13" s="9">
        <f>IF(ISNUMBER($AB13),100000-$AB13,0)</f>
        <v/>
      </c>
      <c r="AE13" s="9">
        <f>IF($A13="",0,IF(OR(AND(ISNUMBER($F13),$F13&gt;DATE(YEAR($Y$6),MONTH($Y$6)+1,0)),AND($B13="Project",ISNUMBER($G13),$G13&gt;DATE(YEAR($Y$6),MONTH($Y$6)+1,0))),1,0))</f>
        <v/>
      </c>
    </row>
    <row r="14" ht="18" customHeight="1">
      <c r="A14" s="28" t="n"/>
      <c r="B14" s="28" t="n"/>
      <c r="C14" s="9">
        <f>IF($A14="","",IF(AND($B14="Project",$D14="Proposed"),"Proposed, so not counted until it's Active",IF($AE14=1,"Runs past the last month shown","")))</f>
        <v/>
      </c>
      <c r="D14" s="28" t="n"/>
      <c r="E14" s="14" t="n"/>
      <c r="F14" s="14" t="n"/>
      <c r="G14" s="14" t="n"/>
      <c r="H14" s="33">
        <f>IF($A14="","",IF(OR($B14&lt;&gt;"Project",$D14="Proposed",NOT(ISNUMBER($F14)),NOT(ISNUMBER($G14))),"",IF($G14&lt;=$F14,0,NETWORKDAYS($F14+1,$G14))))</f>
        <v/>
      </c>
      <c r="I14" s="9">
        <f>IF($A14="","",IF(SUMPRODUCT(--($A$7:$A$36=$A14))&gt;1,"△ Name used twice",IF(OR($B14="",NOT(ISNUMBER($F14))),"△ Kind or Planned finish missing",IF(AND($B14="Project",OR($D14="",AND($D14&lt;&gt;"Proposed",OR(NOT(ISNUMBER($E14)),NOT(ISNUMBER($G14)))))),"△ Status, Start or Latest forecast missing",IF(AND(ISNUMBER($E14),ISNUMBER($F14)),IF($E14&gt;$F14,"△ Start is after Planned finish","○ Clear"),"○ Clear")))))</f>
        <v/>
      </c>
      <c r="K14" s="34">
        <f>IF($A14="","",IF($B14="Decision point",IF(AND(ISNUMBER($F14),$F14&gt;=K$6,$F14&lt;=DATE(YEAR(K$6),MONTH(K$6)+1,0)),"◆",""),IF($B14="Project",IF(AND(ISNUMBER($E14),ISNUMBER($F14),$E14&lt;=DATE(YEAR(K$6),MONTH(K$6)+1,0),$F14&gt;=K$6),"█",IF(AND(ISNUMBER($F14),ISNUMBER($G14),$G14&gt;$F14,K$6&lt;=$G14,DATE(YEAR(K$6),MONTH(K$6)+1,0)&gt;$F14),"░","")),"")))</f>
        <v/>
      </c>
      <c r="L14" s="34">
        <f>IF($A14="","",IF($B14="Decision point",IF(AND(ISNUMBER($F14),$F14&gt;=L$6,$F14&lt;=DATE(YEAR(L$6),MONTH(L$6)+1,0)),"◆",""),IF($B14="Project",IF(AND(ISNUMBER($E14),ISNUMBER($F14),$E14&lt;=DATE(YEAR(L$6),MONTH(L$6)+1,0),$F14&gt;=L$6),"█",IF(AND(ISNUMBER($F14),ISNUMBER($G14),$G14&gt;$F14,L$6&lt;=$G14,DATE(YEAR(L$6),MONTH(L$6)+1,0)&gt;$F14),"░","")),"")))</f>
        <v/>
      </c>
      <c r="M14" s="34">
        <f>IF($A14="","",IF($B14="Decision point",IF(AND(ISNUMBER($F14),$F14&gt;=M$6,$F14&lt;=DATE(YEAR(M$6),MONTH(M$6)+1,0)),"◆",""),IF($B14="Project",IF(AND(ISNUMBER($E14),ISNUMBER($F14),$E14&lt;=DATE(YEAR(M$6),MONTH(M$6)+1,0),$F14&gt;=M$6),"█",IF(AND(ISNUMBER($F14),ISNUMBER($G14),$G14&gt;$F14,M$6&lt;=$G14,DATE(YEAR(M$6),MONTH(M$6)+1,0)&gt;$F14),"░","")),"")))</f>
        <v/>
      </c>
      <c r="N14" s="34">
        <f>IF($A14="","",IF($B14="Decision point",IF(AND(ISNUMBER($F14),$F14&gt;=N$6,$F14&lt;=DATE(YEAR(N$6),MONTH(N$6)+1,0)),"◆",""),IF($B14="Project",IF(AND(ISNUMBER($E14),ISNUMBER($F14),$E14&lt;=DATE(YEAR(N$6),MONTH(N$6)+1,0),$F14&gt;=N$6),"█",IF(AND(ISNUMBER($F14),ISNUMBER($G14),$G14&gt;$F14,N$6&lt;=$G14,DATE(YEAR(N$6),MONTH(N$6)+1,0)&gt;$F14),"░","")),"")))</f>
        <v/>
      </c>
      <c r="O14" s="34">
        <f>IF($A14="","",IF($B14="Decision point",IF(AND(ISNUMBER($F14),$F14&gt;=O$6,$F14&lt;=DATE(YEAR(O$6),MONTH(O$6)+1,0)),"◆",""),IF($B14="Project",IF(AND(ISNUMBER($E14),ISNUMBER($F14),$E14&lt;=DATE(YEAR(O$6),MONTH(O$6)+1,0),$F14&gt;=O$6),"█",IF(AND(ISNUMBER($F14),ISNUMBER($G14),$G14&gt;$F14,O$6&lt;=$G14,DATE(YEAR(O$6),MONTH(O$6)+1,0)&gt;$F14),"░","")),"")))</f>
        <v/>
      </c>
      <c r="P14" s="34">
        <f>IF($A14="","",IF($B14="Decision point",IF(AND(ISNUMBER($F14),$F14&gt;=P$6,$F14&lt;=DATE(YEAR(P$6),MONTH(P$6)+1,0)),"◆",""),IF($B14="Project",IF(AND(ISNUMBER($E14),ISNUMBER($F14),$E14&lt;=DATE(YEAR(P$6),MONTH(P$6)+1,0),$F14&gt;=P$6),"█",IF(AND(ISNUMBER($F14),ISNUMBER($G14),$G14&gt;$F14,P$6&lt;=$G14,DATE(YEAR(P$6),MONTH(P$6)+1,0)&gt;$F14),"░","")),"")))</f>
        <v/>
      </c>
      <c r="Q14" s="34">
        <f>IF($A14="","",IF($B14="Decision point",IF(AND(ISNUMBER($F14),$F14&gt;=Q$6,$F14&lt;=DATE(YEAR(Q$6),MONTH(Q$6)+1,0)),"◆",""),IF($B14="Project",IF(AND(ISNUMBER($E14),ISNUMBER($F14),$E14&lt;=DATE(YEAR(Q$6),MONTH(Q$6)+1,0),$F14&gt;=Q$6),"█",IF(AND(ISNUMBER($F14),ISNUMBER($G14),$G14&gt;$F14,Q$6&lt;=$G14,DATE(YEAR(Q$6),MONTH(Q$6)+1,0)&gt;$F14),"░","")),"")))</f>
        <v/>
      </c>
      <c r="R14" s="34">
        <f>IF($A14="","",IF($B14="Decision point",IF(AND(ISNUMBER($F14),$F14&gt;=R$6,$F14&lt;=DATE(YEAR(R$6),MONTH(R$6)+1,0)),"◆",""),IF($B14="Project",IF(AND(ISNUMBER($E14),ISNUMBER($F14),$E14&lt;=DATE(YEAR(R$6),MONTH(R$6)+1,0),$F14&gt;=R$6),"█",IF(AND(ISNUMBER($F14),ISNUMBER($G14),$G14&gt;$F14,R$6&lt;=$G14,DATE(YEAR(R$6),MONTH(R$6)+1,0)&gt;$F14),"░","")),"")))</f>
        <v/>
      </c>
      <c r="S14" s="34">
        <f>IF($A14="","",IF($B14="Decision point",IF(AND(ISNUMBER($F14),$F14&gt;=S$6,$F14&lt;=DATE(YEAR(S$6),MONTH(S$6)+1,0)),"◆",""),IF($B14="Project",IF(AND(ISNUMBER($E14),ISNUMBER($F14),$E14&lt;=DATE(YEAR(S$6),MONTH(S$6)+1,0),$F14&gt;=S$6),"█",IF(AND(ISNUMBER($F14),ISNUMBER($G14),$G14&gt;$F14,S$6&lt;=$G14,DATE(YEAR(S$6),MONTH(S$6)+1,0)&gt;$F14),"░","")),"")))</f>
        <v/>
      </c>
      <c r="T14" s="34">
        <f>IF($A14="","",IF($B14="Decision point",IF(AND(ISNUMBER($F14),$F14&gt;=T$6,$F14&lt;=DATE(YEAR(T$6),MONTH(T$6)+1,0)),"◆",""),IF($B14="Project",IF(AND(ISNUMBER($E14),ISNUMBER($F14),$E14&lt;=DATE(YEAR(T$6),MONTH(T$6)+1,0),$F14&gt;=T$6),"█",IF(AND(ISNUMBER($F14),ISNUMBER($G14),$G14&gt;$F14,T$6&lt;=$G14,DATE(YEAR(T$6),MONTH(T$6)+1,0)&gt;$F14),"░","")),"")))</f>
        <v/>
      </c>
      <c r="U14" s="34">
        <f>IF($A14="","",IF($B14="Decision point",IF(AND(ISNUMBER($F14),$F14&gt;=U$6,$F14&lt;=DATE(YEAR(U$6),MONTH(U$6)+1,0)),"◆",""),IF($B14="Project",IF(AND(ISNUMBER($E14),ISNUMBER($F14),$E14&lt;=DATE(YEAR(U$6),MONTH(U$6)+1,0),$F14&gt;=U$6),"█",IF(AND(ISNUMBER($F14),ISNUMBER($G14),$G14&gt;$F14,U$6&lt;=$G14,DATE(YEAR(U$6),MONTH(U$6)+1,0)&gt;$F14),"░","")),"")))</f>
        <v/>
      </c>
      <c r="V14" s="34">
        <f>IF($A14="","",IF($B14="Decision point",IF(AND(ISNUMBER($F14),$F14&gt;=V$6,$F14&lt;=DATE(YEAR(V$6),MONTH(V$6)+1,0)),"◆",""),IF($B14="Project",IF(AND(ISNUMBER($E14),ISNUMBER($F14),$E14&lt;=DATE(YEAR(V$6),MONTH(V$6)+1,0),$F14&gt;=V$6),"█",IF(AND(ISNUMBER($F14),ISNUMBER($G14),$G14&gt;$F14,V$6&lt;=$G14,DATE(YEAR(V$6),MONTH(V$6)+1,0)&gt;$F14),"░","")),"")))</f>
        <v/>
      </c>
      <c r="W14" s="34">
        <f>IF($A14="","",IF($B14="Decision point",IF(AND(ISNUMBER($F14),$F14&gt;=W$6,$F14&lt;=DATE(YEAR(W$6),MONTH(W$6)+1,0)),"◆",""),IF($B14="Project",IF(AND(ISNUMBER($E14),ISNUMBER($F14),$E14&lt;=DATE(YEAR(W$6),MONTH(W$6)+1,0),$F14&gt;=W$6),"█",IF(AND(ISNUMBER($F14),ISNUMBER($G14),$G14&gt;$F14,W$6&lt;=$G14,DATE(YEAR(W$6),MONTH(W$6)+1,0)&gt;$F14),"░","")),"")))</f>
        <v/>
      </c>
      <c r="X14" s="34">
        <f>IF($A14="","",IF($B14="Decision point",IF(AND(ISNUMBER($F14),$F14&gt;=X$6,$F14&lt;=DATE(YEAR(X$6),MONTH(X$6)+1,0)),"◆",""),IF($B14="Project",IF(AND(ISNUMBER($E14),ISNUMBER($F14),$E14&lt;=DATE(YEAR(X$6),MONTH(X$6)+1,0),$F14&gt;=X$6),"█",IF(AND(ISNUMBER($F14),ISNUMBER($G14),$G14&gt;$F14,X$6&lt;=$G14,DATE(YEAR(X$6),MONTH(X$6)+1,0)&gt;$F14),"░","")),"")))</f>
        <v/>
      </c>
      <c r="Y14" s="34">
        <f>IF($AE14=1,"▶",IF($A14="","",IF($B14="Decision point",IF(AND(ISNUMBER($F14),$F14&gt;=Y$6,$F14&lt;=DATE(YEAR(Y$6),MONTH(Y$6)+1,0)),"◆",""),IF($B14="Project",IF(AND(ISNUMBER($E14),ISNUMBER($F14),$E14&lt;=DATE(YEAR(Y$6),MONTH(Y$6)+1,0),$F14&gt;=Y$6),"█",IF(AND(ISNUMBER($F14),ISNUMBER($G14),$G14&gt;$F14,Y$6&lt;=$G14,DATE(YEAR(Y$6),MONTH(Y$6)+1,0)&gt;$F14),"░","")),""))))</f>
        <v/>
      </c>
      <c r="AA14" s="9">
        <f>IF(AND($B14="Project",OR($D14="Active",$D14="Paused"),ISNUMBER($G14)),$G14,"")</f>
        <v/>
      </c>
      <c r="AB14" s="9">
        <f>IF(AND($B14="Decision point",ISNUMBER($F14)),IF($F14&gt;=Dashboard!$B$16,$F14,""),"")</f>
        <v/>
      </c>
      <c r="AC14" s="9">
        <f>IF(LEFT($I14,1)="△",1,0)</f>
        <v/>
      </c>
      <c r="AD14" s="9">
        <f>IF(ISNUMBER($AB14),100000-$AB14,0)</f>
        <v/>
      </c>
      <c r="AE14" s="9">
        <f>IF($A14="",0,IF(OR(AND(ISNUMBER($F14),$F14&gt;DATE(YEAR($Y$6),MONTH($Y$6)+1,0)),AND($B14="Project",ISNUMBER($G14),$G14&gt;DATE(YEAR($Y$6),MONTH($Y$6)+1,0))),1,0))</f>
        <v/>
      </c>
    </row>
    <row r="15" ht="18" customHeight="1">
      <c r="A15" s="28" t="n"/>
      <c r="B15" s="28" t="n"/>
      <c r="C15" s="9">
        <f>IF($A15="","",IF(AND($B15="Project",$D15="Proposed"),"Proposed, so not counted until it's Active",IF($AE15=1,"Runs past the last month shown","")))</f>
        <v/>
      </c>
      <c r="D15" s="28" t="n"/>
      <c r="E15" s="14" t="n"/>
      <c r="F15" s="14" t="n"/>
      <c r="G15" s="14" t="n"/>
      <c r="H15" s="33">
        <f>IF($A15="","",IF(OR($B15&lt;&gt;"Project",$D15="Proposed",NOT(ISNUMBER($F15)),NOT(ISNUMBER($G15))),"",IF($G15&lt;=$F15,0,NETWORKDAYS($F15+1,$G15))))</f>
        <v/>
      </c>
      <c r="I15" s="9">
        <f>IF($A15="","",IF(SUMPRODUCT(--($A$7:$A$36=$A15))&gt;1,"△ Name used twice",IF(OR($B15="",NOT(ISNUMBER($F15))),"△ Kind or Planned finish missing",IF(AND($B15="Project",OR($D15="",AND($D15&lt;&gt;"Proposed",OR(NOT(ISNUMBER($E15)),NOT(ISNUMBER($G15)))))),"△ Status, Start or Latest forecast missing",IF(AND(ISNUMBER($E15),ISNUMBER($F15)),IF($E15&gt;$F15,"△ Start is after Planned finish","○ Clear"),"○ Clear")))))</f>
        <v/>
      </c>
      <c r="K15" s="34">
        <f>IF($A15="","",IF($B15="Decision point",IF(AND(ISNUMBER($F15),$F15&gt;=K$6,$F15&lt;=DATE(YEAR(K$6),MONTH(K$6)+1,0)),"◆",""),IF($B15="Project",IF(AND(ISNUMBER($E15),ISNUMBER($F15),$E15&lt;=DATE(YEAR(K$6),MONTH(K$6)+1,0),$F15&gt;=K$6),"█",IF(AND(ISNUMBER($F15),ISNUMBER($G15),$G15&gt;$F15,K$6&lt;=$G15,DATE(YEAR(K$6),MONTH(K$6)+1,0)&gt;$F15),"░","")),"")))</f>
        <v/>
      </c>
      <c r="L15" s="34">
        <f>IF($A15="","",IF($B15="Decision point",IF(AND(ISNUMBER($F15),$F15&gt;=L$6,$F15&lt;=DATE(YEAR(L$6),MONTH(L$6)+1,0)),"◆",""),IF($B15="Project",IF(AND(ISNUMBER($E15),ISNUMBER($F15),$E15&lt;=DATE(YEAR(L$6),MONTH(L$6)+1,0),$F15&gt;=L$6),"█",IF(AND(ISNUMBER($F15),ISNUMBER($G15),$G15&gt;$F15,L$6&lt;=$G15,DATE(YEAR(L$6),MONTH(L$6)+1,0)&gt;$F15),"░","")),"")))</f>
        <v/>
      </c>
      <c r="M15" s="34">
        <f>IF($A15="","",IF($B15="Decision point",IF(AND(ISNUMBER($F15),$F15&gt;=M$6,$F15&lt;=DATE(YEAR(M$6),MONTH(M$6)+1,0)),"◆",""),IF($B15="Project",IF(AND(ISNUMBER($E15),ISNUMBER($F15),$E15&lt;=DATE(YEAR(M$6),MONTH(M$6)+1,0),$F15&gt;=M$6),"█",IF(AND(ISNUMBER($F15),ISNUMBER($G15),$G15&gt;$F15,M$6&lt;=$G15,DATE(YEAR(M$6),MONTH(M$6)+1,0)&gt;$F15),"░","")),"")))</f>
        <v/>
      </c>
      <c r="N15" s="34">
        <f>IF($A15="","",IF($B15="Decision point",IF(AND(ISNUMBER($F15),$F15&gt;=N$6,$F15&lt;=DATE(YEAR(N$6),MONTH(N$6)+1,0)),"◆",""),IF($B15="Project",IF(AND(ISNUMBER($E15),ISNUMBER($F15),$E15&lt;=DATE(YEAR(N$6),MONTH(N$6)+1,0),$F15&gt;=N$6),"█",IF(AND(ISNUMBER($F15),ISNUMBER($G15),$G15&gt;$F15,N$6&lt;=$G15,DATE(YEAR(N$6),MONTH(N$6)+1,0)&gt;$F15),"░","")),"")))</f>
        <v/>
      </c>
      <c r="O15" s="34">
        <f>IF($A15="","",IF($B15="Decision point",IF(AND(ISNUMBER($F15),$F15&gt;=O$6,$F15&lt;=DATE(YEAR(O$6),MONTH(O$6)+1,0)),"◆",""),IF($B15="Project",IF(AND(ISNUMBER($E15),ISNUMBER($F15),$E15&lt;=DATE(YEAR(O$6),MONTH(O$6)+1,0),$F15&gt;=O$6),"█",IF(AND(ISNUMBER($F15),ISNUMBER($G15),$G15&gt;$F15,O$6&lt;=$G15,DATE(YEAR(O$6),MONTH(O$6)+1,0)&gt;$F15),"░","")),"")))</f>
        <v/>
      </c>
      <c r="P15" s="34">
        <f>IF($A15="","",IF($B15="Decision point",IF(AND(ISNUMBER($F15),$F15&gt;=P$6,$F15&lt;=DATE(YEAR(P$6),MONTH(P$6)+1,0)),"◆",""),IF($B15="Project",IF(AND(ISNUMBER($E15),ISNUMBER($F15),$E15&lt;=DATE(YEAR(P$6),MONTH(P$6)+1,0),$F15&gt;=P$6),"█",IF(AND(ISNUMBER($F15),ISNUMBER($G15),$G15&gt;$F15,P$6&lt;=$G15,DATE(YEAR(P$6),MONTH(P$6)+1,0)&gt;$F15),"░","")),"")))</f>
        <v/>
      </c>
      <c r="Q15" s="34">
        <f>IF($A15="","",IF($B15="Decision point",IF(AND(ISNUMBER($F15),$F15&gt;=Q$6,$F15&lt;=DATE(YEAR(Q$6),MONTH(Q$6)+1,0)),"◆",""),IF($B15="Project",IF(AND(ISNUMBER($E15),ISNUMBER($F15),$E15&lt;=DATE(YEAR(Q$6),MONTH(Q$6)+1,0),$F15&gt;=Q$6),"█",IF(AND(ISNUMBER($F15),ISNUMBER($G15),$G15&gt;$F15,Q$6&lt;=$G15,DATE(YEAR(Q$6),MONTH(Q$6)+1,0)&gt;$F15),"░","")),"")))</f>
        <v/>
      </c>
      <c r="R15" s="34">
        <f>IF($A15="","",IF($B15="Decision point",IF(AND(ISNUMBER($F15),$F15&gt;=R$6,$F15&lt;=DATE(YEAR(R$6),MONTH(R$6)+1,0)),"◆",""),IF($B15="Project",IF(AND(ISNUMBER($E15),ISNUMBER($F15),$E15&lt;=DATE(YEAR(R$6),MONTH(R$6)+1,0),$F15&gt;=R$6),"█",IF(AND(ISNUMBER($F15),ISNUMBER($G15),$G15&gt;$F15,R$6&lt;=$G15,DATE(YEAR(R$6),MONTH(R$6)+1,0)&gt;$F15),"░","")),"")))</f>
        <v/>
      </c>
      <c r="S15" s="34">
        <f>IF($A15="","",IF($B15="Decision point",IF(AND(ISNUMBER($F15),$F15&gt;=S$6,$F15&lt;=DATE(YEAR(S$6),MONTH(S$6)+1,0)),"◆",""),IF($B15="Project",IF(AND(ISNUMBER($E15),ISNUMBER($F15),$E15&lt;=DATE(YEAR(S$6),MONTH(S$6)+1,0),$F15&gt;=S$6),"█",IF(AND(ISNUMBER($F15),ISNUMBER($G15),$G15&gt;$F15,S$6&lt;=$G15,DATE(YEAR(S$6),MONTH(S$6)+1,0)&gt;$F15),"░","")),"")))</f>
        <v/>
      </c>
      <c r="T15" s="34">
        <f>IF($A15="","",IF($B15="Decision point",IF(AND(ISNUMBER($F15),$F15&gt;=T$6,$F15&lt;=DATE(YEAR(T$6),MONTH(T$6)+1,0)),"◆",""),IF($B15="Project",IF(AND(ISNUMBER($E15),ISNUMBER($F15),$E15&lt;=DATE(YEAR(T$6),MONTH(T$6)+1,0),$F15&gt;=T$6),"█",IF(AND(ISNUMBER($F15),ISNUMBER($G15),$G15&gt;$F15,T$6&lt;=$G15,DATE(YEAR(T$6),MONTH(T$6)+1,0)&gt;$F15),"░","")),"")))</f>
        <v/>
      </c>
      <c r="U15" s="34">
        <f>IF($A15="","",IF($B15="Decision point",IF(AND(ISNUMBER($F15),$F15&gt;=U$6,$F15&lt;=DATE(YEAR(U$6),MONTH(U$6)+1,0)),"◆",""),IF($B15="Project",IF(AND(ISNUMBER($E15),ISNUMBER($F15),$E15&lt;=DATE(YEAR(U$6),MONTH(U$6)+1,0),$F15&gt;=U$6),"█",IF(AND(ISNUMBER($F15),ISNUMBER($G15),$G15&gt;$F15,U$6&lt;=$G15,DATE(YEAR(U$6),MONTH(U$6)+1,0)&gt;$F15),"░","")),"")))</f>
        <v/>
      </c>
      <c r="V15" s="34">
        <f>IF($A15="","",IF($B15="Decision point",IF(AND(ISNUMBER($F15),$F15&gt;=V$6,$F15&lt;=DATE(YEAR(V$6),MONTH(V$6)+1,0)),"◆",""),IF($B15="Project",IF(AND(ISNUMBER($E15),ISNUMBER($F15),$E15&lt;=DATE(YEAR(V$6),MONTH(V$6)+1,0),$F15&gt;=V$6),"█",IF(AND(ISNUMBER($F15),ISNUMBER($G15),$G15&gt;$F15,V$6&lt;=$G15,DATE(YEAR(V$6),MONTH(V$6)+1,0)&gt;$F15),"░","")),"")))</f>
        <v/>
      </c>
      <c r="W15" s="34">
        <f>IF($A15="","",IF($B15="Decision point",IF(AND(ISNUMBER($F15),$F15&gt;=W$6,$F15&lt;=DATE(YEAR(W$6),MONTH(W$6)+1,0)),"◆",""),IF($B15="Project",IF(AND(ISNUMBER($E15),ISNUMBER($F15),$E15&lt;=DATE(YEAR(W$6),MONTH(W$6)+1,0),$F15&gt;=W$6),"█",IF(AND(ISNUMBER($F15),ISNUMBER($G15),$G15&gt;$F15,W$6&lt;=$G15,DATE(YEAR(W$6),MONTH(W$6)+1,0)&gt;$F15),"░","")),"")))</f>
        <v/>
      </c>
      <c r="X15" s="34">
        <f>IF($A15="","",IF($B15="Decision point",IF(AND(ISNUMBER($F15),$F15&gt;=X$6,$F15&lt;=DATE(YEAR(X$6),MONTH(X$6)+1,0)),"◆",""),IF($B15="Project",IF(AND(ISNUMBER($E15),ISNUMBER($F15),$E15&lt;=DATE(YEAR(X$6),MONTH(X$6)+1,0),$F15&gt;=X$6),"█",IF(AND(ISNUMBER($F15),ISNUMBER($G15),$G15&gt;$F15,X$6&lt;=$G15,DATE(YEAR(X$6),MONTH(X$6)+1,0)&gt;$F15),"░","")),"")))</f>
        <v/>
      </c>
      <c r="Y15" s="34">
        <f>IF($AE15=1,"▶",IF($A15="","",IF($B15="Decision point",IF(AND(ISNUMBER($F15),$F15&gt;=Y$6,$F15&lt;=DATE(YEAR(Y$6),MONTH(Y$6)+1,0)),"◆",""),IF($B15="Project",IF(AND(ISNUMBER($E15),ISNUMBER($F15),$E15&lt;=DATE(YEAR(Y$6),MONTH(Y$6)+1,0),$F15&gt;=Y$6),"█",IF(AND(ISNUMBER($F15),ISNUMBER($G15),$G15&gt;$F15,Y$6&lt;=$G15,DATE(YEAR(Y$6),MONTH(Y$6)+1,0)&gt;$F15),"░","")),""))))</f>
        <v/>
      </c>
      <c r="AA15" s="9">
        <f>IF(AND($B15="Project",OR($D15="Active",$D15="Paused"),ISNUMBER($G15)),$G15,"")</f>
        <v/>
      </c>
      <c r="AB15" s="9">
        <f>IF(AND($B15="Decision point",ISNUMBER($F15)),IF($F15&gt;=Dashboard!$B$16,$F15,""),"")</f>
        <v/>
      </c>
      <c r="AC15" s="9">
        <f>IF(LEFT($I15,1)="△",1,0)</f>
        <v/>
      </c>
      <c r="AD15" s="9">
        <f>IF(ISNUMBER($AB15),100000-$AB15,0)</f>
        <v/>
      </c>
      <c r="AE15" s="9">
        <f>IF($A15="",0,IF(OR(AND(ISNUMBER($F15),$F15&gt;DATE(YEAR($Y$6),MONTH($Y$6)+1,0)),AND($B15="Project",ISNUMBER($G15),$G15&gt;DATE(YEAR($Y$6),MONTH($Y$6)+1,0))),1,0))</f>
        <v/>
      </c>
    </row>
    <row r="16" ht="18" customHeight="1">
      <c r="A16" s="28" t="n"/>
      <c r="B16" s="28" t="n"/>
      <c r="C16" s="9">
        <f>IF($A16="","",IF(AND($B16="Project",$D16="Proposed"),"Proposed, so not counted until it's Active",IF($AE16=1,"Runs past the last month shown","")))</f>
        <v/>
      </c>
      <c r="D16" s="28" t="n"/>
      <c r="E16" s="14" t="n"/>
      <c r="F16" s="14" t="n"/>
      <c r="G16" s="14" t="n"/>
      <c r="H16" s="33">
        <f>IF($A16="","",IF(OR($B16&lt;&gt;"Project",$D16="Proposed",NOT(ISNUMBER($F16)),NOT(ISNUMBER($G16))),"",IF($G16&lt;=$F16,0,NETWORKDAYS($F16+1,$G16))))</f>
        <v/>
      </c>
      <c r="I16" s="9">
        <f>IF($A16="","",IF(SUMPRODUCT(--($A$7:$A$36=$A16))&gt;1,"△ Name used twice",IF(OR($B16="",NOT(ISNUMBER($F16))),"△ Kind or Planned finish missing",IF(AND($B16="Project",OR($D16="",AND($D16&lt;&gt;"Proposed",OR(NOT(ISNUMBER($E16)),NOT(ISNUMBER($G16)))))),"△ Status, Start or Latest forecast missing",IF(AND(ISNUMBER($E16),ISNUMBER($F16)),IF($E16&gt;$F16,"△ Start is after Planned finish","○ Clear"),"○ Clear")))))</f>
        <v/>
      </c>
      <c r="K16" s="34">
        <f>IF($A16="","",IF($B16="Decision point",IF(AND(ISNUMBER($F16),$F16&gt;=K$6,$F16&lt;=DATE(YEAR(K$6),MONTH(K$6)+1,0)),"◆",""),IF($B16="Project",IF(AND(ISNUMBER($E16),ISNUMBER($F16),$E16&lt;=DATE(YEAR(K$6),MONTH(K$6)+1,0),$F16&gt;=K$6),"█",IF(AND(ISNUMBER($F16),ISNUMBER($G16),$G16&gt;$F16,K$6&lt;=$G16,DATE(YEAR(K$6),MONTH(K$6)+1,0)&gt;$F16),"░","")),"")))</f>
        <v/>
      </c>
      <c r="L16" s="34">
        <f>IF($A16="","",IF($B16="Decision point",IF(AND(ISNUMBER($F16),$F16&gt;=L$6,$F16&lt;=DATE(YEAR(L$6),MONTH(L$6)+1,0)),"◆",""),IF($B16="Project",IF(AND(ISNUMBER($E16),ISNUMBER($F16),$E16&lt;=DATE(YEAR(L$6),MONTH(L$6)+1,0),$F16&gt;=L$6),"█",IF(AND(ISNUMBER($F16),ISNUMBER($G16),$G16&gt;$F16,L$6&lt;=$G16,DATE(YEAR(L$6),MONTH(L$6)+1,0)&gt;$F16),"░","")),"")))</f>
        <v/>
      </c>
      <c r="M16" s="34">
        <f>IF($A16="","",IF($B16="Decision point",IF(AND(ISNUMBER($F16),$F16&gt;=M$6,$F16&lt;=DATE(YEAR(M$6),MONTH(M$6)+1,0)),"◆",""),IF($B16="Project",IF(AND(ISNUMBER($E16),ISNUMBER($F16),$E16&lt;=DATE(YEAR(M$6),MONTH(M$6)+1,0),$F16&gt;=M$6),"█",IF(AND(ISNUMBER($F16),ISNUMBER($G16),$G16&gt;$F16,M$6&lt;=$G16,DATE(YEAR(M$6),MONTH(M$6)+1,0)&gt;$F16),"░","")),"")))</f>
        <v/>
      </c>
      <c r="N16" s="34">
        <f>IF($A16="","",IF($B16="Decision point",IF(AND(ISNUMBER($F16),$F16&gt;=N$6,$F16&lt;=DATE(YEAR(N$6),MONTH(N$6)+1,0)),"◆",""),IF($B16="Project",IF(AND(ISNUMBER($E16),ISNUMBER($F16),$E16&lt;=DATE(YEAR(N$6),MONTH(N$6)+1,0),$F16&gt;=N$6),"█",IF(AND(ISNUMBER($F16),ISNUMBER($G16),$G16&gt;$F16,N$6&lt;=$G16,DATE(YEAR(N$6),MONTH(N$6)+1,0)&gt;$F16),"░","")),"")))</f>
        <v/>
      </c>
      <c r="O16" s="34">
        <f>IF($A16="","",IF($B16="Decision point",IF(AND(ISNUMBER($F16),$F16&gt;=O$6,$F16&lt;=DATE(YEAR(O$6),MONTH(O$6)+1,0)),"◆",""),IF($B16="Project",IF(AND(ISNUMBER($E16),ISNUMBER($F16),$E16&lt;=DATE(YEAR(O$6),MONTH(O$6)+1,0),$F16&gt;=O$6),"█",IF(AND(ISNUMBER($F16),ISNUMBER($G16),$G16&gt;$F16,O$6&lt;=$G16,DATE(YEAR(O$6),MONTH(O$6)+1,0)&gt;$F16),"░","")),"")))</f>
        <v/>
      </c>
      <c r="P16" s="34">
        <f>IF($A16="","",IF($B16="Decision point",IF(AND(ISNUMBER($F16),$F16&gt;=P$6,$F16&lt;=DATE(YEAR(P$6),MONTH(P$6)+1,0)),"◆",""),IF($B16="Project",IF(AND(ISNUMBER($E16),ISNUMBER($F16),$E16&lt;=DATE(YEAR(P$6),MONTH(P$6)+1,0),$F16&gt;=P$6),"█",IF(AND(ISNUMBER($F16),ISNUMBER($G16),$G16&gt;$F16,P$6&lt;=$G16,DATE(YEAR(P$6),MONTH(P$6)+1,0)&gt;$F16),"░","")),"")))</f>
        <v/>
      </c>
      <c r="Q16" s="34">
        <f>IF($A16="","",IF($B16="Decision point",IF(AND(ISNUMBER($F16),$F16&gt;=Q$6,$F16&lt;=DATE(YEAR(Q$6),MONTH(Q$6)+1,0)),"◆",""),IF($B16="Project",IF(AND(ISNUMBER($E16),ISNUMBER($F16),$E16&lt;=DATE(YEAR(Q$6),MONTH(Q$6)+1,0),$F16&gt;=Q$6),"█",IF(AND(ISNUMBER($F16),ISNUMBER($G16),$G16&gt;$F16,Q$6&lt;=$G16,DATE(YEAR(Q$6),MONTH(Q$6)+1,0)&gt;$F16),"░","")),"")))</f>
        <v/>
      </c>
      <c r="R16" s="34">
        <f>IF($A16="","",IF($B16="Decision point",IF(AND(ISNUMBER($F16),$F16&gt;=R$6,$F16&lt;=DATE(YEAR(R$6),MONTH(R$6)+1,0)),"◆",""),IF($B16="Project",IF(AND(ISNUMBER($E16),ISNUMBER($F16),$E16&lt;=DATE(YEAR(R$6),MONTH(R$6)+1,0),$F16&gt;=R$6),"█",IF(AND(ISNUMBER($F16),ISNUMBER($G16),$G16&gt;$F16,R$6&lt;=$G16,DATE(YEAR(R$6),MONTH(R$6)+1,0)&gt;$F16),"░","")),"")))</f>
        <v/>
      </c>
      <c r="S16" s="34">
        <f>IF($A16="","",IF($B16="Decision point",IF(AND(ISNUMBER($F16),$F16&gt;=S$6,$F16&lt;=DATE(YEAR(S$6),MONTH(S$6)+1,0)),"◆",""),IF($B16="Project",IF(AND(ISNUMBER($E16),ISNUMBER($F16),$E16&lt;=DATE(YEAR(S$6),MONTH(S$6)+1,0),$F16&gt;=S$6),"█",IF(AND(ISNUMBER($F16),ISNUMBER($G16),$G16&gt;$F16,S$6&lt;=$G16,DATE(YEAR(S$6),MONTH(S$6)+1,0)&gt;$F16),"░","")),"")))</f>
        <v/>
      </c>
      <c r="T16" s="34">
        <f>IF($A16="","",IF($B16="Decision point",IF(AND(ISNUMBER($F16),$F16&gt;=T$6,$F16&lt;=DATE(YEAR(T$6),MONTH(T$6)+1,0)),"◆",""),IF($B16="Project",IF(AND(ISNUMBER($E16),ISNUMBER($F16),$E16&lt;=DATE(YEAR(T$6),MONTH(T$6)+1,0),$F16&gt;=T$6),"█",IF(AND(ISNUMBER($F16),ISNUMBER($G16),$G16&gt;$F16,T$6&lt;=$G16,DATE(YEAR(T$6),MONTH(T$6)+1,0)&gt;$F16),"░","")),"")))</f>
        <v/>
      </c>
      <c r="U16" s="34">
        <f>IF($A16="","",IF($B16="Decision point",IF(AND(ISNUMBER($F16),$F16&gt;=U$6,$F16&lt;=DATE(YEAR(U$6),MONTH(U$6)+1,0)),"◆",""),IF($B16="Project",IF(AND(ISNUMBER($E16),ISNUMBER($F16),$E16&lt;=DATE(YEAR(U$6),MONTH(U$6)+1,0),$F16&gt;=U$6),"█",IF(AND(ISNUMBER($F16),ISNUMBER($G16),$G16&gt;$F16,U$6&lt;=$G16,DATE(YEAR(U$6),MONTH(U$6)+1,0)&gt;$F16),"░","")),"")))</f>
        <v/>
      </c>
      <c r="V16" s="34">
        <f>IF($A16="","",IF($B16="Decision point",IF(AND(ISNUMBER($F16),$F16&gt;=V$6,$F16&lt;=DATE(YEAR(V$6),MONTH(V$6)+1,0)),"◆",""),IF($B16="Project",IF(AND(ISNUMBER($E16),ISNUMBER($F16),$E16&lt;=DATE(YEAR(V$6),MONTH(V$6)+1,0),$F16&gt;=V$6),"█",IF(AND(ISNUMBER($F16),ISNUMBER($G16),$G16&gt;$F16,V$6&lt;=$G16,DATE(YEAR(V$6),MONTH(V$6)+1,0)&gt;$F16),"░","")),"")))</f>
        <v/>
      </c>
      <c r="W16" s="34">
        <f>IF($A16="","",IF($B16="Decision point",IF(AND(ISNUMBER($F16),$F16&gt;=W$6,$F16&lt;=DATE(YEAR(W$6),MONTH(W$6)+1,0)),"◆",""),IF($B16="Project",IF(AND(ISNUMBER($E16),ISNUMBER($F16),$E16&lt;=DATE(YEAR(W$6),MONTH(W$6)+1,0),$F16&gt;=W$6),"█",IF(AND(ISNUMBER($F16),ISNUMBER($G16),$G16&gt;$F16,W$6&lt;=$G16,DATE(YEAR(W$6),MONTH(W$6)+1,0)&gt;$F16),"░","")),"")))</f>
        <v/>
      </c>
      <c r="X16" s="34">
        <f>IF($A16="","",IF($B16="Decision point",IF(AND(ISNUMBER($F16),$F16&gt;=X$6,$F16&lt;=DATE(YEAR(X$6),MONTH(X$6)+1,0)),"◆",""),IF($B16="Project",IF(AND(ISNUMBER($E16),ISNUMBER($F16),$E16&lt;=DATE(YEAR(X$6),MONTH(X$6)+1,0),$F16&gt;=X$6),"█",IF(AND(ISNUMBER($F16),ISNUMBER($G16),$G16&gt;$F16,X$6&lt;=$G16,DATE(YEAR(X$6),MONTH(X$6)+1,0)&gt;$F16),"░","")),"")))</f>
        <v/>
      </c>
      <c r="Y16" s="34">
        <f>IF($AE16=1,"▶",IF($A16="","",IF($B16="Decision point",IF(AND(ISNUMBER($F16),$F16&gt;=Y$6,$F16&lt;=DATE(YEAR(Y$6),MONTH(Y$6)+1,0)),"◆",""),IF($B16="Project",IF(AND(ISNUMBER($E16),ISNUMBER($F16),$E16&lt;=DATE(YEAR(Y$6),MONTH(Y$6)+1,0),$F16&gt;=Y$6),"█",IF(AND(ISNUMBER($F16),ISNUMBER($G16),$G16&gt;$F16,Y$6&lt;=$G16,DATE(YEAR(Y$6),MONTH(Y$6)+1,0)&gt;$F16),"░","")),""))))</f>
        <v/>
      </c>
      <c r="AA16" s="9">
        <f>IF(AND($B16="Project",OR($D16="Active",$D16="Paused"),ISNUMBER($G16)),$G16,"")</f>
        <v/>
      </c>
      <c r="AB16" s="9">
        <f>IF(AND($B16="Decision point",ISNUMBER($F16)),IF($F16&gt;=Dashboard!$B$16,$F16,""),"")</f>
        <v/>
      </c>
      <c r="AC16" s="9">
        <f>IF(LEFT($I16,1)="△",1,0)</f>
        <v/>
      </c>
      <c r="AD16" s="9">
        <f>IF(ISNUMBER($AB16),100000-$AB16,0)</f>
        <v/>
      </c>
      <c r="AE16" s="9">
        <f>IF($A16="",0,IF(OR(AND(ISNUMBER($F16),$F16&gt;DATE(YEAR($Y$6),MONTH($Y$6)+1,0)),AND($B16="Project",ISNUMBER($G16),$G16&gt;DATE(YEAR($Y$6),MONTH($Y$6)+1,0))),1,0))</f>
        <v/>
      </c>
    </row>
    <row r="17" ht="18" customHeight="1">
      <c r="A17" s="28" t="n"/>
      <c r="B17" s="28" t="n"/>
      <c r="C17" s="9">
        <f>IF($A17="","",IF(AND($B17="Project",$D17="Proposed"),"Proposed, so not counted until it's Active",IF($AE17=1,"Runs past the last month shown","")))</f>
        <v/>
      </c>
      <c r="D17" s="28" t="n"/>
      <c r="E17" s="14" t="n"/>
      <c r="F17" s="14" t="n"/>
      <c r="G17" s="14" t="n"/>
      <c r="H17" s="33">
        <f>IF($A17="","",IF(OR($B17&lt;&gt;"Project",$D17="Proposed",NOT(ISNUMBER($F17)),NOT(ISNUMBER($G17))),"",IF($G17&lt;=$F17,0,NETWORKDAYS($F17+1,$G17))))</f>
        <v/>
      </c>
      <c r="I17" s="9">
        <f>IF($A17="","",IF(SUMPRODUCT(--($A$7:$A$36=$A17))&gt;1,"△ Name used twice",IF(OR($B17="",NOT(ISNUMBER($F17))),"△ Kind or Planned finish missing",IF(AND($B17="Project",OR($D17="",AND($D17&lt;&gt;"Proposed",OR(NOT(ISNUMBER($E17)),NOT(ISNUMBER($G17)))))),"△ Status, Start or Latest forecast missing",IF(AND(ISNUMBER($E17),ISNUMBER($F17)),IF($E17&gt;$F17,"△ Start is after Planned finish","○ Clear"),"○ Clear")))))</f>
        <v/>
      </c>
      <c r="K17" s="34">
        <f>IF($A17="","",IF($B17="Decision point",IF(AND(ISNUMBER($F17),$F17&gt;=K$6,$F17&lt;=DATE(YEAR(K$6),MONTH(K$6)+1,0)),"◆",""),IF($B17="Project",IF(AND(ISNUMBER($E17),ISNUMBER($F17),$E17&lt;=DATE(YEAR(K$6),MONTH(K$6)+1,0),$F17&gt;=K$6),"█",IF(AND(ISNUMBER($F17),ISNUMBER($G17),$G17&gt;$F17,K$6&lt;=$G17,DATE(YEAR(K$6),MONTH(K$6)+1,0)&gt;$F17),"░","")),"")))</f>
        <v/>
      </c>
      <c r="L17" s="34">
        <f>IF($A17="","",IF($B17="Decision point",IF(AND(ISNUMBER($F17),$F17&gt;=L$6,$F17&lt;=DATE(YEAR(L$6),MONTH(L$6)+1,0)),"◆",""),IF($B17="Project",IF(AND(ISNUMBER($E17),ISNUMBER($F17),$E17&lt;=DATE(YEAR(L$6),MONTH(L$6)+1,0),$F17&gt;=L$6),"█",IF(AND(ISNUMBER($F17),ISNUMBER($G17),$G17&gt;$F17,L$6&lt;=$G17,DATE(YEAR(L$6),MONTH(L$6)+1,0)&gt;$F17),"░","")),"")))</f>
        <v/>
      </c>
      <c r="M17" s="34">
        <f>IF($A17="","",IF($B17="Decision point",IF(AND(ISNUMBER($F17),$F17&gt;=M$6,$F17&lt;=DATE(YEAR(M$6),MONTH(M$6)+1,0)),"◆",""),IF($B17="Project",IF(AND(ISNUMBER($E17),ISNUMBER($F17),$E17&lt;=DATE(YEAR(M$6),MONTH(M$6)+1,0),$F17&gt;=M$6),"█",IF(AND(ISNUMBER($F17),ISNUMBER($G17),$G17&gt;$F17,M$6&lt;=$G17,DATE(YEAR(M$6),MONTH(M$6)+1,0)&gt;$F17),"░","")),"")))</f>
        <v/>
      </c>
      <c r="N17" s="34">
        <f>IF($A17="","",IF($B17="Decision point",IF(AND(ISNUMBER($F17),$F17&gt;=N$6,$F17&lt;=DATE(YEAR(N$6),MONTH(N$6)+1,0)),"◆",""),IF($B17="Project",IF(AND(ISNUMBER($E17),ISNUMBER($F17),$E17&lt;=DATE(YEAR(N$6),MONTH(N$6)+1,0),$F17&gt;=N$6),"█",IF(AND(ISNUMBER($F17),ISNUMBER($G17),$G17&gt;$F17,N$6&lt;=$G17,DATE(YEAR(N$6),MONTH(N$6)+1,0)&gt;$F17),"░","")),"")))</f>
        <v/>
      </c>
      <c r="O17" s="34">
        <f>IF($A17="","",IF($B17="Decision point",IF(AND(ISNUMBER($F17),$F17&gt;=O$6,$F17&lt;=DATE(YEAR(O$6),MONTH(O$6)+1,0)),"◆",""),IF($B17="Project",IF(AND(ISNUMBER($E17),ISNUMBER($F17),$E17&lt;=DATE(YEAR(O$6),MONTH(O$6)+1,0),$F17&gt;=O$6),"█",IF(AND(ISNUMBER($F17),ISNUMBER($G17),$G17&gt;$F17,O$6&lt;=$G17,DATE(YEAR(O$6),MONTH(O$6)+1,0)&gt;$F17),"░","")),"")))</f>
        <v/>
      </c>
      <c r="P17" s="34">
        <f>IF($A17="","",IF($B17="Decision point",IF(AND(ISNUMBER($F17),$F17&gt;=P$6,$F17&lt;=DATE(YEAR(P$6),MONTH(P$6)+1,0)),"◆",""),IF($B17="Project",IF(AND(ISNUMBER($E17),ISNUMBER($F17),$E17&lt;=DATE(YEAR(P$6),MONTH(P$6)+1,0),$F17&gt;=P$6),"█",IF(AND(ISNUMBER($F17),ISNUMBER($G17),$G17&gt;$F17,P$6&lt;=$G17,DATE(YEAR(P$6),MONTH(P$6)+1,0)&gt;$F17),"░","")),"")))</f>
        <v/>
      </c>
      <c r="Q17" s="34">
        <f>IF($A17="","",IF($B17="Decision point",IF(AND(ISNUMBER($F17),$F17&gt;=Q$6,$F17&lt;=DATE(YEAR(Q$6),MONTH(Q$6)+1,0)),"◆",""),IF($B17="Project",IF(AND(ISNUMBER($E17),ISNUMBER($F17),$E17&lt;=DATE(YEAR(Q$6),MONTH(Q$6)+1,0),$F17&gt;=Q$6),"█",IF(AND(ISNUMBER($F17),ISNUMBER($G17),$G17&gt;$F17,Q$6&lt;=$G17,DATE(YEAR(Q$6),MONTH(Q$6)+1,0)&gt;$F17),"░","")),"")))</f>
        <v/>
      </c>
      <c r="R17" s="34">
        <f>IF($A17="","",IF($B17="Decision point",IF(AND(ISNUMBER($F17),$F17&gt;=R$6,$F17&lt;=DATE(YEAR(R$6),MONTH(R$6)+1,0)),"◆",""),IF($B17="Project",IF(AND(ISNUMBER($E17),ISNUMBER($F17),$E17&lt;=DATE(YEAR(R$6),MONTH(R$6)+1,0),$F17&gt;=R$6),"█",IF(AND(ISNUMBER($F17),ISNUMBER($G17),$G17&gt;$F17,R$6&lt;=$G17,DATE(YEAR(R$6),MONTH(R$6)+1,0)&gt;$F17),"░","")),"")))</f>
        <v/>
      </c>
      <c r="S17" s="34">
        <f>IF($A17="","",IF($B17="Decision point",IF(AND(ISNUMBER($F17),$F17&gt;=S$6,$F17&lt;=DATE(YEAR(S$6),MONTH(S$6)+1,0)),"◆",""),IF($B17="Project",IF(AND(ISNUMBER($E17),ISNUMBER($F17),$E17&lt;=DATE(YEAR(S$6),MONTH(S$6)+1,0),$F17&gt;=S$6),"█",IF(AND(ISNUMBER($F17),ISNUMBER($G17),$G17&gt;$F17,S$6&lt;=$G17,DATE(YEAR(S$6),MONTH(S$6)+1,0)&gt;$F17),"░","")),"")))</f>
        <v/>
      </c>
      <c r="T17" s="34">
        <f>IF($A17="","",IF($B17="Decision point",IF(AND(ISNUMBER($F17),$F17&gt;=T$6,$F17&lt;=DATE(YEAR(T$6),MONTH(T$6)+1,0)),"◆",""),IF($B17="Project",IF(AND(ISNUMBER($E17),ISNUMBER($F17),$E17&lt;=DATE(YEAR(T$6),MONTH(T$6)+1,0),$F17&gt;=T$6),"█",IF(AND(ISNUMBER($F17),ISNUMBER($G17),$G17&gt;$F17,T$6&lt;=$G17,DATE(YEAR(T$6),MONTH(T$6)+1,0)&gt;$F17),"░","")),"")))</f>
        <v/>
      </c>
      <c r="U17" s="34">
        <f>IF($A17="","",IF($B17="Decision point",IF(AND(ISNUMBER($F17),$F17&gt;=U$6,$F17&lt;=DATE(YEAR(U$6),MONTH(U$6)+1,0)),"◆",""),IF($B17="Project",IF(AND(ISNUMBER($E17),ISNUMBER($F17),$E17&lt;=DATE(YEAR(U$6),MONTH(U$6)+1,0),$F17&gt;=U$6),"█",IF(AND(ISNUMBER($F17),ISNUMBER($G17),$G17&gt;$F17,U$6&lt;=$G17,DATE(YEAR(U$6),MONTH(U$6)+1,0)&gt;$F17),"░","")),"")))</f>
        <v/>
      </c>
      <c r="V17" s="34">
        <f>IF($A17="","",IF($B17="Decision point",IF(AND(ISNUMBER($F17),$F17&gt;=V$6,$F17&lt;=DATE(YEAR(V$6),MONTH(V$6)+1,0)),"◆",""),IF($B17="Project",IF(AND(ISNUMBER($E17),ISNUMBER($F17),$E17&lt;=DATE(YEAR(V$6),MONTH(V$6)+1,0),$F17&gt;=V$6),"█",IF(AND(ISNUMBER($F17),ISNUMBER($G17),$G17&gt;$F17,V$6&lt;=$G17,DATE(YEAR(V$6),MONTH(V$6)+1,0)&gt;$F17),"░","")),"")))</f>
        <v/>
      </c>
      <c r="W17" s="34">
        <f>IF($A17="","",IF($B17="Decision point",IF(AND(ISNUMBER($F17),$F17&gt;=W$6,$F17&lt;=DATE(YEAR(W$6),MONTH(W$6)+1,0)),"◆",""),IF($B17="Project",IF(AND(ISNUMBER($E17),ISNUMBER($F17),$E17&lt;=DATE(YEAR(W$6),MONTH(W$6)+1,0),$F17&gt;=W$6),"█",IF(AND(ISNUMBER($F17),ISNUMBER($G17),$G17&gt;$F17,W$6&lt;=$G17,DATE(YEAR(W$6),MONTH(W$6)+1,0)&gt;$F17),"░","")),"")))</f>
        <v/>
      </c>
      <c r="X17" s="34">
        <f>IF($A17="","",IF($B17="Decision point",IF(AND(ISNUMBER($F17),$F17&gt;=X$6,$F17&lt;=DATE(YEAR(X$6),MONTH(X$6)+1,0)),"◆",""),IF($B17="Project",IF(AND(ISNUMBER($E17),ISNUMBER($F17),$E17&lt;=DATE(YEAR(X$6),MONTH(X$6)+1,0),$F17&gt;=X$6),"█",IF(AND(ISNUMBER($F17),ISNUMBER($G17),$G17&gt;$F17,X$6&lt;=$G17,DATE(YEAR(X$6),MONTH(X$6)+1,0)&gt;$F17),"░","")),"")))</f>
        <v/>
      </c>
      <c r="Y17" s="34">
        <f>IF($AE17=1,"▶",IF($A17="","",IF($B17="Decision point",IF(AND(ISNUMBER($F17),$F17&gt;=Y$6,$F17&lt;=DATE(YEAR(Y$6),MONTH(Y$6)+1,0)),"◆",""),IF($B17="Project",IF(AND(ISNUMBER($E17),ISNUMBER($F17),$E17&lt;=DATE(YEAR(Y$6),MONTH(Y$6)+1,0),$F17&gt;=Y$6),"█",IF(AND(ISNUMBER($F17),ISNUMBER($G17),$G17&gt;$F17,Y$6&lt;=$G17,DATE(YEAR(Y$6),MONTH(Y$6)+1,0)&gt;$F17),"░","")),""))))</f>
        <v/>
      </c>
      <c r="AA17" s="9">
        <f>IF(AND($B17="Project",OR($D17="Active",$D17="Paused"),ISNUMBER($G17)),$G17,"")</f>
        <v/>
      </c>
      <c r="AB17" s="9">
        <f>IF(AND($B17="Decision point",ISNUMBER($F17)),IF($F17&gt;=Dashboard!$B$16,$F17,""),"")</f>
        <v/>
      </c>
      <c r="AC17" s="9">
        <f>IF(LEFT($I17,1)="△",1,0)</f>
        <v/>
      </c>
      <c r="AD17" s="9">
        <f>IF(ISNUMBER($AB17),100000-$AB17,0)</f>
        <v/>
      </c>
      <c r="AE17" s="9">
        <f>IF($A17="",0,IF(OR(AND(ISNUMBER($F17),$F17&gt;DATE(YEAR($Y$6),MONTH($Y$6)+1,0)),AND($B17="Project",ISNUMBER($G17),$G17&gt;DATE(YEAR($Y$6),MONTH($Y$6)+1,0))),1,0))</f>
        <v/>
      </c>
    </row>
    <row r="18" ht="18" customHeight="1">
      <c r="A18" s="28" t="n"/>
      <c r="B18" s="28" t="n"/>
      <c r="C18" s="9">
        <f>IF($A18="","",IF(AND($B18="Project",$D18="Proposed"),"Proposed, so not counted until it's Active",IF($AE18=1,"Runs past the last month shown","")))</f>
        <v/>
      </c>
      <c r="D18" s="28" t="n"/>
      <c r="E18" s="14" t="n"/>
      <c r="F18" s="14" t="n"/>
      <c r="G18" s="14" t="n"/>
      <c r="H18" s="33">
        <f>IF($A18="","",IF(OR($B18&lt;&gt;"Project",$D18="Proposed",NOT(ISNUMBER($F18)),NOT(ISNUMBER($G18))),"",IF($G18&lt;=$F18,0,NETWORKDAYS($F18+1,$G18))))</f>
        <v/>
      </c>
      <c r="I18" s="9">
        <f>IF($A18="","",IF(SUMPRODUCT(--($A$7:$A$36=$A18))&gt;1,"△ Name used twice",IF(OR($B18="",NOT(ISNUMBER($F18))),"△ Kind or Planned finish missing",IF(AND($B18="Project",OR($D18="",AND($D18&lt;&gt;"Proposed",OR(NOT(ISNUMBER($E18)),NOT(ISNUMBER($G18)))))),"△ Status, Start or Latest forecast missing",IF(AND(ISNUMBER($E18),ISNUMBER($F18)),IF($E18&gt;$F18,"△ Start is after Planned finish","○ Clear"),"○ Clear")))))</f>
        <v/>
      </c>
      <c r="K18" s="34">
        <f>IF($A18="","",IF($B18="Decision point",IF(AND(ISNUMBER($F18),$F18&gt;=K$6,$F18&lt;=DATE(YEAR(K$6),MONTH(K$6)+1,0)),"◆",""),IF($B18="Project",IF(AND(ISNUMBER($E18),ISNUMBER($F18),$E18&lt;=DATE(YEAR(K$6),MONTH(K$6)+1,0),$F18&gt;=K$6),"█",IF(AND(ISNUMBER($F18),ISNUMBER($G18),$G18&gt;$F18,K$6&lt;=$G18,DATE(YEAR(K$6),MONTH(K$6)+1,0)&gt;$F18),"░","")),"")))</f>
        <v/>
      </c>
      <c r="L18" s="34">
        <f>IF($A18="","",IF($B18="Decision point",IF(AND(ISNUMBER($F18),$F18&gt;=L$6,$F18&lt;=DATE(YEAR(L$6),MONTH(L$6)+1,0)),"◆",""),IF($B18="Project",IF(AND(ISNUMBER($E18),ISNUMBER($F18),$E18&lt;=DATE(YEAR(L$6),MONTH(L$6)+1,0),$F18&gt;=L$6),"█",IF(AND(ISNUMBER($F18),ISNUMBER($G18),$G18&gt;$F18,L$6&lt;=$G18,DATE(YEAR(L$6),MONTH(L$6)+1,0)&gt;$F18),"░","")),"")))</f>
        <v/>
      </c>
      <c r="M18" s="34">
        <f>IF($A18="","",IF($B18="Decision point",IF(AND(ISNUMBER($F18),$F18&gt;=M$6,$F18&lt;=DATE(YEAR(M$6),MONTH(M$6)+1,0)),"◆",""),IF($B18="Project",IF(AND(ISNUMBER($E18),ISNUMBER($F18),$E18&lt;=DATE(YEAR(M$6),MONTH(M$6)+1,0),$F18&gt;=M$6),"█",IF(AND(ISNUMBER($F18),ISNUMBER($G18),$G18&gt;$F18,M$6&lt;=$G18,DATE(YEAR(M$6),MONTH(M$6)+1,0)&gt;$F18),"░","")),"")))</f>
        <v/>
      </c>
      <c r="N18" s="34">
        <f>IF($A18="","",IF($B18="Decision point",IF(AND(ISNUMBER($F18),$F18&gt;=N$6,$F18&lt;=DATE(YEAR(N$6),MONTH(N$6)+1,0)),"◆",""),IF($B18="Project",IF(AND(ISNUMBER($E18),ISNUMBER($F18),$E18&lt;=DATE(YEAR(N$6),MONTH(N$6)+1,0),$F18&gt;=N$6),"█",IF(AND(ISNUMBER($F18),ISNUMBER($G18),$G18&gt;$F18,N$6&lt;=$G18,DATE(YEAR(N$6),MONTH(N$6)+1,0)&gt;$F18),"░","")),"")))</f>
        <v/>
      </c>
      <c r="O18" s="34">
        <f>IF($A18="","",IF($B18="Decision point",IF(AND(ISNUMBER($F18),$F18&gt;=O$6,$F18&lt;=DATE(YEAR(O$6),MONTH(O$6)+1,0)),"◆",""),IF($B18="Project",IF(AND(ISNUMBER($E18),ISNUMBER($F18),$E18&lt;=DATE(YEAR(O$6),MONTH(O$6)+1,0),$F18&gt;=O$6),"█",IF(AND(ISNUMBER($F18),ISNUMBER($G18),$G18&gt;$F18,O$6&lt;=$G18,DATE(YEAR(O$6),MONTH(O$6)+1,0)&gt;$F18),"░","")),"")))</f>
        <v/>
      </c>
      <c r="P18" s="34">
        <f>IF($A18="","",IF($B18="Decision point",IF(AND(ISNUMBER($F18),$F18&gt;=P$6,$F18&lt;=DATE(YEAR(P$6),MONTH(P$6)+1,0)),"◆",""),IF($B18="Project",IF(AND(ISNUMBER($E18),ISNUMBER($F18),$E18&lt;=DATE(YEAR(P$6),MONTH(P$6)+1,0),$F18&gt;=P$6),"█",IF(AND(ISNUMBER($F18),ISNUMBER($G18),$G18&gt;$F18,P$6&lt;=$G18,DATE(YEAR(P$6),MONTH(P$6)+1,0)&gt;$F18),"░","")),"")))</f>
        <v/>
      </c>
      <c r="Q18" s="34">
        <f>IF($A18="","",IF($B18="Decision point",IF(AND(ISNUMBER($F18),$F18&gt;=Q$6,$F18&lt;=DATE(YEAR(Q$6),MONTH(Q$6)+1,0)),"◆",""),IF($B18="Project",IF(AND(ISNUMBER($E18),ISNUMBER($F18),$E18&lt;=DATE(YEAR(Q$6),MONTH(Q$6)+1,0),$F18&gt;=Q$6),"█",IF(AND(ISNUMBER($F18),ISNUMBER($G18),$G18&gt;$F18,Q$6&lt;=$G18,DATE(YEAR(Q$6),MONTH(Q$6)+1,0)&gt;$F18),"░","")),"")))</f>
        <v/>
      </c>
      <c r="R18" s="34">
        <f>IF($A18="","",IF($B18="Decision point",IF(AND(ISNUMBER($F18),$F18&gt;=R$6,$F18&lt;=DATE(YEAR(R$6),MONTH(R$6)+1,0)),"◆",""),IF($B18="Project",IF(AND(ISNUMBER($E18),ISNUMBER($F18),$E18&lt;=DATE(YEAR(R$6),MONTH(R$6)+1,0),$F18&gt;=R$6),"█",IF(AND(ISNUMBER($F18),ISNUMBER($G18),$G18&gt;$F18,R$6&lt;=$G18,DATE(YEAR(R$6),MONTH(R$6)+1,0)&gt;$F18),"░","")),"")))</f>
        <v/>
      </c>
      <c r="S18" s="34">
        <f>IF($A18="","",IF($B18="Decision point",IF(AND(ISNUMBER($F18),$F18&gt;=S$6,$F18&lt;=DATE(YEAR(S$6),MONTH(S$6)+1,0)),"◆",""),IF($B18="Project",IF(AND(ISNUMBER($E18),ISNUMBER($F18),$E18&lt;=DATE(YEAR(S$6),MONTH(S$6)+1,0),$F18&gt;=S$6),"█",IF(AND(ISNUMBER($F18),ISNUMBER($G18),$G18&gt;$F18,S$6&lt;=$G18,DATE(YEAR(S$6),MONTH(S$6)+1,0)&gt;$F18),"░","")),"")))</f>
        <v/>
      </c>
      <c r="T18" s="34">
        <f>IF($A18="","",IF($B18="Decision point",IF(AND(ISNUMBER($F18),$F18&gt;=T$6,$F18&lt;=DATE(YEAR(T$6),MONTH(T$6)+1,0)),"◆",""),IF($B18="Project",IF(AND(ISNUMBER($E18),ISNUMBER($F18),$E18&lt;=DATE(YEAR(T$6),MONTH(T$6)+1,0),$F18&gt;=T$6),"█",IF(AND(ISNUMBER($F18),ISNUMBER($G18),$G18&gt;$F18,T$6&lt;=$G18,DATE(YEAR(T$6),MONTH(T$6)+1,0)&gt;$F18),"░","")),"")))</f>
        <v/>
      </c>
      <c r="U18" s="34">
        <f>IF($A18="","",IF($B18="Decision point",IF(AND(ISNUMBER($F18),$F18&gt;=U$6,$F18&lt;=DATE(YEAR(U$6),MONTH(U$6)+1,0)),"◆",""),IF($B18="Project",IF(AND(ISNUMBER($E18),ISNUMBER($F18),$E18&lt;=DATE(YEAR(U$6),MONTH(U$6)+1,0),$F18&gt;=U$6),"█",IF(AND(ISNUMBER($F18),ISNUMBER($G18),$G18&gt;$F18,U$6&lt;=$G18,DATE(YEAR(U$6),MONTH(U$6)+1,0)&gt;$F18),"░","")),"")))</f>
        <v/>
      </c>
      <c r="V18" s="34">
        <f>IF($A18="","",IF($B18="Decision point",IF(AND(ISNUMBER($F18),$F18&gt;=V$6,$F18&lt;=DATE(YEAR(V$6),MONTH(V$6)+1,0)),"◆",""),IF($B18="Project",IF(AND(ISNUMBER($E18),ISNUMBER($F18),$E18&lt;=DATE(YEAR(V$6),MONTH(V$6)+1,0),$F18&gt;=V$6),"█",IF(AND(ISNUMBER($F18),ISNUMBER($G18),$G18&gt;$F18,V$6&lt;=$G18,DATE(YEAR(V$6),MONTH(V$6)+1,0)&gt;$F18),"░","")),"")))</f>
        <v/>
      </c>
      <c r="W18" s="34">
        <f>IF($A18="","",IF($B18="Decision point",IF(AND(ISNUMBER($F18),$F18&gt;=W$6,$F18&lt;=DATE(YEAR(W$6),MONTH(W$6)+1,0)),"◆",""),IF($B18="Project",IF(AND(ISNUMBER($E18),ISNUMBER($F18),$E18&lt;=DATE(YEAR(W$6),MONTH(W$6)+1,0),$F18&gt;=W$6),"█",IF(AND(ISNUMBER($F18),ISNUMBER($G18),$G18&gt;$F18,W$6&lt;=$G18,DATE(YEAR(W$6),MONTH(W$6)+1,0)&gt;$F18),"░","")),"")))</f>
        <v/>
      </c>
      <c r="X18" s="34">
        <f>IF($A18="","",IF($B18="Decision point",IF(AND(ISNUMBER($F18),$F18&gt;=X$6,$F18&lt;=DATE(YEAR(X$6),MONTH(X$6)+1,0)),"◆",""),IF($B18="Project",IF(AND(ISNUMBER($E18),ISNUMBER($F18),$E18&lt;=DATE(YEAR(X$6),MONTH(X$6)+1,0),$F18&gt;=X$6),"█",IF(AND(ISNUMBER($F18),ISNUMBER($G18),$G18&gt;$F18,X$6&lt;=$G18,DATE(YEAR(X$6),MONTH(X$6)+1,0)&gt;$F18),"░","")),"")))</f>
        <v/>
      </c>
      <c r="Y18" s="34">
        <f>IF($AE18=1,"▶",IF($A18="","",IF($B18="Decision point",IF(AND(ISNUMBER($F18),$F18&gt;=Y$6,$F18&lt;=DATE(YEAR(Y$6),MONTH(Y$6)+1,0)),"◆",""),IF($B18="Project",IF(AND(ISNUMBER($E18),ISNUMBER($F18),$E18&lt;=DATE(YEAR(Y$6),MONTH(Y$6)+1,0),$F18&gt;=Y$6),"█",IF(AND(ISNUMBER($F18),ISNUMBER($G18),$G18&gt;$F18,Y$6&lt;=$G18,DATE(YEAR(Y$6),MONTH(Y$6)+1,0)&gt;$F18),"░","")),""))))</f>
        <v/>
      </c>
      <c r="AA18" s="9">
        <f>IF(AND($B18="Project",OR($D18="Active",$D18="Paused"),ISNUMBER($G18)),$G18,"")</f>
        <v/>
      </c>
      <c r="AB18" s="9">
        <f>IF(AND($B18="Decision point",ISNUMBER($F18)),IF($F18&gt;=Dashboard!$B$16,$F18,""),"")</f>
        <v/>
      </c>
      <c r="AC18" s="9">
        <f>IF(LEFT($I18,1)="△",1,0)</f>
        <v/>
      </c>
      <c r="AD18" s="9">
        <f>IF(ISNUMBER($AB18),100000-$AB18,0)</f>
        <v/>
      </c>
      <c r="AE18" s="9">
        <f>IF($A18="",0,IF(OR(AND(ISNUMBER($F18),$F18&gt;DATE(YEAR($Y$6),MONTH($Y$6)+1,0)),AND($B18="Project",ISNUMBER($G18),$G18&gt;DATE(YEAR($Y$6),MONTH($Y$6)+1,0))),1,0))</f>
        <v/>
      </c>
    </row>
    <row r="19" ht="18" customHeight="1">
      <c r="A19" s="28" t="n"/>
      <c r="B19" s="28" t="n"/>
      <c r="C19" s="9">
        <f>IF($A19="","",IF(AND($B19="Project",$D19="Proposed"),"Proposed, so not counted until it's Active",IF($AE19=1,"Runs past the last month shown","")))</f>
        <v/>
      </c>
      <c r="D19" s="28" t="n"/>
      <c r="E19" s="14" t="n"/>
      <c r="F19" s="14" t="n"/>
      <c r="G19" s="14" t="n"/>
      <c r="H19" s="33">
        <f>IF($A19="","",IF(OR($B19&lt;&gt;"Project",$D19="Proposed",NOT(ISNUMBER($F19)),NOT(ISNUMBER($G19))),"",IF($G19&lt;=$F19,0,NETWORKDAYS($F19+1,$G19))))</f>
        <v/>
      </c>
      <c r="I19" s="9">
        <f>IF($A19="","",IF(SUMPRODUCT(--($A$7:$A$36=$A19))&gt;1,"△ Name used twice",IF(OR($B19="",NOT(ISNUMBER($F19))),"△ Kind or Planned finish missing",IF(AND($B19="Project",OR($D19="",AND($D19&lt;&gt;"Proposed",OR(NOT(ISNUMBER($E19)),NOT(ISNUMBER($G19)))))),"△ Status, Start or Latest forecast missing",IF(AND(ISNUMBER($E19),ISNUMBER($F19)),IF($E19&gt;$F19,"△ Start is after Planned finish","○ Clear"),"○ Clear")))))</f>
        <v/>
      </c>
      <c r="K19" s="34">
        <f>IF($A19="","",IF($B19="Decision point",IF(AND(ISNUMBER($F19),$F19&gt;=K$6,$F19&lt;=DATE(YEAR(K$6),MONTH(K$6)+1,0)),"◆",""),IF($B19="Project",IF(AND(ISNUMBER($E19),ISNUMBER($F19),$E19&lt;=DATE(YEAR(K$6),MONTH(K$6)+1,0),$F19&gt;=K$6),"█",IF(AND(ISNUMBER($F19),ISNUMBER($G19),$G19&gt;$F19,K$6&lt;=$G19,DATE(YEAR(K$6),MONTH(K$6)+1,0)&gt;$F19),"░","")),"")))</f>
        <v/>
      </c>
      <c r="L19" s="34">
        <f>IF($A19="","",IF($B19="Decision point",IF(AND(ISNUMBER($F19),$F19&gt;=L$6,$F19&lt;=DATE(YEAR(L$6),MONTH(L$6)+1,0)),"◆",""),IF($B19="Project",IF(AND(ISNUMBER($E19),ISNUMBER($F19),$E19&lt;=DATE(YEAR(L$6),MONTH(L$6)+1,0),$F19&gt;=L$6),"█",IF(AND(ISNUMBER($F19),ISNUMBER($G19),$G19&gt;$F19,L$6&lt;=$G19,DATE(YEAR(L$6),MONTH(L$6)+1,0)&gt;$F19),"░","")),"")))</f>
        <v/>
      </c>
      <c r="M19" s="34">
        <f>IF($A19="","",IF($B19="Decision point",IF(AND(ISNUMBER($F19),$F19&gt;=M$6,$F19&lt;=DATE(YEAR(M$6),MONTH(M$6)+1,0)),"◆",""),IF($B19="Project",IF(AND(ISNUMBER($E19),ISNUMBER($F19),$E19&lt;=DATE(YEAR(M$6),MONTH(M$6)+1,0),$F19&gt;=M$6),"█",IF(AND(ISNUMBER($F19),ISNUMBER($G19),$G19&gt;$F19,M$6&lt;=$G19,DATE(YEAR(M$6),MONTH(M$6)+1,0)&gt;$F19),"░","")),"")))</f>
        <v/>
      </c>
      <c r="N19" s="34">
        <f>IF($A19="","",IF($B19="Decision point",IF(AND(ISNUMBER($F19),$F19&gt;=N$6,$F19&lt;=DATE(YEAR(N$6),MONTH(N$6)+1,0)),"◆",""),IF($B19="Project",IF(AND(ISNUMBER($E19),ISNUMBER($F19),$E19&lt;=DATE(YEAR(N$6),MONTH(N$6)+1,0),$F19&gt;=N$6),"█",IF(AND(ISNUMBER($F19),ISNUMBER($G19),$G19&gt;$F19,N$6&lt;=$G19,DATE(YEAR(N$6),MONTH(N$6)+1,0)&gt;$F19),"░","")),"")))</f>
        <v/>
      </c>
      <c r="O19" s="34">
        <f>IF($A19="","",IF($B19="Decision point",IF(AND(ISNUMBER($F19),$F19&gt;=O$6,$F19&lt;=DATE(YEAR(O$6),MONTH(O$6)+1,0)),"◆",""),IF($B19="Project",IF(AND(ISNUMBER($E19),ISNUMBER($F19),$E19&lt;=DATE(YEAR(O$6),MONTH(O$6)+1,0),$F19&gt;=O$6),"█",IF(AND(ISNUMBER($F19),ISNUMBER($G19),$G19&gt;$F19,O$6&lt;=$G19,DATE(YEAR(O$6),MONTH(O$6)+1,0)&gt;$F19),"░","")),"")))</f>
        <v/>
      </c>
      <c r="P19" s="34">
        <f>IF($A19="","",IF($B19="Decision point",IF(AND(ISNUMBER($F19),$F19&gt;=P$6,$F19&lt;=DATE(YEAR(P$6),MONTH(P$6)+1,0)),"◆",""),IF($B19="Project",IF(AND(ISNUMBER($E19),ISNUMBER($F19),$E19&lt;=DATE(YEAR(P$6),MONTH(P$6)+1,0),$F19&gt;=P$6),"█",IF(AND(ISNUMBER($F19),ISNUMBER($G19),$G19&gt;$F19,P$6&lt;=$G19,DATE(YEAR(P$6),MONTH(P$6)+1,0)&gt;$F19),"░","")),"")))</f>
        <v/>
      </c>
      <c r="Q19" s="34">
        <f>IF($A19="","",IF($B19="Decision point",IF(AND(ISNUMBER($F19),$F19&gt;=Q$6,$F19&lt;=DATE(YEAR(Q$6),MONTH(Q$6)+1,0)),"◆",""),IF($B19="Project",IF(AND(ISNUMBER($E19),ISNUMBER($F19),$E19&lt;=DATE(YEAR(Q$6),MONTH(Q$6)+1,0),$F19&gt;=Q$6),"█",IF(AND(ISNUMBER($F19),ISNUMBER($G19),$G19&gt;$F19,Q$6&lt;=$G19,DATE(YEAR(Q$6),MONTH(Q$6)+1,0)&gt;$F19),"░","")),"")))</f>
        <v/>
      </c>
      <c r="R19" s="34">
        <f>IF($A19="","",IF($B19="Decision point",IF(AND(ISNUMBER($F19),$F19&gt;=R$6,$F19&lt;=DATE(YEAR(R$6),MONTH(R$6)+1,0)),"◆",""),IF($B19="Project",IF(AND(ISNUMBER($E19),ISNUMBER($F19),$E19&lt;=DATE(YEAR(R$6),MONTH(R$6)+1,0),$F19&gt;=R$6),"█",IF(AND(ISNUMBER($F19),ISNUMBER($G19),$G19&gt;$F19,R$6&lt;=$G19,DATE(YEAR(R$6),MONTH(R$6)+1,0)&gt;$F19),"░","")),"")))</f>
        <v/>
      </c>
      <c r="S19" s="34">
        <f>IF($A19="","",IF($B19="Decision point",IF(AND(ISNUMBER($F19),$F19&gt;=S$6,$F19&lt;=DATE(YEAR(S$6),MONTH(S$6)+1,0)),"◆",""),IF($B19="Project",IF(AND(ISNUMBER($E19),ISNUMBER($F19),$E19&lt;=DATE(YEAR(S$6),MONTH(S$6)+1,0),$F19&gt;=S$6),"█",IF(AND(ISNUMBER($F19),ISNUMBER($G19),$G19&gt;$F19,S$6&lt;=$G19,DATE(YEAR(S$6),MONTH(S$6)+1,0)&gt;$F19),"░","")),"")))</f>
        <v/>
      </c>
      <c r="T19" s="34">
        <f>IF($A19="","",IF($B19="Decision point",IF(AND(ISNUMBER($F19),$F19&gt;=T$6,$F19&lt;=DATE(YEAR(T$6),MONTH(T$6)+1,0)),"◆",""),IF($B19="Project",IF(AND(ISNUMBER($E19),ISNUMBER($F19),$E19&lt;=DATE(YEAR(T$6),MONTH(T$6)+1,0),$F19&gt;=T$6),"█",IF(AND(ISNUMBER($F19),ISNUMBER($G19),$G19&gt;$F19,T$6&lt;=$G19,DATE(YEAR(T$6),MONTH(T$6)+1,0)&gt;$F19),"░","")),"")))</f>
        <v/>
      </c>
      <c r="U19" s="34">
        <f>IF($A19="","",IF($B19="Decision point",IF(AND(ISNUMBER($F19),$F19&gt;=U$6,$F19&lt;=DATE(YEAR(U$6),MONTH(U$6)+1,0)),"◆",""),IF($B19="Project",IF(AND(ISNUMBER($E19),ISNUMBER($F19),$E19&lt;=DATE(YEAR(U$6),MONTH(U$6)+1,0),$F19&gt;=U$6),"█",IF(AND(ISNUMBER($F19),ISNUMBER($G19),$G19&gt;$F19,U$6&lt;=$G19,DATE(YEAR(U$6),MONTH(U$6)+1,0)&gt;$F19),"░","")),"")))</f>
        <v/>
      </c>
      <c r="V19" s="34">
        <f>IF($A19="","",IF($B19="Decision point",IF(AND(ISNUMBER($F19),$F19&gt;=V$6,$F19&lt;=DATE(YEAR(V$6),MONTH(V$6)+1,0)),"◆",""),IF($B19="Project",IF(AND(ISNUMBER($E19),ISNUMBER($F19),$E19&lt;=DATE(YEAR(V$6),MONTH(V$6)+1,0),$F19&gt;=V$6),"█",IF(AND(ISNUMBER($F19),ISNUMBER($G19),$G19&gt;$F19,V$6&lt;=$G19,DATE(YEAR(V$6),MONTH(V$6)+1,0)&gt;$F19),"░","")),"")))</f>
        <v/>
      </c>
      <c r="W19" s="34">
        <f>IF($A19="","",IF($B19="Decision point",IF(AND(ISNUMBER($F19),$F19&gt;=W$6,$F19&lt;=DATE(YEAR(W$6),MONTH(W$6)+1,0)),"◆",""),IF($B19="Project",IF(AND(ISNUMBER($E19),ISNUMBER($F19),$E19&lt;=DATE(YEAR(W$6),MONTH(W$6)+1,0),$F19&gt;=W$6),"█",IF(AND(ISNUMBER($F19),ISNUMBER($G19),$G19&gt;$F19,W$6&lt;=$G19,DATE(YEAR(W$6),MONTH(W$6)+1,0)&gt;$F19),"░","")),"")))</f>
        <v/>
      </c>
      <c r="X19" s="34">
        <f>IF($A19="","",IF($B19="Decision point",IF(AND(ISNUMBER($F19),$F19&gt;=X$6,$F19&lt;=DATE(YEAR(X$6),MONTH(X$6)+1,0)),"◆",""),IF($B19="Project",IF(AND(ISNUMBER($E19),ISNUMBER($F19),$E19&lt;=DATE(YEAR(X$6),MONTH(X$6)+1,0),$F19&gt;=X$6),"█",IF(AND(ISNUMBER($F19),ISNUMBER($G19),$G19&gt;$F19,X$6&lt;=$G19,DATE(YEAR(X$6),MONTH(X$6)+1,0)&gt;$F19),"░","")),"")))</f>
        <v/>
      </c>
      <c r="Y19" s="34">
        <f>IF($AE19=1,"▶",IF($A19="","",IF($B19="Decision point",IF(AND(ISNUMBER($F19),$F19&gt;=Y$6,$F19&lt;=DATE(YEAR(Y$6),MONTH(Y$6)+1,0)),"◆",""),IF($B19="Project",IF(AND(ISNUMBER($E19),ISNUMBER($F19),$E19&lt;=DATE(YEAR(Y$6),MONTH(Y$6)+1,0),$F19&gt;=Y$6),"█",IF(AND(ISNUMBER($F19),ISNUMBER($G19),$G19&gt;$F19,Y$6&lt;=$G19,DATE(YEAR(Y$6),MONTH(Y$6)+1,0)&gt;$F19),"░","")),""))))</f>
        <v/>
      </c>
      <c r="AA19" s="9">
        <f>IF(AND($B19="Project",OR($D19="Active",$D19="Paused"),ISNUMBER($G19)),$G19,"")</f>
        <v/>
      </c>
      <c r="AB19" s="9">
        <f>IF(AND($B19="Decision point",ISNUMBER($F19)),IF($F19&gt;=Dashboard!$B$16,$F19,""),"")</f>
        <v/>
      </c>
      <c r="AC19" s="9">
        <f>IF(LEFT($I19,1)="△",1,0)</f>
        <v/>
      </c>
      <c r="AD19" s="9">
        <f>IF(ISNUMBER($AB19),100000-$AB19,0)</f>
        <v/>
      </c>
      <c r="AE19" s="9">
        <f>IF($A19="",0,IF(OR(AND(ISNUMBER($F19),$F19&gt;DATE(YEAR($Y$6),MONTH($Y$6)+1,0)),AND($B19="Project",ISNUMBER($G19),$G19&gt;DATE(YEAR($Y$6),MONTH($Y$6)+1,0))),1,0))</f>
        <v/>
      </c>
    </row>
    <row r="20" ht="18" customHeight="1">
      <c r="A20" s="28" t="n"/>
      <c r="B20" s="28" t="n"/>
      <c r="C20" s="9">
        <f>IF($A20="","",IF(AND($B20="Project",$D20="Proposed"),"Proposed, so not counted until it's Active",IF($AE20=1,"Runs past the last month shown","")))</f>
        <v/>
      </c>
      <c r="D20" s="28" t="n"/>
      <c r="E20" s="14" t="n"/>
      <c r="F20" s="14" t="n"/>
      <c r="G20" s="14" t="n"/>
      <c r="H20" s="33">
        <f>IF($A20="","",IF(OR($B20&lt;&gt;"Project",$D20="Proposed",NOT(ISNUMBER($F20)),NOT(ISNUMBER($G20))),"",IF($G20&lt;=$F20,0,NETWORKDAYS($F20+1,$G20))))</f>
        <v/>
      </c>
      <c r="I20" s="9">
        <f>IF($A20="","",IF(SUMPRODUCT(--($A$7:$A$36=$A20))&gt;1,"△ Name used twice",IF(OR($B20="",NOT(ISNUMBER($F20))),"△ Kind or Planned finish missing",IF(AND($B20="Project",OR($D20="",AND($D20&lt;&gt;"Proposed",OR(NOT(ISNUMBER($E20)),NOT(ISNUMBER($G20)))))),"△ Status, Start or Latest forecast missing",IF(AND(ISNUMBER($E20),ISNUMBER($F20)),IF($E20&gt;$F20,"△ Start is after Planned finish","○ Clear"),"○ Clear")))))</f>
        <v/>
      </c>
      <c r="K20" s="34">
        <f>IF($A20="","",IF($B20="Decision point",IF(AND(ISNUMBER($F20),$F20&gt;=K$6,$F20&lt;=DATE(YEAR(K$6),MONTH(K$6)+1,0)),"◆",""),IF($B20="Project",IF(AND(ISNUMBER($E20),ISNUMBER($F20),$E20&lt;=DATE(YEAR(K$6),MONTH(K$6)+1,0),$F20&gt;=K$6),"█",IF(AND(ISNUMBER($F20),ISNUMBER($G20),$G20&gt;$F20,K$6&lt;=$G20,DATE(YEAR(K$6),MONTH(K$6)+1,0)&gt;$F20),"░","")),"")))</f>
        <v/>
      </c>
      <c r="L20" s="34">
        <f>IF($A20="","",IF($B20="Decision point",IF(AND(ISNUMBER($F20),$F20&gt;=L$6,$F20&lt;=DATE(YEAR(L$6),MONTH(L$6)+1,0)),"◆",""),IF($B20="Project",IF(AND(ISNUMBER($E20),ISNUMBER($F20),$E20&lt;=DATE(YEAR(L$6),MONTH(L$6)+1,0),$F20&gt;=L$6),"█",IF(AND(ISNUMBER($F20),ISNUMBER($G20),$G20&gt;$F20,L$6&lt;=$G20,DATE(YEAR(L$6),MONTH(L$6)+1,0)&gt;$F20),"░","")),"")))</f>
        <v/>
      </c>
      <c r="M20" s="34">
        <f>IF($A20="","",IF($B20="Decision point",IF(AND(ISNUMBER($F20),$F20&gt;=M$6,$F20&lt;=DATE(YEAR(M$6),MONTH(M$6)+1,0)),"◆",""),IF($B20="Project",IF(AND(ISNUMBER($E20),ISNUMBER($F20),$E20&lt;=DATE(YEAR(M$6),MONTH(M$6)+1,0),$F20&gt;=M$6),"█",IF(AND(ISNUMBER($F20),ISNUMBER($G20),$G20&gt;$F20,M$6&lt;=$G20,DATE(YEAR(M$6),MONTH(M$6)+1,0)&gt;$F20),"░","")),"")))</f>
        <v/>
      </c>
      <c r="N20" s="34">
        <f>IF($A20="","",IF($B20="Decision point",IF(AND(ISNUMBER($F20),$F20&gt;=N$6,$F20&lt;=DATE(YEAR(N$6),MONTH(N$6)+1,0)),"◆",""),IF($B20="Project",IF(AND(ISNUMBER($E20),ISNUMBER($F20),$E20&lt;=DATE(YEAR(N$6),MONTH(N$6)+1,0),$F20&gt;=N$6),"█",IF(AND(ISNUMBER($F20),ISNUMBER($G20),$G20&gt;$F20,N$6&lt;=$G20,DATE(YEAR(N$6),MONTH(N$6)+1,0)&gt;$F20),"░","")),"")))</f>
        <v/>
      </c>
      <c r="O20" s="34">
        <f>IF($A20="","",IF($B20="Decision point",IF(AND(ISNUMBER($F20),$F20&gt;=O$6,$F20&lt;=DATE(YEAR(O$6),MONTH(O$6)+1,0)),"◆",""),IF($B20="Project",IF(AND(ISNUMBER($E20),ISNUMBER($F20),$E20&lt;=DATE(YEAR(O$6),MONTH(O$6)+1,0),$F20&gt;=O$6),"█",IF(AND(ISNUMBER($F20),ISNUMBER($G20),$G20&gt;$F20,O$6&lt;=$G20,DATE(YEAR(O$6),MONTH(O$6)+1,0)&gt;$F20),"░","")),"")))</f>
        <v/>
      </c>
      <c r="P20" s="34">
        <f>IF($A20="","",IF($B20="Decision point",IF(AND(ISNUMBER($F20),$F20&gt;=P$6,$F20&lt;=DATE(YEAR(P$6),MONTH(P$6)+1,0)),"◆",""),IF($B20="Project",IF(AND(ISNUMBER($E20),ISNUMBER($F20),$E20&lt;=DATE(YEAR(P$6),MONTH(P$6)+1,0),$F20&gt;=P$6),"█",IF(AND(ISNUMBER($F20),ISNUMBER($G20),$G20&gt;$F20,P$6&lt;=$G20,DATE(YEAR(P$6),MONTH(P$6)+1,0)&gt;$F20),"░","")),"")))</f>
        <v/>
      </c>
      <c r="Q20" s="34">
        <f>IF($A20="","",IF($B20="Decision point",IF(AND(ISNUMBER($F20),$F20&gt;=Q$6,$F20&lt;=DATE(YEAR(Q$6),MONTH(Q$6)+1,0)),"◆",""),IF($B20="Project",IF(AND(ISNUMBER($E20),ISNUMBER($F20),$E20&lt;=DATE(YEAR(Q$6),MONTH(Q$6)+1,0),$F20&gt;=Q$6),"█",IF(AND(ISNUMBER($F20),ISNUMBER($G20),$G20&gt;$F20,Q$6&lt;=$G20,DATE(YEAR(Q$6),MONTH(Q$6)+1,0)&gt;$F20),"░","")),"")))</f>
        <v/>
      </c>
      <c r="R20" s="34">
        <f>IF($A20="","",IF($B20="Decision point",IF(AND(ISNUMBER($F20),$F20&gt;=R$6,$F20&lt;=DATE(YEAR(R$6),MONTH(R$6)+1,0)),"◆",""),IF($B20="Project",IF(AND(ISNUMBER($E20),ISNUMBER($F20),$E20&lt;=DATE(YEAR(R$6),MONTH(R$6)+1,0),$F20&gt;=R$6),"█",IF(AND(ISNUMBER($F20),ISNUMBER($G20),$G20&gt;$F20,R$6&lt;=$G20,DATE(YEAR(R$6),MONTH(R$6)+1,0)&gt;$F20),"░","")),"")))</f>
        <v/>
      </c>
      <c r="S20" s="34">
        <f>IF($A20="","",IF($B20="Decision point",IF(AND(ISNUMBER($F20),$F20&gt;=S$6,$F20&lt;=DATE(YEAR(S$6),MONTH(S$6)+1,0)),"◆",""),IF($B20="Project",IF(AND(ISNUMBER($E20),ISNUMBER($F20),$E20&lt;=DATE(YEAR(S$6),MONTH(S$6)+1,0),$F20&gt;=S$6),"█",IF(AND(ISNUMBER($F20),ISNUMBER($G20),$G20&gt;$F20,S$6&lt;=$G20,DATE(YEAR(S$6),MONTH(S$6)+1,0)&gt;$F20),"░","")),"")))</f>
        <v/>
      </c>
      <c r="T20" s="34">
        <f>IF($A20="","",IF($B20="Decision point",IF(AND(ISNUMBER($F20),$F20&gt;=T$6,$F20&lt;=DATE(YEAR(T$6),MONTH(T$6)+1,0)),"◆",""),IF($B20="Project",IF(AND(ISNUMBER($E20),ISNUMBER($F20),$E20&lt;=DATE(YEAR(T$6),MONTH(T$6)+1,0),$F20&gt;=T$6),"█",IF(AND(ISNUMBER($F20),ISNUMBER($G20),$G20&gt;$F20,T$6&lt;=$G20,DATE(YEAR(T$6),MONTH(T$6)+1,0)&gt;$F20),"░","")),"")))</f>
        <v/>
      </c>
      <c r="U20" s="34">
        <f>IF($A20="","",IF($B20="Decision point",IF(AND(ISNUMBER($F20),$F20&gt;=U$6,$F20&lt;=DATE(YEAR(U$6),MONTH(U$6)+1,0)),"◆",""),IF($B20="Project",IF(AND(ISNUMBER($E20),ISNUMBER($F20),$E20&lt;=DATE(YEAR(U$6),MONTH(U$6)+1,0),$F20&gt;=U$6),"█",IF(AND(ISNUMBER($F20),ISNUMBER($G20),$G20&gt;$F20,U$6&lt;=$G20,DATE(YEAR(U$6),MONTH(U$6)+1,0)&gt;$F20),"░","")),"")))</f>
        <v/>
      </c>
      <c r="V20" s="34">
        <f>IF($A20="","",IF($B20="Decision point",IF(AND(ISNUMBER($F20),$F20&gt;=V$6,$F20&lt;=DATE(YEAR(V$6),MONTH(V$6)+1,0)),"◆",""),IF($B20="Project",IF(AND(ISNUMBER($E20),ISNUMBER($F20),$E20&lt;=DATE(YEAR(V$6),MONTH(V$6)+1,0),$F20&gt;=V$6),"█",IF(AND(ISNUMBER($F20),ISNUMBER($G20),$G20&gt;$F20,V$6&lt;=$G20,DATE(YEAR(V$6),MONTH(V$6)+1,0)&gt;$F20),"░","")),"")))</f>
        <v/>
      </c>
      <c r="W20" s="34">
        <f>IF($A20="","",IF($B20="Decision point",IF(AND(ISNUMBER($F20),$F20&gt;=W$6,$F20&lt;=DATE(YEAR(W$6),MONTH(W$6)+1,0)),"◆",""),IF($B20="Project",IF(AND(ISNUMBER($E20),ISNUMBER($F20),$E20&lt;=DATE(YEAR(W$6),MONTH(W$6)+1,0),$F20&gt;=W$6),"█",IF(AND(ISNUMBER($F20),ISNUMBER($G20),$G20&gt;$F20,W$6&lt;=$G20,DATE(YEAR(W$6),MONTH(W$6)+1,0)&gt;$F20),"░","")),"")))</f>
        <v/>
      </c>
      <c r="X20" s="34">
        <f>IF($A20="","",IF($B20="Decision point",IF(AND(ISNUMBER($F20),$F20&gt;=X$6,$F20&lt;=DATE(YEAR(X$6),MONTH(X$6)+1,0)),"◆",""),IF($B20="Project",IF(AND(ISNUMBER($E20),ISNUMBER($F20),$E20&lt;=DATE(YEAR(X$6),MONTH(X$6)+1,0),$F20&gt;=X$6),"█",IF(AND(ISNUMBER($F20),ISNUMBER($G20),$G20&gt;$F20,X$6&lt;=$G20,DATE(YEAR(X$6),MONTH(X$6)+1,0)&gt;$F20),"░","")),"")))</f>
        <v/>
      </c>
      <c r="Y20" s="34">
        <f>IF($AE20=1,"▶",IF($A20="","",IF($B20="Decision point",IF(AND(ISNUMBER($F20),$F20&gt;=Y$6,$F20&lt;=DATE(YEAR(Y$6),MONTH(Y$6)+1,0)),"◆",""),IF($B20="Project",IF(AND(ISNUMBER($E20),ISNUMBER($F20),$E20&lt;=DATE(YEAR(Y$6),MONTH(Y$6)+1,0),$F20&gt;=Y$6),"█",IF(AND(ISNUMBER($F20),ISNUMBER($G20),$G20&gt;$F20,Y$6&lt;=$G20,DATE(YEAR(Y$6),MONTH(Y$6)+1,0)&gt;$F20),"░","")),""))))</f>
        <v/>
      </c>
      <c r="AA20" s="9">
        <f>IF(AND($B20="Project",OR($D20="Active",$D20="Paused"),ISNUMBER($G20)),$G20,"")</f>
        <v/>
      </c>
      <c r="AB20" s="9">
        <f>IF(AND($B20="Decision point",ISNUMBER($F20)),IF($F20&gt;=Dashboard!$B$16,$F20,""),"")</f>
        <v/>
      </c>
      <c r="AC20" s="9">
        <f>IF(LEFT($I20,1)="△",1,0)</f>
        <v/>
      </c>
      <c r="AD20" s="9">
        <f>IF(ISNUMBER($AB20),100000-$AB20,0)</f>
        <v/>
      </c>
      <c r="AE20" s="9">
        <f>IF($A20="",0,IF(OR(AND(ISNUMBER($F20),$F20&gt;DATE(YEAR($Y$6),MONTH($Y$6)+1,0)),AND($B20="Project",ISNUMBER($G20),$G20&gt;DATE(YEAR($Y$6),MONTH($Y$6)+1,0))),1,0))</f>
        <v/>
      </c>
    </row>
    <row r="21" ht="18" customHeight="1">
      <c r="A21" s="28" t="n"/>
      <c r="B21" s="28" t="n"/>
      <c r="C21" s="9">
        <f>IF($A21="","",IF(AND($B21="Project",$D21="Proposed"),"Proposed, so not counted until it's Active",IF($AE21=1,"Runs past the last month shown","")))</f>
        <v/>
      </c>
      <c r="D21" s="28" t="n"/>
      <c r="E21" s="14" t="n"/>
      <c r="F21" s="14" t="n"/>
      <c r="G21" s="14" t="n"/>
      <c r="H21" s="33">
        <f>IF($A21="","",IF(OR($B21&lt;&gt;"Project",$D21="Proposed",NOT(ISNUMBER($F21)),NOT(ISNUMBER($G21))),"",IF($G21&lt;=$F21,0,NETWORKDAYS($F21+1,$G21))))</f>
        <v/>
      </c>
      <c r="I21" s="9">
        <f>IF($A21="","",IF(SUMPRODUCT(--($A$7:$A$36=$A21))&gt;1,"△ Name used twice",IF(OR($B21="",NOT(ISNUMBER($F21))),"△ Kind or Planned finish missing",IF(AND($B21="Project",OR($D21="",AND($D21&lt;&gt;"Proposed",OR(NOT(ISNUMBER($E21)),NOT(ISNUMBER($G21)))))),"△ Status, Start or Latest forecast missing",IF(AND(ISNUMBER($E21),ISNUMBER($F21)),IF($E21&gt;$F21,"△ Start is after Planned finish","○ Clear"),"○ Clear")))))</f>
        <v/>
      </c>
      <c r="K21" s="34">
        <f>IF($A21="","",IF($B21="Decision point",IF(AND(ISNUMBER($F21),$F21&gt;=K$6,$F21&lt;=DATE(YEAR(K$6),MONTH(K$6)+1,0)),"◆",""),IF($B21="Project",IF(AND(ISNUMBER($E21),ISNUMBER($F21),$E21&lt;=DATE(YEAR(K$6),MONTH(K$6)+1,0),$F21&gt;=K$6),"█",IF(AND(ISNUMBER($F21),ISNUMBER($G21),$G21&gt;$F21,K$6&lt;=$G21,DATE(YEAR(K$6),MONTH(K$6)+1,0)&gt;$F21),"░","")),"")))</f>
        <v/>
      </c>
      <c r="L21" s="34">
        <f>IF($A21="","",IF($B21="Decision point",IF(AND(ISNUMBER($F21),$F21&gt;=L$6,$F21&lt;=DATE(YEAR(L$6),MONTH(L$6)+1,0)),"◆",""),IF($B21="Project",IF(AND(ISNUMBER($E21),ISNUMBER($F21),$E21&lt;=DATE(YEAR(L$6),MONTH(L$6)+1,0),$F21&gt;=L$6),"█",IF(AND(ISNUMBER($F21),ISNUMBER($G21),$G21&gt;$F21,L$6&lt;=$G21,DATE(YEAR(L$6),MONTH(L$6)+1,0)&gt;$F21),"░","")),"")))</f>
        <v/>
      </c>
      <c r="M21" s="34">
        <f>IF($A21="","",IF($B21="Decision point",IF(AND(ISNUMBER($F21),$F21&gt;=M$6,$F21&lt;=DATE(YEAR(M$6),MONTH(M$6)+1,0)),"◆",""),IF($B21="Project",IF(AND(ISNUMBER($E21),ISNUMBER($F21),$E21&lt;=DATE(YEAR(M$6),MONTH(M$6)+1,0),$F21&gt;=M$6),"█",IF(AND(ISNUMBER($F21),ISNUMBER($G21),$G21&gt;$F21,M$6&lt;=$G21,DATE(YEAR(M$6),MONTH(M$6)+1,0)&gt;$F21),"░","")),"")))</f>
        <v/>
      </c>
      <c r="N21" s="34">
        <f>IF($A21="","",IF($B21="Decision point",IF(AND(ISNUMBER($F21),$F21&gt;=N$6,$F21&lt;=DATE(YEAR(N$6),MONTH(N$6)+1,0)),"◆",""),IF($B21="Project",IF(AND(ISNUMBER($E21),ISNUMBER($F21),$E21&lt;=DATE(YEAR(N$6),MONTH(N$6)+1,0),$F21&gt;=N$6),"█",IF(AND(ISNUMBER($F21),ISNUMBER($G21),$G21&gt;$F21,N$6&lt;=$G21,DATE(YEAR(N$6),MONTH(N$6)+1,0)&gt;$F21),"░","")),"")))</f>
        <v/>
      </c>
      <c r="O21" s="34">
        <f>IF($A21="","",IF($B21="Decision point",IF(AND(ISNUMBER($F21),$F21&gt;=O$6,$F21&lt;=DATE(YEAR(O$6),MONTH(O$6)+1,0)),"◆",""),IF($B21="Project",IF(AND(ISNUMBER($E21),ISNUMBER($F21),$E21&lt;=DATE(YEAR(O$6),MONTH(O$6)+1,0),$F21&gt;=O$6),"█",IF(AND(ISNUMBER($F21),ISNUMBER($G21),$G21&gt;$F21,O$6&lt;=$G21,DATE(YEAR(O$6),MONTH(O$6)+1,0)&gt;$F21),"░","")),"")))</f>
        <v/>
      </c>
      <c r="P21" s="34">
        <f>IF($A21="","",IF($B21="Decision point",IF(AND(ISNUMBER($F21),$F21&gt;=P$6,$F21&lt;=DATE(YEAR(P$6),MONTH(P$6)+1,0)),"◆",""),IF($B21="Project",IF(AND(ISNUMBER($E21),ISNUMBER($F21),$E21&lt;=DATE(YEAR(P$6),MONTH(P$6)+1,0),$F21&gt;=P$6),"█",IF(AND(ISNUMBER($F21),ISNUMBER($G21),$G21&gt;$F21,P$6&lt;=$G21,DATE(YEAR(P$6),MONTH(P$6)+1,0)&gt;$F21),"░","")),"")))</f>
        <v/>
      </c>
      <c r="Q21" s="34">
        <f>IF($A21="","",IF($B21="Decision point",IF(AND(ISNUMBER($F21),$F21&gt;=Q$6,$F21&lt;=DATE(YEAR(Q$6),MONTH(Q$6)+1,0)),"◆",""),IF($B21="Project",IF(AND(ISNUMBER($E21),ISNUMBER($F21),$E21&lt;=DATE(YEAR(Q$6),MONTH(Q$6)+1,0),$F21&gt;=Q$6),"█",IF(AND(ISNUMBER($F21),ISNUMBER($G21),$G21&gt;$F21,Q$6&lt;=$G21,DATE(YEAR(Q$6),MONTH(Q$6)+1,0)&gt;$F21),"░","")),"")))</f>
        <v/>
      </c>
      <c r="R21" s="34">
        <f>IF($A21="","",IF($B21="Decision point",IF(AND(ISNUMBER($F21),$F21&gt;=R$6,$F21&lt;=DATE(YEAR(R$6),MONTH(R$6)+1,0)),"◆",""),IF($B21="Project",IF(AND(ISNUMBER($E21),ISNUMBER($F21),$E21&lt;=DATE(YEAR(R$6),MONTH(R$6)+1,0),$F21&gt;=R$6),"█",IF(AND(ISNUMBER($F21),ISNUMBER($G21),$G21&gt;$F21,R$6&lt;=$G21,DATE(YEAR(R$6),MONTH(R$6)+1,0)&gt;$F21),"░","")),"")))</f>
        <v/>
      </c>
      <c r="S21" s="34">
        <f>IF($A21="","",IF($B21="Decision point",IF(AND(ISNUMBER($F21),$F21&gt;=S$6,$F21&lt;=DATE(YEAR(S$6),MONTH(S$6)+1,0)),"◆",""),IF($B21="Project",IF(AND(ISNUMBER($E21),ISNUMBER($F21),$E21&lt;=DATE(YEAR(S$6),MONTH(S$6)+1,0),$F21&gt;=S$6),"█",IF(AND(ISNUMBER($F21),ISNUMBER($G21),$G21&gt;$F21,S$6&lt;=$G21,DATE(YEAR(S$6),MONTH(S$6)+1,0)&gt;$F21),"░","")),"")))</f>
        <v/>
      </c>
      <c r="T21" s="34">
        <f>IF($A21="","",IF($B21="Decision point",IF(AND(ISNUMBER($F21),$F21&gt;=T$6,$F21&lt;=DATE(YEAR(T$6),MONTH(T$6)+1,0)),"◆",""),IF($B21="Project",IF(AND(ISNUMBER($E21),ISNUMBER($F21),$E21&lt;=DATE(YEAR(T$6),MONTH(T$6)+1,0),$F21&gt;=T$6),"█",IF(AND(ISNUMBER($F21),ISNUMBER($G21),$G21&gt;$F21,T$6&lt;=$G21,DATE(YEAR(T$6),MONTH(T$6)+1,0)&gt;$F21),"░","")),"")))</f>
        <v/>
      </c>
      <c r="U21" s="34">
        <f>IF($A21="","",IF($B21="Decision point",IF(AND(ISNUMBER($F21),$F21&gt;=U$6,$F21&lt;=DATE(YEAR(U$6),MONTH(U$6)+1,0)),"◆",""),IF($B21="Project",IF(AND(ISNUMBER($E21),ISNUMBER($F21),$E21&lt;=DATE(YEAR(U$6),MONTH(U$6)+1,0),$F21&gt;=U$6),"█",IF(AND(ISNUMBER($F21),ISNUMBER($G21),$G21&gt;$F21,U$6&lt;=$G21,DATE(YEAR(U$6),MONTH(U$6)+1,0)&gt;$F21),"░","")),"")))</f>
        <v/>
      </c>
      <c r="V21" s="34">
        <f>IF($A21="","",IF($B21="Decision point",IF(AND(ISNUMBER($F21),$F21&gt;=V$6,$F21&lt;=DATE(YEAR(V$6),MONTH(V$6)+1,0)),"◆",""),IF($B21="Project",IF(AND(ISNUMBER($E21),ISNUMBER($F21),$E21&lt;=DATE(YEAR(V$6),MONTH(V$6)+1,0),$F21&gt;=V$6),"█",IF(AND(ISNUMBER($F21),ISNUMBER($G21),$G21&gt;$F21,V$6&lt;=$G21,DATE(YEAR(V$6),MONTH(V$6)+1,0)&gt;$F21),"░","")),"")))</f>
        <v/>
      </c>
      <c r="W21" s="34">
        <f>IF($A21="","",IF($B21="Decision point",IF(AND(ISNUMBER($F21),$F21&gt;=W$6,$F21&lt;=DATE(YEAR(W$6),MONTH(W$6)+1,0)),"◆",""),IF($B21="Project",IF(AND(ISNUMBER($E21),ISNUMBER($F21),$E21&lt;=DATE(YEAR(W$6),MONTH(W$6)+1,0),$F21&gt;=W$6),"█",IF(AND(ISNUMBER($F21),ISNUMBER($G21),$G21&gt;$F21,W$6&lt;=$G21,DATE(YEAR(W$6),MONTH(W$6)+1,0)&gt;$F21),"░","")),"")))</f>
        <v/>
      </c>
      <c r="X21" s="34">
        <f>IF($A21="","",IF($B21="Decision point",IF(AND(ISNUMBER($F21),$F21&gt;=X$6,$F21&lt;=DATE(YEAR(X$6),MONTH(X$6)+1,0)),"◆",""),IF($B21="Project",IF(AND(ISNUMBER($E21),ISNUMBER($F21),$E21&lt;=DATE(YEAR(X$6),MONTH(X$6)+1,0),$F21&gt;=X$6),"█",IF(AND(ISNUMBER($F21),ISNUMBER($G21),$G21&gt;$F21,X$6&lt;=$G21,DATE(YEAR(X$6),MONTH(X$6)+1,0)&gt;$F21),"░","")),"")))</f>
        <v/>
      </c>
      <c r="Y21" s="34">
        <f>IF($AE21=1,"▶",IF($A21="","",IF($B21="Decision point",IF(AND(ISNUMBER($F21),$F21&gt;=Y$6,$F21&lt;=DATE(YEAR(Y$6),MONTH(Y$6)+1,0)),"◆",""),IF($B21="Project",IF(AND(ISNUMBER($E21),ISNUMBER($F21),$E21&lt;=DATE(YEAR(Y$6),MONTH(Y$6)+1,0),$F21&gt;=Y$6),"█",IF(AND(ISNUMBER($F21),ISNUMBER($G21),$G21&gt;$F21,Y$6&lt;=$G21,DATE(YEAR(Y$6),MONTH(Y$6)+1,0)&gt;$F21),"░","")),""))))</f>
        <v/>
      </c>
      <c r="AA21" s="9">
        <f>IF(AND($B21="Project",OR($D21="Active",$D21="Paused"),ISNUMBER($G21)),$G21,"")</f>
        <v/>
      </c>
      <c r="AB21" s="9">
        <f>IF(AND($B21="Decision point",ISNUMBER($F21)),IF($F21&gt;=Dashboard!$B$16,$F21,""),"")</f>
        <v/>
      </c>
      <c r="AC21" s="9">
        <f>IF(LEFT($I21,1)="△",1,0)</f>
        <v/>
      </c>
      <c r="AD21" s="9">
        <f>IF(ISNUMBER($AB21),100000-$AB21,0)</f>
        <v/>
      </c>
      <c r="AE21" s="9">
        <f>IF($A21="",0,IF(OR(AND(ISNUMBER($F21),$F21&gt;DATE(YEAR($Y$6),MONTH($Y$6)+1,0)),AND($B21="Project",ISNUMBER($G21),$G21&gt;DATE(YEAR($Y$6),MONTH($Y$6)+1,0))),1,0))</f>
        <v/>
      </c>
    </row>
    <row r="22" ht="18" customHeight="1">
      <c r="A22" s="28" t="n"/>
      <c r="B22" s="28" t="n"/>
      <c r="C22" s="9">
        <f>IF($A22="","",IF(AND($B22="Project",$D22="Proposed"),"Proposed, so not counted until it's Active",IF($AE22=1,"Runs past the last month shown","")))</f>
        <v/>
      </c>
      <c r="D22" s="28" t="n"/>
      <c r="E22" s="14" t="n"/>
      <c r="F22" s="14" t="n"/>
      <c r="G22" s="14" t="n"/>
      <c r="H22" s="33">
        <f>IF($A22="","",IF(OR($B22&lt;&gt;"Project",$D22="Proposed",NOT(ISNUMBER($F22)),NOT(ISNUMBER($G22))),"",IF($G22&lt;=$F22,0,NETWORKDAYS($F22+1,$G22))))</f>
        <v/>
      </c>
      <c r="I22" s="9">
        <f>IF($A22="","",IF(SUMPRODUCT(--($A$7:$A$36=$A22))&gt;1,"△ Name used twice",IF(OR($B22="",NOT(ISNUMBER($F22))),"△ Kind or Planned finish missing",IF(AND($B22="Project",OR($D22="",AND($D22&lt;&gt;"Proposed",OR(NOT(ISNUMBER($E22)),NOT(ISNUMBER($G22)))))),"△ Status, Start or Latest forecast missing",IF(AND(ISNUMBER($E22),ISNUMBER($F22)),IF($E22&gt;$F22,"△ Start is after Planned finish","○ Clear"),"○ Clear")))))</f>
        <v/>
      </c>
      <c r="K22" s="34">
        <f>IF($A22="","",IF($B22="Decision point",IF(AND(ISNUMBER($F22),$F22&gt;=K$6,$F22&lt;=DATE(YEAR(K$6),MONTH(K$6)+1,0)),"◆",""),IF($B22="Project",IF(AND(ISNUMBER($E22),ISNUMBER($F22),$E22&lt;=DATE(YEAR(K$6),MONTH(K$6)+1,0),$F22&gt;=K$6),"█",IF(AND(ISNUMBER($F22),ISNUMBER($G22),$G22&gt;$F22,K$6&lt;=$G22,DATE(YEAR(K$6),MONTH(K$6)+1,0)&gt;$F22),"░","")),"")))</f>
        <v/>
      </c>
      <c r="L22" s="34">
        <f>IF($A22="","",IF($B22="Decision point",IF(AND(ISNUMBER($F22),$F22&gt;=L$6,$F22&lt;=DATE(YEAR(L$6),MONTH(L$6)+1,0)),"◆",""),IF($B22="Project",IF(AND(ISNUMBER($E22),ISNUMBER($F22),$E22&lt;=DATE(YEAR(L$6),MONTH(L$6)+1,0),$F22&gt;=L$6),"█",IF(AND(ISNUMBER($F22),ISNUMBER($G22),$G22&gt;$F22,L$6&lt;=$G22,DATE(YEAR(L$6),MONTH(L$6)+1,0)&gt;$F22),"░","")),"")))</f>
        <v/>
      </c>
      <c r="M22" s="34">
        <f>IF($A22="","",IF($B22="Decision point",IF(AND(ISNUMBER($F22),$F22&gt;=M$6,$F22&lt;=DATE(YEAR(M$6),MONTH(M$6)+1,0)),"◆",""),IF($B22="Project",IF(AND(ISNUMBER($E22),ISNUMBER($F22),$E22&lt;=DATE(YEAR(M$6),MONTH(M$6)+1,0),$F22&gt;=M$6),"█",IF(AND(ISNUMBER($F22),ISNUMBER($G22),$G22&gt;$F22,M$6&lt;=$G22,DATE(YEAR(M$6),MONTH(M$6)+1,0)&gt;$F22),"░","")),"")))</f>
        <v/>
      </c>
      <c r="N22" s="34">
        <f>IF($A22="","",IF($B22="Decision point",IF(AND(ISNUMBER($F22),$F22&gt;=N$6,$F22&lt;=DATE(YEAR(N$6),MONTH(N$6)+1,0)),"◆",""),IF($B22="Project",IF(AND(ISNUMBER($E22),ISNUMBER($F22),$E22&lt;=DATE(YEAR(N$6),MONTH(N$6)+1,0),$F22&gt;=N$6),"█",IF(AND(ISNUMBER($F22),ISNUMBER($G22),$G22&gt;$F22,N$6&lt;=$G22,DATE(YEAR(N$6),MONTH(N$6)+1,0)&gt;$F22),"░","")),"")))</f>
        <v/>
      </c>
      <c r="O22" s="34">
        <f>IF($A22="","",IF($B22="Decision point",IF(AND(ISNUMBER($F22),$F22&gt;=O$6,$F22&lt;=DATE(YEAR(O$6),MONTH(O$6)+1,0)),"◆",""),IF($B22="Project",IF(AND(ISNUMBER($E22),ISNUMBER($F22),$E22&lt;=DATE(YEAR(O$6),MONTH(O$6)+1,0),$F22&gt;=O$6),"█",IF(AND(ISNUMBER($F22),ISNUMBER($G22),$G22&gt;$F22,O$6&lt;=$G22,DATE(YEAR(O$6),MONTH(O$6)+1,0)&gt;$F22),"░","")),"")))</f>
        <v/>
      </c>
      <c r="P22" s="34">
        <f>IF($A22="","",IF($B22="Decision point",IF(AND(ISNUMBER($F22),$F22&gt;=P$6,$F22&lt;=DATE(YEAR(P$6),MONTH(P$6)+1,0)),"◆",""),IF($B22="Project",IF(AND(ISNUMBER($E22),ISNUMBER($F22),$E22&lt;=DATE(YEAR(P$6),MONTH(P$6)+1,0),$F22&gt;=P$6),"█",IF(AND(ISNUMBER($F22),ISNUMBER($G22),$G22&gt;$F22,P$6&lt;=$G22,DATE(YEAR(P$6),MONTH(P$6)+1,0)&gt;$F22),"░","")),"")))</f>
        <v/>
      </c>
      <c r="Q22" s="34">
        <f>IF($A22="","",IF($B22="Decision point",IF(AND(ISNUMBER($F22),$F22&gt;=Q$6,$F22&lt;=DATE(YEAR(Q$6),MONTH(Q$6)+1,0)),"◆",""),IF($B22="Project",IF(AND(ISNUMBER($E22),ISNUMBER($F22),$E22&lt;=DATE(YEAR(Q$6),MONTH(Q$6)+1,0),$F22&gt;=Q$6),"█",IF(AND(ISNUMBER($F22),ISNUMBER($G22),$G22&gt;$F22,Q$6&lt;=$G22,DATE(YEAR(Q$6),MONTH(Q$6)+1,0)&gt;$F22),"░","")),"")))</f>
        <v/>
      </c>
      <c r="R22" s="34">
        <f>IF($A22="","",IF($B22="Decision point",IF(AND(ISNUMBER($F22),$F22&gt;=R$6,$F22&lt;=DATE(YEAR(R$6),MONTH(R$6)+1,0)),"◆",""),IF($B22="Project",IF(AND(ISNUMBER($E22),ISNUMBER($F22),$E22&lt;=DATE(YEAR(R$6),MONTH(R$6)+1,0),$F22&gt;=R$6),"█",IF(AND(ISNUMBER($F22),ISNUMBER($G22),$G22&gt;$F22,R$6&lt;=$G22,DATE(YEAR(R$6),MONTH(R$6)+1,0)&gt;$F22),"░","")),"")))</f>
        <v/>
      </c>
      <c r="S22" s="34">
        <f>IF($A22="","",IF($B22="Decision point",IF(AND(ISNUMBER($F22),$F22&gt;=S$6,$F22&lt;=DATE(YEAR(S$6),MONTH(S$6)+1,0)),"◆",""),IF($B22="Project",IF(AND(ISNUMBER($E22),ISNUMBER($F22),$E22&lt;=DATE(YEAR(S$6),MONTH(S$6)+1,0),$F22&gt;=S$6),"█",IF(AND(ISNUMBER($F22),ISNUMBER($G22),$G22&gt;$F22,S$6&lt;=$G22,DATE(YEAR(S$6),MONTH(S$6)+1,0)&gt;$F22),"░","")),"")))</f>
        <v/>
      </c>
      <c r="T22" s="34">
        <f>IF($A22="","",IF($B22="Decision point",IF(AND(ISNUMBER($F22),$F22&gt;=T$6,$F22&lt;=DATE(YEAR(T$6),MONTH(T$6)+1,0)),"◆",""),IF($B22="Project",IF(AND(ISNUMBER($E22),ISNUMBER($F22),$E22&lt;=DATE(YEAR(T$6),MONTH(T$6)+1,0),$F22&gt;=T$6),"█",IF(AND(ISNUMBER($F22),ISNUMBER($G22),$G22&gt;$F22,T$6&lt;=$G22,DATE(YEAR(T$6),MONTH(T$6)+1,0)&gt;$F22),"░","")),"")))</f>
        <v/>
      </c>
      <c r="U22" s="34">
        <f>IF($A22="","",IF($B22="Decision point",IF(AND(ISNUMBER($F22),$F22&gt;=U$6,$F22&lt;=DATE(YEAR(U$6),MONTH(U$6)+1,0)),"◆",""),IF($B22="Project",IF(AND(ISNUMBER($E22),ISNUMBER($F22),$E22&lt;=DATE(YEAR(U$6),MONTH(U$6)+1,0),$F22&gt;=U$6),"█",IF(AND(ISNUMBER($F22),ISNUMBER($G22),$G22&gt;$F22,U$6&lt;=$G22,DATE(YEAR(U$6),MONTH(U$6)+1,0)&gt;$F22),"░","")),"")))</f>
        <v/>
      </c>
      <c r="V22" s="34">
        <f>IF($A22="","",IF($B22="Decision point",IF(AND(ISNUMBER($F22),$F22&gt;=V$6,$F22&lt;=DATE(YEAR(V$6),MONTH(V$6)+1,0)),"◆",""),IF($B22="Project",IF(AND(ISNUMBER($E22),ISNUMBER($F22),$E22&lt;=DATE(YEAR(V$6),MONTH(V$6)+1,0),$F22&gt;=V$6),"█",IF(AND(ISNUMBER($F22),ISNUMBER($G22),$G22&gt;$F22,V$6&lt;=$G22,DATE(YEAR(V$6),MONTH(V$6)+1,0)&gt;$F22),"░","")),"")))</f>
        <v/>
      </c>
      <c r="W22" s="34">
        <f>IF($A22="","",IF($B22="Decision point",IF(AND(ISNUMBER($F22),$F22&gt;=W$6,$F22&lt;=DATE(YEAR(W$6),MONTH(W$6)+1,0)),"◆",""),IF($B22="Project",IF(AND(ISNUMBER($E22),ISNUMBER($F22),$E22&lt;=DATE(YEAR(W$6),MONTH(W$6)+1,0),$F22&gt;=W$6),"█",IF(AND(ISNUMBER($F22),ISNUMBER($G22),$G22&gt;$F22,W$6&lt;=$G22,DATE(YEAR(W$6),MONTH(W$6)+1,0)&gt;$F22),"░","")),"")))</f>
        <v/>
      </c>
      <c r="X22" s="34">
        <f>IF($A22="","",IF($B22="Decision point",IF(AND(ISNUMBER($F22),$F22&gt;=X$6,$F22&lt;=DATE(YEAR(X$6),MONTH(X$6)+1,0)),"◆",""),IF($B22="Project",IF(AND(ISNUMBER($E22),ISNUMBER($F22),$E22&lt;=DATE(YEAR(X$6),MONTH(X$6)+1,0),$F22&gt;=X$6),"█",IF(AND(ISNUMBER($F22),ISNUMBER($G22),$G22&gt;$F22,X$6&lt;=$G22,DATE(YEAR(X$6),MONTH(X$6)+1,0)&gt;$F22),"░","")),"")))</f>
        <v/>
      </c>
      <c r="Y22" s="34">
        <f>IF($AE22=1,"▶",IF($A22="","",IF($B22="Decision point",IF(AND(ISNUMBER($F22),$F22&gt;=Y$6,$F22&lt;=DATE(YEAR(Y$6),MONTH(Y$6)+1,0)),"◆",""),IF($B22="Project",IF(AND(ISNUMBER($E22),ISNUMBER($F22),$E22&lt;=DATE(YEAR(Y$6),MONTH(Y$6)+1,0),$F22&gt;=Y$6),"█",IF(AND(ISNUMBER($F22),ISNUMBER($G22),$G22&gt;$F22,Y$6&lt;=$G22,DATE(YEAR(Y$6),MONTH(Y$6)+1,0)&gt;$F22),"░","")),""))))</f>
        <v/>
      </c>
      <c r="AA22" s="9">
        <f>IF(AND($B22="Project",OR($D22="Active",$D22="Paused"),ISNUMBER($G22)),$G22,"")</f>
        <v/>
      </c>
      <c r="AB22" s="9">
        <f>IF(AND($B22="Decision point",ISNUMBER($F22)),IF($F22&gt;=Dashboard!$B$16,$F22,""),"")</f>
        <v/>
      </c>
      <c r="AC22" s="9">
        <f>IF(LEFT($I22,1)="△",1,0)</f>
        <v/>
      </c>
      <c r="AD22" s="9">
        <f>IF(ISNUMBER($AB22),100000-$AB22,0)</f>
        <v/>
      </c>
      <c r="AE22" s="9">
        <f>IF($A22="",0,IF(OR(AND(ISNUMBER($F22),$F22&gt;DATE(YEAR($Y$6),MONTH($Y$6)+1,0)),AND($B22="Project",ISNUMBER($G22),$G22&gt;DATE(YEAR($Y$6),MONTH($Y$6)+1,0))),1,0))</f>
        <v/>
      </c>
    </row>
    <row r="23" ht="18" customHeight="1">
      <c r="A23" s="28" t="n"/>
      <c r="B23" s="28" t="n"/>
      <c r="C23" s="9">
        <f>IF($A23="","",IF(AND($B23="Project",$D23="Proposed"),"Proposed, so not counted until it's Active",IF($AE23=1,"Runs past the last month shown","")))</f>
        <v/>
      </c>
      <c r="D23" s="28" t="n"/>
      <c r="E23" s="14" t="n"/>
      <c r="F23" s="14" t="n"/>
      <c r="G23" s="14" t="n"/>
      <c r="H23" s="33">
        <f>IF($A23="","",IF(OR($B23&lt;&gt;"Project",$D23="Proposed",NOT(ISNUMBER($F23)),NOT(ISNUMBER($G23))),"",IF($G23&lt;=$F23,0,NETWORKDAYS($F23+1,$G23))))</f>
        <v/>
      </c>
      <c r="I23" s="9">
        <f>IF($A23="","",IF(SUMPRODUCT(--($A$7:$A$36=$A23))&gt;1,"△ Name used twice",IF(OR($B23="",NOT(ISNUMBER($F23))),"△ Kind or Planned finish missing",IF(AND($B23="Project",OR($D23="",AND($D23&lt;&gt;"Proposed",OR(NOT(ISNUMBER($E23)),NOT(ISNUMBER($G23)))))),"△ Status, Start or Latest forecast missing",IF(AND(ISNUMBER($E23),ISNUMBER($F23)),IF($E23&gt;$F23,"△ Start is after Planned finish","○ Clear"),"○ Clear")))))</f>
        <v/>
      </c>
      <c r="K23" s="34">
        <f>IF($A23="","",IF($B23="Decision point",IF(AND(ISNUMBER($F23),$F23&gt;=K$6,$F23&lt;=DATE(YEAR(K$6),MONTH(K$6)+1,0)),"◆",""),IF($B23="Project",IF(AND(ISNUMBER($E23),ISNUMBER($F23),$E23&lt;=DATE(YEAR(K$6),MONTH(K$6)+1,0),$F23&gt;=K$6),"█",IF(AND(ISNUMBER($F23),ISNUMBER($G23),$G23&gt;$F23,K$6&lt;=$G23,DATE(YEAR(K$6),MONTH(K$6)+1,0)&gt;$F23),"░","")),"")))</f>
        <v/>
      </c>
      <c r="L23" s="34">
        <f>IF($A23="","",IF($B23="Decision point",IF(AND(ISNUMBER($F23),$F23&gt;=L$6,$F23&lt;=DATE(YEAR(L$6),MONTH(L$6)+1,0)),"◆",""),IF($B23="Project",IF(AND(ISNUMBER($E23),ISNUMBER($F23),$E23&lt;=DATE(YEAR(L$6),MONTH(L$6)+1,0),$F23&gt;=L$6),"█",IF(AND(ISNUMBER($F23),ISNUMBER($G23),$G23&gt;$F23,L$6&lt;=$G23,DATE(YEAR(L$6),MONTH(L$6)+1,0)&gt;$F23),"░","")),"")))</f>
        <v/>
      </c>
      <c r="M23" s="34">
        <f>IF($A23="","",IF($B23="Decision point",IF(AND(ISNUMBER($F23),$F23&gt;=M$6,$F23&lt;=DATE(YEAR(M$6),MONTH(M$6)+1,0)),"◆",""),IF($B23="Project",IF(AND(ISNUMBER($E23),ISNUMBER($F23),$E23&lt;=DATE(YEAR(M$6),MONTH(M$6)+1,0),$F23&gt;=M$6),"█",IF(AND(ISNUMBER($F23),ISNUMBER($G23),$G23&gt;$F23,M$6&lt;=$G23,DATE(YEAR(M$6),MONTH(M$6)+1,0)&gt;$F23),"░","")),"")))</f>
        <v/>
      </c>
      <c r="N23" s="34">
        <f>IF($A23="","",IF($B23="Decision point",IF(AND(ISNUMBER($F23),$F23&gt;=N$6,$F23&lt;=DATE(YEAR(N$6),MONTH(N$6)+1,0)),"◆",""),IF($B23="Project",IF(AND(ISNUMBER($E23),ISNUMBER($F23),$E23&lt;=DATE(YEAR(N$6),MONTH(N$6)+1,0),$F23&gt;=N$6),"█",IF(AND(ISNUMBER($F23),ISNUMBER($G23),$G23&gt;$F23,N$6&lt;=$G23,DATE(YEAR(N$6),MONTH(N$6)+1,0)&gt;$F23),"░","")),"")))</f>
        <v/>
      </c>
      <c r="O23" s="34">
        <f>IF($A23="","",IF($B23="Decision point",IF(AND(ISNUMBER($F23),$F23&gt;=O$6,$F23&lt;=DATE(YEAR(O$6),MONTH(O$6)+1,0)),"◆",""),IF($B23="Project",IF(AND(ISNUMBER($E23),ISNUMBER($F23),$E23&lt;=DATE(YEAR(O$6),MONTH(O$6)+1,0),$F23&gt;=O$6),"█",IF(AND(ISNUMBER($F23),ISNUMBER($G23),$G23&gt;$F23,O$6&lt;=$G23,DATE(YEAR(O$6),MONTH(O$6)+1,0)&gt;$F23),"░","")),"")))</f>
        <v/>
      </c>
      <c r="P23" s="34">
        <f>IF($A23="","",IF($B23="Decision point",IF(AND(ISNUMBER($F23),$F23&gt;=P$6,$F23&lt;=DATE(YEAR(P$6),MONTH(P$6)+1,0)),"◆",""),IF($B23="Project",IF(AND(ISNUMBER($E23),ISNUMBER($F23),$E23&lt;=DATE(YEAR(P$6),MONTH(P$6)+1,0),$F23&gt;=P$6),"█",IF(AND(ISNUMBER($F23),ISNUMBER($G23),$G23&gt;$F23,P$6&lt;=$G23,DATE(YEAR(P$6),MONTH(P$6)+1,0)&gt;$F23),"░","")),"")))</f>
        <v/>
      </c>
      <c r="Q23" s="34">
        <f>IF($A23="","",IF($B23="Decision point",IF(AND(ISNUMBER($F23),$F23&gt;=Q$6,$F23&lt;=DATE(YEAR(Q$6),MONTH(Q$6)+1,0)),"◆",""),IF($B23="Project",IF(AND(ISNUMBER($E23),ISNUMBER($F23),$E23&lt;=DATE(YEAR(Q$6),MONTH(Q$6)+1,0),$F23&gt;=Q$6),"█",IF(AND(ISNUMBER($F23),ISNUMBER($G23),$G23&gt;$F23,Q$6&lt;=$G23,DATE(YEAR(Q$6),MONTH(Q$6)+1,0)&gt;$F23),"░","")),"")))</f>
        <v/>
      </c>
      <c r="R23" s="34">
        <f>IF($A23="","",IF($B23="Decision point",IF(AND(ISNUMBER($F23),$F23&gt;=R$6,$F23&lt;=DATE(YEAR(R$6),MONTH(R$6)+1,0)),"◆",""),IF($B23="Project",IF(AND(ISNUMBER($E23),ISNUMBER($F23),$E23&lt;=DATE(YEAR(R$6),MONTH(R$6)+1,0),$F23&gt;=R$6),"█",IF(AND(ISNUMBER($F23),ISNUMBER($G23),$G23&gt;$F23,R$6&lt;=$G23,DATE(YEAR(R$6),MONTH(R$6)+1,0)&gt;$F23),"░","")),"")))</f>
        <v/>
      </c>
      <c r="S23" s="34">
        <f>IF($A23="","",IF($B23="Decision point",IF(AND(ISNUMBER($F23),$F23&gt;=S$6,$F23&lt;=DATE(YEAR(S$6),MONTH(S$6)+1,0)),"◆",""),IF($B23="Project",IF(AND(ISNUMBER($E23),ISNUMBER($F23),$E23&lt;=DATE(YEAR(S$6),MONTH(S$6)+1,0),$F23&gt;=S$6),"█",IF(AND(ISNUMBER($F23),ISNUMBER($G23),$G23&gt;$F23,S$6&lt;=$G23,DATE(YEAR(S$6),MONTH(S$6)+1,0)&gt;$F23),"░","")),"")))</f>
        <v/>
      </c>
      <c r="T23" s="34">
        <f>IF($A23="","",IF($B23="Decision point",IF(AND(ISNUMBER($F23),$F23&gt;=T$6,$F23&lt;=DATE(YEAR(T$6),MONTH(T$6)+1,0)),"◆",""),IF($B23="Project",IF(AND(ISNUMBER($E23),ISNUMBER($F23),$E23&lt;=DATE(YEAR(T$6),MONTH(T$6)+1,0),$F23&gt;=T$6),"█",IF(AND(ISNUMBER($F23),ISNUMBER($G23),$G23&gt;$F23,T$6&lt;=$G23,DATE(YEAR(T$6),MONTH(T$6)+1,0)&gt;$F23),"░","")),"")))</f>
        <v/>
      </c>
      <c r="U23" s="34">
        <f>IF($A23="","",IF($B23="Decision point",IF(AND(ISNUMBER($F23),$F23&gt;=U$6,$F23&lt;=DATE(YEAR(U$6),MONTH(U$6)+1,0)),"◆",""),IF($B23="Project",IF(AND(ISNUMBER($E23),ISNUMBER($F23),$E23&lt;=DATE(YEAR(U$6),MONTH(U$6)+1,0),$F23&gt;=U$6),"█",IF(AND(ISNUMBER($F23),ISNUMBER($G23),$G23&gt;$F23,U$6&lt;=$G23,DATE(YEAR(U$6),MONTH(U$6)+1,0)&gt;$F23),"░","")),"")))</f>
        <v/>
      </c>
      <c r="V23" s="34">
        <f>IF($A23="","",IF($B23="Decision point",IF(AND(ISNUMBER($F23),$F23&gt;=V$6,$F23&lt;=DATE(YEAR(V$6),MONTH(V$6)+1,0)),"◆",""),IF($B23="Project",IF(AND(ISNUMBER($E23),ISNUMBER($F23),$E23&lt;=DATE(YEAR(V$6),MONTH(V$6)+1,0),$F23&gt;=V$6),"█",IF(AND(ISNUMBER($F23),ISNUMBER($G23),$G23&gt;$F23,V$6&lt;=$G23,DATE(YEAR(V$6),MONTH(V$6)+1,0)&gt;$F23),"░","")),"")))</f>
        <v/>
      </c>
      <c r="W23" s="34">
        <f>IF($A23="","",IF($B23="Decision point",IF(AND(ISNUMBER($F23),$F23&gt;=W$6,$F23&lt;=DATE(YEAR(W$6),MONTH(W$6)+1,0)),"◆",""),IF($B23="Project",IF(AND(ISNUMBER($E23),ISNUMBER($F23),$E23&lt;=DATE(YEAR(W$6),MONTH(W$6)+1,0),$F23&gt;=W$6),"█",IF(AND(ISNUMBER($F23),ISNUMBER($G23),$G23&gt;$F23,W$6&lt;=$G23,DATE(YEAR(W$6),MONTH(W$6)+1,0)&gt;$F23),"░","")),"")))</f>
        <v/>
      </c>
      <c r="X23" s="34">
        <f>IF($A23="","",IF($B23="Decision point",IF(AND(ISNUMBER($F23),$F23&gt;=X$6,$F23&lt;=DATE(YEAR(X$6),MONTH(X$6)+1,0)),"◆",""),IF($B23="Project",IF(AND(ISNUMBER($E23),ISNUMBER($F23),$E23&lt;=DATE(YEAR(X$6),MONTH(X$6)+1,0),$F23&gt;=X$6),"█",IF(AND(ISNUMBER($F23),ISNUMBER($G23),$G23&gt;$F23,X$6&lt;=$G23,DATE(YEAR(X$6),MONTH(X$6)+1,0)&gt;$F23),"░","")),"")))</f>
        <v/>
      </c>
      <c r="Y23" s="34">
        <f>IF($AE23=1,"▶",IF($A23="","",IF($B23="Decision point",IF(AND(ISNUMBER($F23),$F23&gt;=Y$6,$F23&lt;=DATE(YEAR(Y$6),MONTH(Y$6)+1,0)),"◆",""),IF($B23="Project",IF(AND(ISNUMBER($E23),ISNUMBER($F23),$E23&lt;=DATE(YEAR(Y$6),MONTH(Y$6)+1,0),$F23&gt;=Y$6),"█",IF(AND(ISNUMBER($F23),ISNUMBER($G23),$G23&gt;$F23,Y$6&lt;=$G23,DATE(YEAR(Y$6),MONTH(Y$6)+1,0)&gt;$F23),"░","")),""))))</f>
        <v/>
      </c>
      <c r="AA23" s="9">
        <f>IF(AND($B23="Project",OR($D23="Active",$D23="Paused"),ISNUMBER($G23)),$G23,"")</f>
        <v/>
      </c>
      <c r="AB23" s="9">
        <f>IF(AND($B23="Decision point",ISNUMBER($F23)),IF($F23&gt;=Dashboard!$B$16,$F23,""),"")</f>
        <v/>
      </c>
      <c r="AC23" s="9">
        <f>IF(LEFT($I23,1)="△",1,0)</f>
        <v/>
      </c>
      <c r="AD23" s="9">
        <f>IF(ISNUMBER($AB23),100000-$AB23,0)</f>
        <v/>
      </c>
      <c r="AE23" s="9">
        <f>IF($A23="",0,IF(OR(AND(ISNUMBER($F23),$F23&gt;DATE(YEAR($Y$6),MONTH($Y$6)+1,0)),AND($B23="Project",ISNUMBER($G23),$G23&gt;DATE(YEAR($Y$6),MONTH($Y$6)+1,0))),1,0))</f>
        <v/>
      </c>
    </row>
    <row r="24" ht="18" customHeight="1">
      <c r="A24" s="28" t="n"/>
      <c r="B24" s="28" t="n"/>
      <c r="C24" s="9">
        <f>IF($A24="","",IF(AND($B24="Project",$D24="Proposed"),"Proposed, so not counted until it's Active",IF($AE24=1,"Runs past the last month shown","")))</f>
        <v/>
      </c>
      <c r="D24" s="28" t="n"/>
      <c r="E24" s="14" t="n"/>
      <c r="F24" s="14" t="n"/>
      <c r="G24" s="14" t="n"/>
      <c r="H24" s="33">
        <f>IF($A24="","",IF(OR($B24&lt;&gt;"Project",$D24="Proposed",NOT(ISNUMBER($F24)),NOT(ISNUMBER($G24))),"",IF($G24&lt;=$F24,0,NETWORKDAYS($F24+1,$G24))))</f>
        <v/>
      </c>
      <c r="I24" s="9">
        <f>IF($A24="","",IF(SUMPRODUCT(--($A$7:$A$36=$A24))&gt;1,"△ Name used twice",IF(OR($B24="",NOT(ISNUMBER($F24))),"△ Kind or Planned finish missing",IF(AND($B24="Project",OR($D24="",AND($D24&lt;&gt;"Proposed",OR(NOT(ISNUMBER($E24)),NOT(ISNUMBER($G24)))))),"△ Status, Start or Latest forecast missing",IF(AND(ISNUMBER($E24),ISNUMBER($F24)),IF($E24&gt;$F24,"△ Start is after Planned finish","○ Clear"),"○ Clear")))))</f>
        <v/>
      </c>
      <c r="K24" s="34">
        <f>IF($A24="","",IF($B24="Decision point",IF(AND(ISNUMBER($F24),$F24&gt;=K$6,$F24&lt;=DATE(YEAR(K$6),MONTH(K$6)+1,0)),"◆",""),IF($B24="Project",IF(AND(ISNUMBER($E24),ISNUMBER($F24),$E24&lt;=DATE(YEAR(K$6),MONTH(K$6)+1,0),$F24&gt;=K$6),"█",IF(AND(ISNUMBER($F24),ISNUMBER($G24),$G24&gt;$F24,K$6&lt;=$G24,DATE(YEAR(K$6),MONTH(K$6)+1,0)&gt;$F24),"░","")),"")))</f>
        <v/>
      </c>
      <c r="L24" s="34">
        <f>IF($A24="","",IF($B24="Decision point",IF(AND(ISNUMBER($F24),$F24&gt;=L$6,$F24&lt;=DATE(YEAR(L$6),MONTH(L$6)+1,0)),"◆",""),IF($B24="Project",IF(AND(ISNUMBER($E24),ISNUMBER($F24),$E24&lt;=DATE(YEAR(L$6),MONTH(L$6)+1,0),$F24&gt;=L$6),"█",IF(AND(ISNUMBER($F24),ISNUMBER($G24),$G24&gt;$F24,L$6&lt;=$G24,DATE(YEAR(L$6),MONTH(L$6)+1,0)&gt;$F24),"░","")),"")))</f>
        <v/>
      </c>
      <c r="M24" s="34">
        <f>IF($A24="","",IF($B24="Decision point",IF(AND(ISNUMBER($F24),$F24&gt;=M$6,$F24&lt;=DATE(YEAR(M$6),MONTH(M$6)+1,0)),"◆",""),IF($B24="Project",IF(AND(ISNUMBER($E24),ISNUMBER($F24),$E24&lt;=DATE(YEAR(M$6),MONTH(M$6)+1,0),$F24&gt;=M$6),"█",IF(AND(ISNUMBER($F24),ISNUMBER($G24),$G24&gt;$F24,M$6&lt;=$G24,DATE(YEAR(M$6),MONTH(M$6)+1,0)&gt;$F24),"░","")),"")))</f>
        <v/>
      </c>
      <c r="N24" s="34">
        <f>IF($A24="","",IF($B24="Decision point",IF(AND(ISNUMBER($F24),$F24&gt;=N$6,$F24&lt;=DATE(YEAR(N$6),MONTH(N$6)+1,0)),"◆",""),IF($B24="Project",IF(AND(ISNUMBER($E24),ISNUMBER($F24),$E24&lt;=DATE(YEAR(N$6),MONTH(N$6)+1,0),$F24&gt;=N$6),"█",IF(AND(ISNUMBER($F24),ISNUMBER($G24),$G24&gt;$F24,N$6&lt;=$G24,DATE(YEAR(N$6),MONTH(N$6)+1,0)&gt;$F24),"░","")),"")))</f>
        <v/>
      </c>
      <c r="O24" s="34">
        <f>IF($A24="","",IF($B24="Decision point",IF(AND(ISNUMBER($F24),$F24&gt;=O$6,$F24&lt;=DATE(YEAR(O$6),MONTH(O$6)+1,0)),"◆",""),IF($B24="Project",IF(AND(ISNUMBER($E24),ISNUMBER($F24),$E24&lt;=DATE(YEAR(O$6),MONTH(O$6)+1,0),$F24&gt;=O$6),"█",IF(AND(ISNUMBER($F24),ISNUMBER($G24),$G24&gt;$F24,O$6&lt;=$G24,DATE(YEAR(O$6),MONTH(O$6)+1,0)&gt;$F24),"░","")),"")))</f>
        <v/>
      </c>
      <c r="P24" s="34">
        <f>IF($A24="","",IF($B24="Decision point",IF(AND(ISNUMBER($F24),$F24&gt;=P$6,$F24&lt;=DATE(YEAR(P$6),MONTH(P$6)+1,0)),"◆",""),IF($B24="Project",IF(AND(ISNUMBER($E24),ISNUMBER($F24),$E24&lt;=DATE(YEAR(P$6),MONTH(P$6)+1,0),$F24&gt;=P$6),"█",IF(AND(ISNUMBER($F24),ISNUMBER($G24),$G24&gt;$F24,P$6&lt;=$G24,DATE(YEAR(P$6),MONTH(P$6)+1,0)&gt;$F24),"░","")),"")))</f>
        <v/>
      </c>
      <c r="Q24" s="34">
        <f>IF($A24="","",IF($B24="Decision point",IF(AND(ISNUMBER($F24),$F24&gt;=Q$6,$F24&lt;=DATE(YEAR(Q$6),MONTH(Q$6)+1,0)),"◆",""),IF($B24="Project",IF(AND(ISNUMBER($E24),ISNUMBER($F24),$E24&lt;=DATE(YEAR(Q$6),MONTH(Q$6)+1,0),$F24&gt;=Q$6),"█",IF(AND(ISNUMBER($F24),ISNUMBER($G24),$G24&gt;$F24,Q$6&lt;=$G24,DATE(YEAR(Q$6),MONTH(Q$6)+1,0)&gt;$F24),"░","")),"")))</f>
        <v/>
      </c>
      <c r="R24" s="34">
        <f>IF($A24="","",IF($B24="Decision point",IF(AND(ISNUMBER($F24),$F24&gt;=R$6,$F24&lt;=DATE(YEAR(R$6),MONTH(R$6)+1,0)),"◆",""),IF($B24="Project",IF(AND(ISNUMBER($E24),ISNUMBER($F24),$E24&lt;=DATE(YEAR(R$6),MONTH(R$6)+1,0),$F24&gt;=R$6),"█",IF(AND(ISNUMBER($F24),ISNUMBER($G24),$G24&gt;$F24,R$6&lt;=$G24,DATE(YEAR(R$6),MONTH(R$6)+1,0)&gt;$F24),"░","")),"")))</f>
        <v/>
      </c>
      <c r="S24" s="34">
        <f>IF($A24="","",IF($B24="Decision point",IF(AND(ISNUMBER($F24),$F24&gt;=S$6,$F24&lt;=DATE(YEAR(S$6),MONTH(S$6)+1,0)),"◆",""),IF($B24="Project",IF(AND(ISNUMBER($E24),ISNUMBER($F24),$E24&lt;=DATE(YEAR(S$6),MONTH(S$6)+1,0),$F24&gt;=S$6),"█",IF(AND(ISNUMBER($F24),ISNUMBER($G24),$G24&gt;$F24,S$6&lt;=$G24,DATE(YEAR(S$6),MONTH(S$6)+1,0)&gt;$F24),"░","")),"")))</f>
        <v/>
      </c>
      <c r="T24" s="34">
        <f>IF($A24="","",IF($B24="Decision point",IF(AND(ISNUMBER($F24),$F24&gt;=T$6,$F24&lt;=DATE(YEAR(T$6),MONTH(T$6)+1,0)),"◆",""),IF($B24="Project",IF(AND(ISNUMBER($E24),ISNUMBER($F24),$E24&lt;=DATE(YEAR(T$6),MONTH(T$6)+1,0),$F24&gt;=T$6),"█",IF(AND(ISNUMBER($F24),ISNUMBER($G24),$G24&gt;$F24,T$6&lt;=$G24,DATE(YEAR(T$6),MONTH(T$6)+1,0)&gt;$F24),"░","")),"")))</f>
        <v/>
      </c>
      <c r="U24" s="34">
        <f>IF($A24="","",IF($B24="Decision point",IF(AND(ISNUMBER($F24),$F24&gt;=U$6,$F24&lt;=DATE(YEAR(U$6),MONTH(U$6)+1,0)),"◆",""),IF($B24="Project",IF(AND(ISNUMBER($E24),ISNUMBER($F24),$E24&lt;=DATE(YEAR(U$6),MONTH(U$6)+1,0),$F24&gt;=U$6),"█",IF(AND(ISNUMBER($F24),ISNUMBER($G24),$G24&gt;$F24,U$6&lt;=$G24,DATE(YEAR(U$6),MONTH(U$6)+1,0)&gt;$F24),"░","")),"")))</f>
        <v/>
      </c>
      <c r="V24" s="34">
        <f>IF($A24="","",IF($B24="Decision point",IF(AND(ISNUMBER($F24),$F24&gt;=V$6,$F24&lt;=DATE(YEAR(V$6),MONTH(V$6)+1,0)),"◆",""),IF($B24="Project",IF(AND(ISNUMBER($E24),ISNUMBER($F24),$E24&lt;=DATE(YEAR(V$6),MONTH(V$6)+1,0),$F24&gt;=V$6),"█",IF(AND(ISNUMBER($F24),ISNUMBER($G24),$G24&gt;$F24,V$6&lt;=$G24,DATE(YEAR(V$6),MONTH(V$6)+1,0)&gt;$F24),"░","")),"")))</f>
        <v/>
      </c>
      <c r="W24" s="34">
        <f>IF($A24="","",IF($B24="Decision point",IF(AND(ISNUMBER($F24),$F24&gt;=W$6,$F24&lt;=DATE(YEAR(W$6),MONTH(W$6)+1,0)),"◆",""),IF($B24="Project",IF(AND(ISNUMBER($E24),ISNUMBER($F24),$E24&lt;=DATE(YEAR(W$6),MONTH(W$6)+1,0),$F24&gt;=W$6),"█",IF(AND(ISNUMBER($F24),ISNUMBER($G24),$G24&gt;$F24,W$6&lt;=$G24,DATE(YEAR(W$6),MONTH(W$6)+1,0)&gt;$F24),"░","")),"")))</f>
        <v/>
      </c>
      <c r="X24" s="34">
        <f>IF($A24="","",IF($B24="Decision point",IF(AND(ISNUMBER($F24),$F24&gt;=X$6,$F24&lt;=DATE(YEAR(X$6),MONTH(X$6)+1,0)),"◆",""),IF($B24="Project",IF(AND(ISNUMBER($E24),ISNUMBER($F24),$E24&lt;=DATE(YEAR(X$6),MONTH(X$6)+1,0),$F24&gt;=X$6),"█",IF(AND(ISNUMBER($F24),ISNUMBER($G24),$G24&gt;$F24,X$6&lt;=$G24,DATE(YEAR(X$6),MONTH(X$6)+1,0)&gt;$F24),"░","")),"")))</f>
        <v/>
      </c>
      <c r="Y24" s="34">
        <f>IF($AE24=1,"▶",IF($A24="","",IF($B24="Decision point",IF(AND(ISNUMBER($F24),$F24&gt;=Y$6,$F24&lt;=DATE(YEAR(Y$6),MONTH(Y$6)+1,0)),"◆",""),IF($B24="Project",IF(AND(ISNUMBER($E24),ISNUMBER($F24),$E24&lt;=DATE(YEAR(Y$6),MONTH(Y$6)+1,0),$F24&gt;=Y$6),"█",IF(AND(ISNUMBER($F24),ISNUMBER($G24),$G24&gt;$F24,Y$6&lt;=$G24,DATE(YEAR(Y$6),MONTH(Y$6)+1,0)&gt;$F24),"░","")),""))))</f>
        <v/>
      </c>
      <c r="AA24" s="9">
        <f>IF(AND($B24="Project",OR($D24="Active",$D24="Paused"),ISNUMBER($G24)),$G24,"")</f>
        <v/>
      </c>
      <c r="AB24" s="9">
        <f>IF(AND($B24="Decision point",ISNUMBER($F24)),IF($F24&gt;=Dashboard!$B$16,$F24,""),"")</f>
        <v/>
      </c>
      <c r="AC24" s="9">
        <f>IF(LEFT($I24,1)="△",1,0)</f>
        <v/>
      </c>
      <c r="AD24" s="9">
        <f>IF(ISNUMBER($AB24),100000-$AB24,0)</f>
        <v/>
      </c>
      <c r="AE24" s="9">
        <f>IF($A24="",0,IF(OR(AND(ISNUMBER($F24),$F24&gt;DATE(YEAR($Y$6),MONTH($Y$6)+1,0)),AND($B24="Project",ISNUMBER($G24),$G24&gt;DATE(YEAR($Y$6),MONTH($Y$6)+1,0))),1,0))</f>
        <v/>
      </c>
    </row>
    <row r="25" ht="18" customHeight="1">
      <c r="A25" s="28" t="n"/>
      <c r="B25" s="28" t="n"/>
      <c r="C25" s="9">
        <f>IF($A25="","",IF(AND($B25="Project",$D25="Proposed"),"Proposed, so not counted until it's Active",IF($AE25=1,"Runs past the last month shown","")))</f>
        <v/>
      </c>
      <c r="D25" s="28" t="n"/>
      <c r="E25" s="14" t="n"/>
      <c r="F25" s="14" t="n"/>
      <c r="G25" s="14" t="n"/>
      <c r="H25" s="33">
        <f>IF($A25="","",IF(OR($B25&lt;&gt;"Project",$D25="Proposed",NOT(ISNUMBER($F25)),NOT(ISNUMBER($G25))),"",IF($G25&lt;=$F25,0,NETWORKDAYS($F25+1,$G25))))</f>
        <v/>
      </c>
      <c r="I25" s="9">
        <f>IF($A25="","",IF(SUMPRODUCT(--($A$7:$A$36=$A25))&gt;1,"△ Name used twice",IF(OR($B25="",NOT(ISNUMBER($F25))),"△ Kind or Planned finish missing",IF(AND($B25="Project",OR($D25="",AND($D25&lt;&gt;"Proposed",OR(NOT(ISNUMBER($E25)),NOT(ISNUMBER($G25)))))),"△ Status, Start or Latest forecast missing",IF(AND(ISNUMBER($E25),ISNUMBER($F25)),IF($E25&gt;$F25,"△ Start is after Planned finish","○ Clear"),"○ Clear")))))</f>
        <v/>
      </c>
      <c r="K25" s="34">
        <f>IF($A25="","",IF($B25="Decision point",IF(AND(ISNUMBER($F25),$F25&gt;=K$6,$F25&lt;=DATE(YEAR(K$6),MONTH(K$6)+1,0)),"◆",""),IF($B25="Project",IF(AND(ISNUMBER($E25),ISNUMBER($F25),$E25&lt;=DATE(YEAR(K$6),MONTH(K$6)+1,0),$F25&gt;=K$6),"█",IF(AND(ISNUMBER($F25),ISNUMBER($G25),$G25&gt;$F25,K$6&lt;=$G25,DATE(YEAR(K$6),MONTH(K$6)+1,0)&gt;$F25),"░","")),"")))</f>
        <v/>
      </c>
      <c r="L25" s="34">
        <f>IF($A25="","",IF($B25="Decision point",IF(AND(ISNUMBER($F25),$F25&gt;=L$6,$F25&lt;=DATE(YEAR(L$6),MONTH(L$6)+1,0)),"◆",""),IF($B25="Project",IF(AND(ISNUMBER($E25),ISNUMBER($F25),$E25&lt;=DATE(YEAR(L$6),MONTH(L$6)+1,0),$F25&gt;=L$6),"█",IF(AND(ISNUMBER($F25),ISNUMBER($G25),$G25&gt;$F25,L$6&lt;=$G25,DATE(YEAR(L$6),MONTH(L$6)+1,0)&gt;$F25),"░","")),"")))</f>
        <v/>
      </c>
      <c r="M25" s="34">
        <f>IF($A25="","",IF($B25="Decision point",IF(AND(ISNUMBER($F25),$F25&gt;=M$6,$F25&lt;=DATE(YEAR(M$6),MONTH(M$6)+1,0)),"◆",""),IF($B25="Project",IF(AND(ISNUMBER($E25),ISNUMBER($F25),$E25&lt;=DATE(YEAR(M$6),MONTH(M$6)+1,0),$F25&gt;=M$6),"█",IF(AND(ISNUMBER($F25),ISNUMBER($G25),$G25&gt;$F25,M$6&lt;=$G25,DATE(YEAR(M$6),MONTH(M$6)+1,0)&gt;$F25),"░","")),"")))</f>
        <v/>
      </c>
      <c r="N25" s="34">
        <f>IF($A25="","",IF($B25="Decision point",IF(AND(ISNUMBER($F25),$F25&gt;=N$6,$F25&lt;=DATE(YEAR(N$6),MONTH(N$6)+1,0)),"◆",""),IF($B25="Project",IF(AND(ISNUMBER($E25),ISNUMBER($F25),$E25&lt;=DATE(YEAR(N$6),MONTH(N$6)+1,0),$F25&gt;=N$6),"█",IF(AND(ISNUMBER($F25),ISNUMBER($G25),$G25&gt;$F25,N$6&lt;=$G25,DATE(YEAR(N$6),MONTH(N$6)+1,0)&gt;$F25),"░","")),"")))</f>
        <v/>
      </c>
      <c r="O25" s="34">
        <f>IF($A25="","",IF($B25="Decision point",IF(AND(ISNUMBER($F25),$F25&gt;=O$6,$F25&lt;=DATE(YEAR(O$6),MONTH(O$6)+1,0)),"◆",""),IF($B25="Project",IF(AND(ISNUMBER($E25),ISNUMBER($F25),$E25&lt;=DATE(YEAR(O$6),MONTH(O$6)+1,0),$F25&gt;=O$6),"█",IF(AND(ISNUMBER($F25),ISNUMBER($G25),$G25&gt;$F25,O$6&lt;=$G25,DATE(YEAR(O$6),MONTH(O$6)+1,0)&gt;$F25),"░","")),"")))</f>
        <v/>
      </c>
      <c r="P25" s="34">
        <f>IF($A25="","",IF($B25="Decision point",IF(AND(ISNUMBER($F25),$F25&gt;=P$6,$F25&lt;=DATE(YEAR(P$6),MONTH(P$6)+1,0)),"◆",""),IF($B25="Project",IF(AND(ISNUMBER($E25),ISNUMBER($F25),$E25&lt;=DATE(YEAR(P$6),MONTH(P$6)+1,0),$F25&gt;=P$6),"█",IF(AND(ISNUMBER($F25),ISNUMBER($G25),$G25&gt;$F25,P$6&lt;=$G25,DATE(YEAR(P$6),MONTH(P$6)+1,0)&gt;$F25),"░","")),"")))</f>
        <v/>
      </c>
      <c r="Q25" s="34">
        <f>IF($A25="","",IF($B25="Decision point",IF(AND(ISNUMBER($F25),$F25&gt;=Q$6,$F25&lt;=DATE(YEAR(Q$6),MONTH(Q$6)+1,0)),"◆",""),IF($B25="Project",IF(AND(ISNUMBER($E25),ISNUMBER($F25),$E25&lt;=DATE(YEAR(Q$6),MONTH(Q$6)+1,0),$F25&gt;=Q$6),"█",IF(AND(ISNUMBER($F25),ISNUMBER($G25),$G25&gt;$F25,Q$6&lt;=$G25,DATE(YEAR(Q$6),MONTH(Q$6)+1,0)&gt;$F25),"░","")),"")))</f>
        <v/>
      </c>
      <c r="R25" s="34">
        <f>IF($A25="","",IF($B25="Decision point",IF(AND(ISNUMBER($F25),$F25&gt;=R$6,$F25&lt;=DATE(YEAR(R$6),MONTH(R$6)+1,0)),"◆",""),IF($B25="Project",IF(AND(ISNUMBER($E25),ISNUMBER($F25),$E25&lt;=DATE(YEAR(R$6),MONTH(R$6)+1,0),$F25&gt;=R$6),"█",IF(AND(ISNUMBER($F25),ISNUMBER($G25),$G25&gt;$F25,R$6&lt;=$G25,DATE(YEAR(R$6),MONTH(R$6)+1,0)&gt;$F25),"░","")),"")))</f>
        <v/>
      </c>
      <c r="S25" s="34">
        <f>IF($A25="","",IF($B25="Decision point",IF(AND(ISNUMBER($F25),$F25&gt;=S$6,$F25&lt;=DATE(YEAR(S$6),MONTH(S$6)+1,0)),"◆",""),IF($B25="Project",IF(AND(ISNUMBER($E25),ISNUMBER($F25),$E25&lt;=DATE(YEAR(S$6),MONTH(S$6)+1,0),$F25&gt;=S$6),"█",IF(AND(ISNUMBER($F25),ISNUMBER($G25),$G25&gt;$F25,S$6&lt;=$G25,DATE(YEAR(S$6),MONTH(S$6)+1,0)&gt;$F25),"░","")),"")))</f>
        <v/>
      </c>
      <c r="T25" s="34">
        <f>IF($A25="","",IF($B25="Decision point",IF(AND(ISNUMBER($F25),$F25&gt;=T$6,$F25&lt;=DATE(YEAR(T$6),MONTH(T$6)+1,0)),"◆",""),IF($B25="Project",IF(AND(ISNUMBER($E25),ISNUMBER($F25),$E25&lt;=DATE(YEAR(T$6),MONTH(T$6)+1,0),$F25&gt;=T$6),"█",IF(AND(ISNUMBER($F25),ISNUMBER($G25),$G25&gt;$F25,T$6&lt;=$G25,DATE(YEAR(T$6),MONTH(T$6)+1,0)&gt;$F25),"░","")),"")))</f>
        <v/>
      </c>
      <c r="U25" s="34">
        <f>IF($A25="","",IF($B25="Decision point",IF(AND(ISNUMBER($F25),$F25&gt;=U$6,$F25&lt;=DATE(YEAR(U$6),MONTH(U$6)+1,0)),"◆",""),IF($B25="Project",IF(AND(ISNUMBER($E25),ISNUMBER($F25),$E25&lt;=DATE(YEAR(U$6),MONTH(U$6)+1,0),$F25&gt;=U$6),"█",IF(AND(ISNUMBER($F25),ISNUMBER($G25),$G25&gt;$F25,U$6&lt;=$G25,DATE(YEAR(U$6),MONTH(U$6)+1,0)&gt;$F25),"░","")),"")))</f>
        <v/>
      </c>
      <c r="V25" s="34">
        <f>IF($A25="","",IF($B25="Decision point",IF(AND(ISNUMBER($F25),$F25&gt;=V$6,$F25&lt;=DATE(YEAR(V$6),MONTH(V$6)+1,0)),"◆",""),IF($B25="Project",IF(AND(ISNUMBER($E25),ISNUMBER($F25),$E25&lt;=DATE(YEAR(V$6),MONTH(V$6)+1,0),$F25&gt;=V$6),"█",IF(AND(ISNUMBER($F25),ISNUMBER($G25),$G25&gt;$F25,V$6&lt;=$G25,DATE(YEAR(V$6),MONTH(V$6)+1,0)&gt;$F25),"░","")),"")))</f>
        <v/>
      </c>
      <c r="W25" s="34">
        <f>IF($A25="","",IF($B25="Decision point",IF(AND(ISNUMBER($F25),$F25&gt;=W$6,$F25&lt;=DATE(YEAR(W$6),MONTH(W$6)+1,0)),"◆",""),IF($B25="Project",IF(AND(ISNUMBER($E25),ISNUMBER($F25),$E25&lt;=DATE(YEAR(W$6),MONTH(W$6)+1,0),$F25&gt;=W$6),"█",IF(AND(ISNUMBER($F25),ISNUMBER($G25),$G25&gt;$F25,W$6&lt;=$G25,DATE(YEAR(W$6),MONTH(W$6)+1,0)&gt;$F25),"░","")),"")))</f>
        <v/>
      </c>
      <c r="X25" s="34">
        <f>IF($A25="","",IF($B25="Decision point",IF(AND(ISNUMBER($F25),$F25&gt;=X$6,$F25&lt;=DATE(YEAR(X$6),MONTH(X$6)+1,0)),"◆",""),IF($B25="Project",IF(AND(ISNUMBER($E25),ISNUMBER($F25),$E25&lt;=DATE(YEAR(X$6),MONTH(X$6)+1,0),$F25&gt;=X$6),"█",IF(AND(ISNUMBER($F25),ISNUMBER($G25),$G25&gt;$F25,X$6&lt;=$G25,DATE(YEAR(X$6),MONTH(X$6)+1,0)&gt;$F25),"░","")),"")))</f>
        <v/>
      </c>
      <c r="Y25" s="34">
        <f>IF($AE25=1,"▶",IF($A25="","",IF($B25="Decision point",IF(AND(ISNUMBER($F25),$F25&gt;=Y$6,$F25&lt;=DATE(YEAR(Y$6),MONTH(Y$6)+1,0)),"◆",""),IF($B25="Project",IF(AND(ISNUMBER($E25),ISNUMBER($F25),$E25&lt;=DATE(YEAR(Y$6),MONTH(Y$6)+1,0),$F25&gt;=Y$6),"█",IF(AND(ISNUMBER($F25),ISNUMBER($G25),$G25&gt;$F25,Y$6&lt;=$G25,DATE(YEAR(Y$6),MONTH(Y$6)+1,0)&gt;$F25),"░","")),""))))</f>
        <v/>
      </c>
      <c r="AA25" s="9">
        <f>IF(AND($B25="Project",OR($D25="Active",$D25="Paused"),ISNUMBER($G25)),$G25,"")</f>
        <v/>
      </c>
      <c r="AB25" s="9">
        <f>IF(AND($B25="Decision point",ISNUMBER($F25)),IF($F25&gt;=Dashboard!$B$16,$F25,""),"")</f>
        <v/>
      </c>
      <c r="AC25" s="9">
        <f>IF(LEFT($I25,1)="△",1,0)</f>
        <v/>
      </c>
      <c r="AD25" s="9">
        <f>IF(ISNUMBER($AB25),100000-$AB25,0)</f>
        <v/>
      </c>
      <c r="AE25" s="9">
        <f>IF($A25="",0,IF(OR(AND(ISNUMBER($F25),$F25&gt;DATE(YEAR($Y$6),MONTH($Y$6)+1,0)),AND($B25="Project",ISNUMBER($G25),$G25&gt;DATE(YEAR($Y$6),MONTH($Y$6)+1,0))),1,0))</f>
        <v/>
      </c>
    </row>
    <row r="26" ht="18" customHeight="1">
      <c r="A26" s="28" t="n"/>
      <c r="B26" s="28" t="n"/>
      <c r="C26" s="9">
        <f>IF($A26="","",IF(AND($B26="Project",$D26="Proposed"),"Proposed, so not counted until it's Active",IF($AE26=1,"Runs past the last month shown","")))</f>
        <v/>
      </c>
      <c r="D26" s="28" t="n"/>
      <c r="E26" s="14" t="n"/>
      <c r="F26" s="14" t="n"/>
      <c r="G26" s="14" t="n"/>
      <c r="H26" s="33">
        <f>IF($A26="","",IF(OR($B26&lt;&gt;"Project",$D26="Proposed",NOT(ISNUMBER($F26)),NOT(ISNUMBER($G26))),"",IF($G26&lt;=$F26,0,NETWORKDAYS($F26+1,$G26))))</f>
        <v/>
      </c>
      <c r="I26" s="9">
        <f>IF($A26="","",IF(SUMPRODUCT(--($A$7:$A$36=$A26))&gt;1,"△ Name used twice",IF(OR($B26="",NOT(ISNUMBER($F26))),"△ Kind or Planned finish missing",IF(AND($B26="Project",OR($D26="",AND($D26&lt;&gt;"Proposed",OR(NOT(ISNUMBER($E26)),NOT(ISNUMBER($G26)))))),"△ Status, Start or Latest forecast missing",IF(AND(ISNUMBER($E26),ISNUMBER($F26)),IF($E26&gt;$F26,"△ Start is after Planned finish","○ Clear"),"○ Clear")))))</f>
        <v/>
      </c>
      <c r="K26" s="34">
        <f>IF($A26="","",IF($B26="Decision point",IF(AND(ISNUMBER($F26),$F26&gt;=K$6,$F26&lt;=DATE(YEAR(K$6),MONTH(K$6)+1,0)),"◆",""),IF($B26="Project",IF(AND(ISNUMBER($E26),ISNUMBER($F26),$E26&lt;=DATE(YEAR(K$6),MONTH(K$6)+1,0),$F26&gt;=K$6),"█",IF(AND(ISNUMBER($F26),ISNUMBER($G26),$G26&gt;$F26,K$6&lt;=$G26,DATE(YEAR(K$6),MONTH(K$6)+1,0)&gt;$F26),"░","")),"")))</f>
        <v/>
      </c>
      <c r="L26" s="34">
        <f>IF($A26="","",IF($B26="Decision point",IF(AND(ISNUMBER($F26),$F26&gt;=L$6,$F26&lt;=DATE(YEAR(L$6),MONTH(L$6)+1,0)),"◆",""),IF($B26="Project",IF(AND(ISNUMBER($E26),ISNUMBER($F26),$E26&lt;=DATE(YEAR(L$6),MONTH(L$6)+1,0),$F26&gt;=L$6),"█",IF(AND(ISNUMBER($F26),ISNUMBER($G26),$G26&gt;$F26,L$6&lt;=$G26,DATE(YEAR(L$6),MONTH(L$6)+1,0)&gt;$F26),"░","")),"")))</f>
        <v/>
      </c>
      <c r="M26" s="34">
        <f>IF($A26="","",IF($B26="Decision point",IF(AND(ISNUMBER($F26),$F26&gt;=M$6,$F26&lt;=DATE(YEAR(M$6),MONTH(M$6)+1,0)),"◆",""),IF($B26="Project",IF(AND(ISNUMBER($E26),ISNUMBER($F26),$E26&lt;=DATE(YEAR(M$6),MONTH(M$6)+1,0),$F26&gt;=M$6),"█",IF(AND(ISNUMBER($F26),ISNUMBER($G26),$G26&gt;$F26,M$6&lt;=$G26,DATE(YEAR(M$6),MONTH(M$6)+1,0)&gt;$F26),"░","")),"")))</f>
        <v/>
      </c>
      <c r="N26" s="34">
        <f>IF($A26="","",IF($B26="Decision point",IF(AND(ISNUMBER($F26),$F26&gt;=N$6,$F26&lt;=DATE(YEAR(N$6),MONTH(N$6)+1,0)),"◆",""),IF($B26="Project",IF(AND(ISNUMBER($E26),ISNUMBER($F26),$E26&lt;=DATE(YEAR(N$6),MONTH(N$6)+1,0),$F26&gt;=N$6),"█",IF(AND(ISNUMBER($F26),ISNUMBER($G26),$G26&gt;$F26,N$6&lt;=$G26,DATE(YEAR(N$6),MONTH(N$6)+1,0)&gt;$F26),"░","")),"")))</f>
        <v/>
      </c>
      <c r="O26" s="34">
        <f>IF($A26="","",IF($B26="Decision point",IF(AND(ISNUMBER($F26),$F26&gt;=O$6,$F26&lt;=DATE(YEAR(O$6),MONTH(O$6)+1,0)),"◆",""),IF($B26="Project",IF(AND(ISNUMBER($E26),ISNUMBER($F26),$E26&lt;=DATE(YEAR(O$6),MONTH(O$6)+1,0),$F26&gt;=O$6),"█",IF(AND(ISNUMBER($F26),ISNUMBER($G26),$G26&gt;$F26,O$6&lt;=$G26,DATE(YEAR(O$6),MONTH(O$6)+1,0)&gt;$F26),"░","")),"")))</f>
        <v/>
      </c>
      <c r="P26" s="34">
        <f>IF($A26="","",IF($B26="Decision point",IF(AND(ISNUMBER($F26),$F26&gt;=P$6,$F26&lt;=DATE(YEAR(P$6),MONTH(P$6)+1,0)),"◆",""),IF($B26="Project",IF(AND(ISNUMBER($E26),ISNUMBER($F26),$E26&lt;=DATE(YEAR(P$6),MONTH(P$6)+1,0),$F26&gt;=P$6),"█",IF(AND(ISNUMBER($F26),ISNUMBER($G26),$G26&gt;$F26,P$6&lt;=$G26,DATE(YEAR(P$6),MONTH(P$6)+1,0)&gt;$F26),"░","")),"")))</f>
        <v/>
      </c>
      <c r="Q26" s="34">
        <f>IF($A26="","",IF($B26="Decision point",IF(AND(ISNUMBER($F26),$F26&gt;=Q$6,$F26&lt;=DATE(YEAR(Q$6),MONTH(Q$6)+1,0)),"◆",""),IF($B26="Project",IF(AND(ISNUMBER($E26),ISNUMBER($F26),$E26&lt;=DATE(YEAR(Q$6),MONTH(Q$6)+1,0),$F26&gt;=Q$6),"█",IF(AND(ISNUMBER($F26),ISNUMBER($G26),$G26&gt;$F26,Q$6&lt;=$G26,DATE(YEAR(Q$6),MONTH(Q$6)+1,0)&gt;$F26),"░","")),"")))</f>
        <v/>
      </c>
      <c r="R26" s="34">
        <f>IF($A26="","",IF($B26="Decision point",IF(AND(ISNUMBER($F26),$F26&gt;=R$6,$F26&lt;=DATE(YEAR(R$6),MONTH(R$6)+1,0)),"◆",""),IF($B26="Project",IF(AND(ISNUMBER($E26),ISNUMBER($F26),$E26&lt;=DATE(YEAR(R$6),MONTH(R$6)+1,0),$F26&gt;=R$6),"█",IF(AND(ISNUMBER($F26),ISNUMBER($G26),$G26&gt;$F26,R$6&lt;=$G26,DATE(YEAR(R$6),MONTH(R$6)+1,0)&gt;$F26),"░","")),"")))</f>
        <v/>
      </c>
      <c r="S26" s="34">
        <f>IF($A26="","",IF($B26="Decision point",IF(AND(ISNUMBER($F26),$F26&gt;=S$6,$F26&lt;=DATE(YEAR(S$6),MONTH(S$6)+1,0)),"◆",""),IF($B26="Project",IF(AND(ISNUMBER($E26),ISNUMBER($F26),$E26&lt;=DATE(YEAR(S$6),MONTH(S$6)+1,0),$F26&gt;=S$6),"█",IF(AND(ISNUMBER($F26),ISNUMBER($G26),$G26&gt;$F26,S$6&lt;=$G26,DATE(YEAR(S$6),MONTH(S$6)+1,0)&gt;$F26),"░","")),"")))</f>
        <v/>
      </c>
      <c r="T26" s="34">
        <f>IF($A26="","",IF($B26="Decision point",IF(AND(ISNUMBER($F26),$F26&gt;=T$6,$F26&lt;=DATE(YEAR(T$6),MONTH(T$6)+1,0)),"◆",""),IF($B26="Project",IF(AND(ISNUMBER($E26),ISNUMBER($F26),$E26&lt;=DATE(YEAR(T$6),MONTH(T$6)+1,0),$F26&gt;=T$6),"█",IF(AND(ISNUMBER($F26),ISNUMBER($G26),$G26&gt;$F26,T$6&lt;=$G26,DATE(YEAR(T$6),MONTH(T$6)+1,0)&gt;$F26),"░","")),"")))</f>
        <v/>
      </c>
      <c r="U26" s="34">
        <f>IF($A26="","",IF($B26="Decision point",IF(AND(ISNUMBER($F26),$F26&gt;=U$6,$F26&lt;=DATE(YEAR(U$6),MONTH(U$6)+1,0)),"◆",""),IF($B26="Project",IF(AND(ISNUMBER($E26),ISNUMBER($F26),$E26&lt;=DATE(YEAR(U$6),MONTH(U$6)+1,0),$F26&gt;=U$6),"█",IF(AND(ISNUMBER($F26),ISNUMBER($G26),$G26&gt;$F26,U$6&lt;=$G26,DATE(YEAR(U$6),MONTH(U$6)+1,0)&gt;$F26),"░","")),"")))</f>
        <v/>
      </c>
      <c r="V26" s="34">
        <f>IF($A26="","",IF($B26="Decision point",IF(AND(ISNUMBER($F26),$F26&gt;=V$6,$F26&lt;=DATE(YEAR(V$6),MONTH(V$6)+1,0)),"◆",""),IF($B26="Project",IF(AND(ISNUMBER($E26),ISNUMBER($F26),$E26&lt;=DATE(YEAR(V$6),MONTH(V$6)+1,0),$F26&gt;=V$6),"█",IF(AND(ISNUMBER($F26),ISNUMBER($G26),$G26&gt;$F26,V$6&lt;=$G26,DATE(YEAR(V$6),MONTH(V$6)+1,0)&gt;$F26),"░","")),"")))</f>
        <v/>
      </c>
      <c r="W26" s="34">
        <f>IF($A26="","",IF($B26="Decision point",IF(AND(ISNUMBER($F26),$F26&gt;=W$6,$F26&lt;=DATE(YEAR(W$6),MONTH(W$6)+1,0)),"◆",""),IF($B26="Project",IF(AND(ISNUMBER($E26),ISNUMBER($F26),$E26&lt;=DATE(YEAR(W$6),MONTH(W$6)+1,0),$F26&gt;=W$6),"█",IF(AND(ISNUMBER($F26),ISNUMBER($G26),$G26&gt;$F26,W$6&lt;=$G26,DATE(YEAR(W$6),MONTH(W$6)+1,0)&gt;$F26),"░","")),"")))</f>
        <v/>
      </c>
      <c r="X26" s="34">
        <f>IF($A26="","",IF($B26="Decision point",IF(AND(ISNUMBER($F26),$F26&gt;=X$6,$F26&lt;=DATE(YEAR(X$6),MONTH(X$6)+1,0)),"◆",""),IF($B26="Project",IF(AND(ISNUMBER($E26),ISNUMBER($F26),$E26&lt;=DATE(YEAR(X$6),MONTH(X$6)+1,0),$F26&gt;=X$6),"█",IF(AND(ISNUMBER($F26),ISNUMBER($G26),$G26&gt;$F26,X$6&lt;=$G26,DATE(YEAR(X$6),MONTH(X$6)+1,0)&gt;$F26),"░","")),"")))</f>
        <v/>
      </c>
      <c r="Y26" s="34">
        <f>IF($AE26=1,"▶",IF($A26="","",IF($B26="Decision point",IF(AND(ISNUMBER($F26),$F26&gt;=Y$6,$F26&lt;=DATE(YEAR(Y$6),MONTH(Y$6)+1,0)),"◆",""),IF($B26="Project",IF(AND(ISNUMBER($E26),ISNUMBER($F26),$E26&lt;=DATE(YEAR(Y$6),MONTH(Y$6)+1,0),$F26&gt;=Y$6),"█",IF(AND(ISNUMBER($F26),ISNUMBER($G26),$G26&gt;$F26,Y$6&lt;=$G26,DATE(YEAR(Y$6),MONTH(Y$6)+1,0)&gt;$F26),"░","")),""))))</f>
        <v/>
      </c>
      <c r="AA26" s="9">
        <f>IF(AND($B26="Project",OR($D26="Active",$D26="Paused"),ISNUMBER($G26)),$G26,"")</f>
        <v/>
      </c>
      <c r="AB26" s="9">
        <f>IF(AND($B26="Decision point",ISNUMBER($F26)),IF($F26&gt;=Dashboard!$B$16,$F26,""),"")</f>
        <v/>
      </c>
      <c r="AC26" s="9">
        <f>IF(LEFT($I26,1)="△",1,0)</f>
        <v/>
      </c>
      <c r="AD26" s="9">
        <f>IF(ISNUMBER($AB26),100000-$AB26,0)</f>
        <v/>
      </c>
      <c r="AE26" s="9">
        <f>IF($A26="",0,IF(OR(AND(ISNUMBER($F26),$F26&gt;DATE(YEAR($Y$6),MONTH($Y$6)+1,0)),AND($B26="Project",ISNUMBER($G26),$G26&gt;DATE(YEAR($Y$6),MONTH($Y$6)+1,0))),1,0))</f>
        <v/>
      </c>
    </row>
    <row r="27" ht="18" customHeight="1">
      <c r="A27" s="28" t="n"/>
      <c r="B27" s="28" t="n"/>
      <c r="C27" s="9">
        <f>IF($A27="","",IF(AND($B27="Project",$D27="Proposed"),"Proposed, so not counted until it's Active",IF($AE27=1,"Runs past the last month shown","")))</f>
        <v/>
      </c>
      <c r="D27" s="28" t="n"/>
      <c r="E27" s="14" t="n"/>
      <c r="F27" s="14" t="n"/>
      <c r="G27" s="14" t="n"/>
      <c r="H27" s="33">
        <f>IF($A27="","",IF(OR($B27&lt;&gt;"Project",$D27="Proposed",NOT(ISNUMBER($F27)),NOT(ISNUMBER($G27))),"",IF($G27&lt;=$F27,0,NETWORKDAYS($F27+1,$G27))))</f>
        <v/>
      </c>
      <c r="I27" s="9">
        <f>IF($A27="","",IF(SUMPRODUCT(--($A$7:$A$36=$A27))&gt;1,"△ Name used twice",IF(OR($B27="",NOT(ISNUMBER($F27))),"△ Kind or Planned finish missing",IF(AND($B27="Project",OR($D27="",AND($D27&lt;&gt;"Proposed",OR(NOT(ISNUMBER($E27)),NOT(ISNUMBER($G27)))))),"△ Status, Start or Latest forecast missing",IF(AND(ISNUMBER($E27),ISNUMBER($F27)),IF($E27&gt;$F27,"△ Start is after Planned finish","○ Clear"),"○ Clear")))))</f>
        <v/>
      </c>
      <c r="K27" s="34">
        <f>IF($A27="","",IF($B27="Decision point",IF(AND(ISNUMBER($F27),$F27&gt;=K$6,$F27&lt;=DATE(YEAR(K$6),MONTH(K$6)+1,0)),"◆",""),IF($B27="Project",IF(AND(ISNUMBER($E27),ISNUMBER($F27),$E27&lt;=DATE(YEAR(K$6),MONTH(K$6)+1,0),$F27&gt;=K$6),"█",IF(AND(ISNUMBER($F27),ISNUMBER($G27),$G27&gt;$F27,K$6&lt;=$G27,DATE(YEAR(K$6),MONTH(K$6)+1,0)&gt;$F27),"░","")),"")))</f>
        <v/>
      </c>
      <c r="L27" s="34">
        <f>IF($A27="","",IF($B27="Decision point",IF(AND(ISNUMBER($F27),$F27&gt;=L$6,$F27&lt;=DATE(YEAR(L$6),MONTH(L$6)+1,0)),"◆",""),IF($B27="Project",IF(AND(ISNUMBER($E27),ISNUMBER($F27),$E27&lt;=DATE(YEAR(L$6),MONTH(L$6)+1,0),$F27&gt;=L$6),"█",IF(AND(ISNUMBER($F27),ISNUMBER($G27),$G27&gt;$F27,L$6&lt;=$G27,DATE(YEAR(L$6),MONTH(L$6)+1,0)&gt;$F27),"░","")),"")))</f>
        <v/>
      </c>
      <c r="M27" s="34">
        <f>IF($A27="","",IF($B27="Decision point",IF(AND(ISNUMBER($F27),$F27&gt;=M$6,$F27&lt;=DATE(YEAR(M$6),MONTH(M$6)+1,0)),"◆",""),IF($B27="Project",IF(AND(ISNUMBER($E27),ISNUMBER($F27),$E27&lt;=DATE(YEAR(M$6),MONTH(M$6)+1,0),$F27&gt;=M$6),"█",IF(AND(ISNUMBER($F27),ISNUMBER($G27),$G27&gt;$F27,M$6&lt;=$G27,DATE(YEAR(M$6),MONTH(M$6)+1,0)&gt;$F27),"░","")),"")))</f>
        <v/>
      </c>
      <c r="N27" s="34">
        <f>IF($A27="","",IF($B27="Decision point",IF(AND(ISNUMBER($F27),$F27&gt;=N$6,$F27&lt;=DATE(YEAR(N$6),MONTH(N$6)+1,0)),"◆",""),IF($B27="Project",IF(AND(ISNUMBER($E27),ISNUMBER($F27),$E27&lt;=DATE(YEAR(N$6),MONTH(N$6)+1,0),$F27&gt;=N$6),"█",IF(AND(ISNUMBER($F27),ISNUMBER($G27),$G27&gt;$F27,N$6&lt;=$G27,DATE(YEAR(N$6),MONTH(N$6)+1,0)&gt;$F27),"░","")),"")))</f>
        <v/>
      </c>
      <c r="O27" s="34">
        <f>IF($A27="","",IF($B27="Decision point",IF(AND(ISNUMBER($F27),$F27&gt;=O$6,$F27&lt;=DATE(YEAR(O$6),MONTH(O$6)+1,0)),"◆",""),IF($B27="Project",IF(AND(ISNUMBER($E27),ISNUMBER($F27),$E27&lt;=DATE(YEAR(O$6),MONTH(O$6)+1,0),$F27&gt;=O$6),"█",IF(AND(ISNUMBER($F27),ISNUMBER($G27),$G27&gt;$F27,O$6&lt;=$G27,DATE(YEAR(O$6),MONTH(O$6)+1,0)&gt;$F27),"░","")),"")))</f>
        <v/>
      </c>
      <c r="P27" s="34">
        <f>IF($A27="","",IF($B27="Decision point",IF(AND(ISNUMBER($F27),$F27&gt;=P$6,$F27&lt;=DATE(YEAR(P$6),MONTH(P$6)+1,0)),"◆",""),IF($B27="Project",IF(AND(ISNUMBER($E27),ISNUMBER($F27),$E27&lt;=DATE(YEAR(P$6),MONTH(P$6)+1,0),$F27&gt;=P$6),"█",IF(AND(ISNUMBER($F27),ISNUMBER($G27),$G27&gt;$F27,P$6&lt;=$G27,DATE(YEAR(P$6),MONTH(P$6)+1,0)&gt;$F27),"░","")),"")))</f>
        <v/>
      </c>
      <c r="Q27" s="34">
        <f>IF($A27="","",IF($B27="Decision point",IF(AND(ISNUMBER($F27),$F27&gt;=Q$6,$F27&lt;=DATE(YEAR(Q$6),MONTH(Q$6)+1,0)),"◆",""),IF($B27="Project",IF(AND(ISNUMBER($E27),ISNUMBER($F27),$E27&lt;=DATE(YEAR(Q$6),MONTH(Q$6)+1,0),$F27&gt;=Q$6),"█",IF(AND(ISNUMBER($F27),ISNUMBER($G27),$G27&gt;$F27,Q$6&lt;=$G27,DATE(YEAR(Q$6),MONTH(Q$6)+1,0)&gt;$F27),"░","")),"")))</f>
        <v/>
      </c>
      <c r="R27" s="34">
        <f>IF($A27="","",IF($B27="Decision point",IF(AND(ISNUMBER($F27),$F27&gt;=R$6,$F27&lt;=DATE(YEAR(R$6),MONTH(R$6)+1,0)),"◆",""),IF($B27="Project",IF(AND(ISNUMBER($E27),ISNUMBER($F27),$E27&lt;=DATE(YEAR(R$6),MONTH(R$6)+1,0),$F27&gt;=R$6),"█",IF(AND(ISNUMBER($F27),ISNUMBER($G27),$G27&gt;$F27,R$6&lt;=$G27,DATE(YEAR(R$6),MONTH(R$6)+1,0)&gt;$F27),"░","")),"")))</f>
        <v/>
      </c>
      <c r="S27" s="34">
        <f>IF($A27="","",IF($B27="Decision point",IF(AND(ISNUMBER($F27),$F27&gt;=S$6,$F27&lt;=DATE(YEAR(S$6),MONTH(S$6)+1,0)),"◆",""),IF($B27="Project",IF(AND(ISNUMBER($E27),ISNUMBER($F27),$E27&lt;=DATE(YEAR(S$6),MONTH(S$6)+1,0),$F27&gt;=S$6),"█",IF(AND(ISNUMBER($F27),ISNUMBER($G27),$G27&gt;$F27,S$6&lt;=$G27,DATE(YEAR(S$6),MONTH(S$6)+1,0)&gt;$F27),"░","")),"")))</f>
        <v/>
      </c>
      <c r="T27" s="34">
        <f>IF($A27="","",IF($B27="Decision point",IF(AND(ISNUMBER($F27),$F27&gt;=T$6,$F27&lt;=DATE(YEAR(T$6),MONTH(T$6)+1,0)),"◆",""),IF($B27="Project",IF(AND(ISNUMBER($E27),ISNUMBER($F27),$E27&lt;=DATE(YEAR(T$6),MONTH(T$6)+1,0),$F27&gt;=T$6),"█",IF(AND(ISNUMBER($F27),ISNUMBER($G27),$G27&gt;$F27,T$6&lt;=$G27,DATE(YEAR(T$6),MONTH(T$6)+1,0)&gt;$F27),"░","")),"")))</f>
        <v/>
      </c>
      <c r="U27" s="34">
        <f>IF($A27="","",IF($B27="Decision point",IF(AND(ISNUMBER($F27),$F27&gt;=U$6,$F27&lt;=DATE(YEAR(U$6),MONTH(U$6)+1,0)),"◆",""),IF($B27="Project",IF(AND(ISNUMBER($E27),ISNUMBER($F27),$E27&lt;=DATE(YEAR(U$6),MONTH(U$6)+1,0),$F27&gt;=U$6),"█",IF(AND(ISNUMBER($F27),ISNUMBER($G27),$G27&gt;$F27,U$6&lt;=$G27,DATE(YEAR(U$6),MONTH(U$6)+1,0)&gt;$F27),"░","")),"")))</f>
        <v/>
      </c>
      <c r="V27" s="34">
        <f>IF($A27="","",IF($B27="Decision point",IF(AND(ISNUMBER($F27),$F27&gt;=V$6,$F27&lt;=DATE(YEAR(V$6),MONTH(V$6)+1,0)),"◆",""),IF($B27="Project",IF(AND(ISNUMBER($E27),ISNUMBER($F27),$E27&lt;=DATE(YEAR(V$6),MONTH(V$6)+1,0),$F27&gt;=V$6),"█",IF(AND(ISNUMBER($F27),ISNUMBER($G27),$G27&gt;$F27,V$6&lt;=$G27,DATE(YEAR(V$6),MONTH(V$6)+1,0)&gt;$F27),"░","")),"")))</f>
        <v/>
      </c>
      <c r="W27" s="34">
        <f>IF($A27="","",IF($B27="Decision point",IF(AND(ISNUMBER($F27),$F27&gt;=W$6,$F27&lt;=DATE(YEAR(W$6),MONTH(W$6)+1,0)),"◆",""),IF($B27="Project",IF(AND(ISNUMBER($E27),ISNUMBER($F27),$E27&lt;=DATE(YEAR(W$6),MONTH(W$6)+1,0),$F27&gt;=W$6),"█",IF(AND(ISNUMBER($F27),ISNUMBER($G27),$G27&gt;$F27,W$6&lt;=$G27,DATE(YEAR(W$6),MONTH(W$6)+1,0)&gt;$F27),"░","")),"")))</f>
        <v/>
      </c>
      <c r="X27" s="34">
        <f>IF($A27="","",IF($B27="Decision point",IF(AND(ISNUMBER($F27),$F27&gt;=X$6,$F27&lt;=DATE(YEAR(X$6),MONTH(X$6)+1,0)),"◆",""),IF($B27="Project",IF(AND(ISNUMBER($E27),ISNUMBER($F27),$E27&lt;=DATE(YEAR(X$6),MONTH(X$6)+1,0),$F27&gt;=X$6),"█",IF(AND(ISNUMBER($F27),ISNUMBER($G27),$G27&gt;$F27,X$6&lt;=$G27,DATE(YEAR(X$6),MONTH(X$6)+1,0)&gt;$F27),"░","")),"")))</f>
        <v/>
      </c>
      <c r="Y27" s="34">
        <f>IF($AE27=1,"▶",IF($A27="","",IF($B27="Decision point",IF(AND(ISNUMBER($F27),$F27&gt;=Y$6,$F27&lt;=DATE(YEAR(Y$6),MONTH(Y$6)+1,0)),"◆",""),IF($B27="Project",IF(AND(ISNUMBER($E27),ISNUMBER($F27),$E27&lt;=DATE(YEAR(Y$6),MONTH(Y$6)+1,0),$F27&gt;=Y$6),"█",IF(AND(ISNUMBER($F27),ISNUMBER($G27),$G27&gt;$F27,Y$6&lt;=$G27,DATE(YEAR(Y$6),MONTH(Y$6)+1,0)&gt;$F27),"░","")),""))))</f>
        <v/>
      </c>
      <c r="AA27" s="9">
        <f>IF(AND($B27="Project",OR($D27="Active",$D27="Paused"),ISNUMBER($G27)),$G27,"")</f>
        <v/>
      </c>
      <c r="AB27" s="9">
        <f>IF(AND($B27="Decision point",ISNUMBER($F27)),IF($F27&gt;=Dashboard!$B$16,$F27,""),"")</f>
        <v/>
      </c>
      <c r="AC27" s="9">
        <f>IF(LEFT($I27,1)="△",1,0)</f>
        <v/>
      </c>
      <c r="AD27" s="9">
        <f>IF(ISNUMBER($AB27),100000-$AB27,0)</f>
        <v/>
      </c>
      <c r="AE27" s="9">
        <f>IF($A27="",0,IF(OR(AND(ISNUMBER($F27),$F27&gt;DATE(YEAR($Y$6),MONTH($Y$6)+1,0)),AND($B27="Project",ISNUMBER($G27),$G27&gt;DATE(YEAR($Y$6),MONTH($Y$6)+1,0))),1,0))</f>
        <v/>
      </c>
    </row>
    <row r="28" ht="18" customHeight="1">
      <c r="A28" s="28" t="n"/>
      <c r="B28" s="28" t="n"/>
      <c r="C28" s="9">
        <f>IF($A28="","",IF(AND($B28="Project",$D28="Proposed"),"Proposed, so not counted until it's Active",IF($AE28=1,"Runs past the last month shown","")))</f>
        <v/>
      </c>
      <c r="D28" s="28" t="n"/>
      <c r="E28" s="14" t="n"/>
      <c r="F28" s="14" t="n"/>
      <c r="G28" s="14" t="n"/>
      <c r="H28" s="33">
        <f>IF($A28="","",IF(OR($B28&lt;&gt;"Project",$D28="Proposed",NOT(ISNUMBER($F28)),NOT(ISNUMBER($G28))),"",IF($G28&lt;=$F28,0,NETWORKDAYS($F28+1,$G28))))</f>
        <v/>
      </c>
      <c r="I28" s="9">
        <f>IF($A28="","",IF(SUMPRODUCT(--($A$7:$A$36=$A28))&gt;1,"△ Name used twice",IF(OR($B28="",NOT(ISNUMBER($F28))),"△ Kind or Planned finish missing",IF(AND($B28="Project",OR($D28="",AND($D28&lt;&gt;"Proposed",OR(NOT(ISNUMBER($E28)),NOT(ISNUMBER($G28)))))),"△ Status, Start or Latest forecast missing",IF(AND(ISNUMBER($E28),ISNUMBER($F28)),IF($E28&gt;$F28,"△ Start is after Planned finish","○ Clear"),"○ Clear")))))</f>
        <v/>
      </c>
      <c r="K28" s="34">
        <f>IF($A28="","",IF($B28="Decision point",IF(AND(ISNUMBER($F28),$F28&gt;=K$6,$F28&lt;=DATE(YEAR(K$6),MONTH(K$6)+1,0)),"◆",""),IF($B28="Project",IF(AND(ISNUMBER($E28),ISNUMBER($F28),$E28&lt;=DATE(YEAR(K$6),MONTH(K$6)+1,0),$F28&gt;=K$6),"█",IF(AND(ISNUMBER($F28),ISNUMBER($G28),$G28&gt;$F28,K$6&lt;=$G28,DATE(YEAR(K$6),MONTH(K$6)+1,0)&gt;$F28),"░","")),"")))</f>
        <v/>
      </c>
      <c r="L28" s="34">
        <f>IF($A28="","",IF($B28="Decision point",IF(AND(ISNUMBER($F28),$F28&gt;=L$6,$F28&lt;=DATE(YEAR(L$6),MONTH(L$6)+1,0)),"◆",""),IF($B28="Project",IF(AND(ISNUMBER($E28),ISNUMBER($F28),$E28&lt;=DATE(YEAR(L$6),MONTH(L$6)+1,0),$F28&gt;=L$6),"█",IF(AND(ISNUMBER($F28),ISNUMBER($G28),$G28&gt;$F28,L$6&lt;=$G28,DATE(YEAR(L$6),MONTH(L$6)+1,0)&gt;$F28),"░","")),"")))</f>
        <v/>
      </c>
      <c r="M28" s="34">
        <f>IF($A28="","",IF($B28="Decision point",IF(AND(ISNUMBER($F28),$F28&gt;=M$6,$F28&lt;=DATE(YEAR(M$6),MONTH(M$6)+1,0)),"◆",""),IF($B28="Project",IF(AND(ISNUMBER($E28),ISNUMBER($F28),$E28&lt;=DATE(YEAR(M$6),MONTH(M$6)+1,0),$F28&gt;=M$6),"█",IF(AND(ISNUMBER($F28),ISNUMBER($G28),$G28&gt;$F28,M$6&lt;=$G28,DATE(YEAR(M$6),MONTH(M$6)+1,0)&gt;$F28),"░","")),"")))</f>
        <v/>
      </c>
      <c r="N28" s="34">
        <f>IF($A28="","",IF($B28="Decision point",IF(AND(ISNUMBER($F28),$F28&gt;=N$6,$F28&lt;=DATE(YEAR(N$6),MONTH(N$6)+1,0)),"◆",""),IF($B28="Project",IF(AND(ISNUMBER($E28),ISNUMBER($F28),$E28&lt;=DATE(YEAR(N$6),MONTH(N$6)+1,0),$F28&gt;=N$6),"█",IF(AND(ISNUMBER($F28),ISNUMBER($G28),$G28&gt;$F28,N$6&lt;=$G28,DATE(YEAR(N$6),MONTH(N$6)+1,0)&gt;$F28),"░","")),"")))</f>
        <v/>
      </c>
      <c r="O28" s="34">
        <f>IF($A28="","",IF($B28="Decision point",IF(AND(ISNUMBER($F28),$F28&gt;=O$6,$F28&lt;=DATE(YEAR(O$6),MONTH(O$6)+1,0)),"◆",""),IF($B28="Project",IF(AND(ISNUMBER($E28),ISNUMBER($F28),$E28&lt;=DATE(YEAR(O$6),MONTH(O$6)+1,0),$F28&gt;=O$6),"█",IF(AND(ISNUMBER($F28),ISNUMBER($G28),$G28&gt;$F28,O$6&lt;=$G28,DATE(YEAR(O$6),MONTH(O$6)+1,0)&gt;$F28),"░","")),"")))</f>
        <v/>
      </c>
      <c r="P28" s="34">
        <f>IF($A28="","",IF($B28="Decision point",IF(AND(ISNUMBER($F28),$F28&gt;=P$6,$F28&lt;=DATE(YEAR(P$6),MONTH(P$6)+1,0)),"◆",""),IF($B28="Project",IF(AND(ISNUMBER($E28),ISNUMBER($F28),$E28&lt;=DATE(YEAR(P$6),MONTH(P$6)+1,0),$F28&gt;=P$6),"█",IF(AND(ISNUMBER($F28),ISNUMBER($G28),$G28&gt;$F28,P$6&lt;=$G28,DATE(YEAR(P$6),MONTH(P$6)+1,0)&gt;$F28),"░","")),"")))</f>
        <v/>
      </c>
      <c r="Q28" s="34">
        <f>IF($A28="","",IF($B28="Decision point",IF(AND(ISNUMBER($F28),$F28&gt;=Q$6,$F28&lt;=DATE(YEAR(Q$6),MONTH(Q$6)+1,0)),"◆",""),IF($B28="Project",IF(AND(ISNUMBER($E28),ISNUMBER($F28),$E28&lt;=DATE(YEAR(Q$6),MONTH(Q$6)+1,0),$F28&gt;=Q$6),"█",IF(AND(ISNUMBER($F28),ISNUMBER($G28),$G28&gt;$F28,Q$6&lt;=$G28,DATE(YEAR(Q$6),MONTH(Q$6)+1,0)&gt;$F28),"░","")),"")))</f>
        <v/>
      </c>
      <c r="R28" s="34">
        <f>IF($A28="","",IF($B28="Decision point",IF(AND(ISNUMBER($F28),$F28&gt;=R$6,$F28&lt;=DATE(YEAR(R$6),MONTH(R$6)+1,0)),"◆",""),IF($B28="Project",IF(AND(ISNUMBER($E28),ISNUMBER($F28),$E28&lt;=DATE(YEAR(R$6),MONTH(R$6)+1,0),$F28&gt;=R$6),"█",IF(AND(ISNUMBER($F28),ISNUMBER($G28),$G28&gt;$F28,R$6&lt;=$G28,DATE(YEAR(R$6),MONTH(R$6)+1,0)&gt;$F28),"░","")),"")))</f>
        <v/>
      </c>
      <c r="S28" s="34">
        <f>IF($A28="","",IF($B28="Decision point",IF(AND(ISNUMBER($F28),$F28&gt;=S$6,$F28&lt;=DATE(YEAR(S$6),MONTH(S$6)+1,0)),"◆",""),IF($B28="Project",IF(AND(ISNUMBER($E28),ISNUMBER($F28),$E28&lt;=DATE(YEAR(S$6),MONTH(S$6)+1,0),$F28&gt;=S$6),"█",IF(AND(ISNUMBER($F28),ISNUMBER($G28),$G28&gt;$F28,S$6&lt;=$G28,DATE(YEAR(S$6),MONTH(S$6)+1,0)&gt;$F28),"░","")),"")))</f>
        <v/>
      </c>
      <c r="T28" s="34">
        <f>IF($A28="","",IF($B28="Decision point",IF(AND(ISNUMBER($F28),$F28&gt;=T$6,$F28&lt;=DATE(YEAR(T$6),MONTH(T$6)+1,0)),"◆",""),IF($B28="Project",IF(AND(ISNUMBER($E28),ISNUMBER($F28),$E28&lt;=DATE(YEAR(T$6),MONTH(T$6)+1,0),$F28&gt;=T$6),"█",IF(AND(ISNUMBER($F28),ISNUMBER($G28),$G28&gt;$F28,T$6&lt;=$G28,DATE(YEAR(T$6),MONTH(T$6)+1,0)&gt;$F28),"░","")),"")))</f>
        <v/>
      </c>
      <c r="U28" s="34">
        <f>IF($A28="","",IF($B28="Decision point",IF(AND(ISNUMBER($F28),$F28&gt;=U$6,$F28&lt;=DATE(YEAR(U$6),MONTH(U$6)+1,0)),"◆",""),IF($B28="Project",IF(AND(ISNUMBER($E28),ISNUMBER($F28),$E28&lt;=DATE(YEAR(U$6),MONTH(U$6)+1,0),$F28&gt;=U$6),"█",IF(AND(ISNUMBER($F28),ISNUMBER($G28),$G28&gt;$F28,U$6&lt;=$G28,DATE(YEAR(U$6),MONTH(U$6)+1,0)&gt;$F28),"░","")),"")))</f>
        <v/>
      </c>
      <c r="V28" s="34">
        <f>IF($A28="","",IF($B28="Decision point",IF(AND(ISNUMBER($F28),$F28&gt;=V$6,$F28&lt;=DATE(YEAR(V$6),MONTH(V$6)+1,0)),"◆",""),IF($B28="Project",IF(AND(ISNUMBER($E28),ISNUMBER($F28),$E28&lt;=DATE(YEAR(V$6),MONTH(V$6)+1,0),$F28&gt;=V$6),"█",IF(AND(ISNUMBER($F28),ISNUMBER($G28),$G28&gt;$F28,V$6&lt;=$G28,DATE(YEAR(V$6),MONTH(V$6)+1,0)&gt;$F28),"░","")),"")))</f>
        <v/>
      </c>
      <c r="W28" s="34">
        <f>IF($A28="","",IF($B28="Decision point",IF(AND(ISNUMBER($F28),$F28&gt;=W$6,$F28&lt;=DATE(YEAR(W$6),MONTH(W$6)+1,0)),"◆",""),IF($B28="Project",IF(AND(ISNUMBER($E28),ISNUMBER($F28),$E28&lt;=DATE(YEAR(W$6),MONTH(W$6)+1,0),$F28&gt;=W$6),"█",IF(AND(ISNUMBER($F28),ISNUMBER($G28),$G28&gt;$F28,W$6&lt;=$G28,DATE(YEAR(W$6),MONTH(W$6)+1,0)&gt;$F28),"░","")),"")))</f>
        <v/>
      </c>
      <c r="X28" s="34">
        <f>IF($A28="","",IF($B28="Decision point",IF(AND(ISNUMBER($F28),$F28&gt;=X$6,$F28&lt;=DATE(YEAR(X$6),MONTH(X$6)+1,0)),"◆",""),IF($B28="Project",IF(AND(ISNUMBER($E28),ISNUMBER($F28),$E28&lt;=DATE(YEAR(X$6),MONTH(X$6)+1,0),$F28&gt;=X$6),"█",IF(AND(ISNUMBER($F28),ISNUMBER($G28),$G28&gt;$F28,X$6&lt;=$G28,DATE(YEAR(X$6),MONTH(X$6)+1,0)&gt;$F28),"░","")),"")))</f>
        <v/>
      </c>
      <c r="Y28" s="34">
        <f>IF($AE28=1,"▶",IF($A28="","",IF($B28="Decision point",IF(AND(ISNUMBER($F28),$F28&gt;=Y$6,$F28&lt;=DATE(YEAR(Y$6),MONTH(Y$6)+1,0)),"◆",""),IF($B28="Project",IF(AND(ISNUMBER($E28),ISNUMBER($F28),$E28&lt;=DATE(YEAR(Y$6),MONTH(Y$6)+1,0),$F28&gt;=Y$6),"█",IF(AND(ISNUMBER($F28),ISNUMBER($G28),$G28&gt;$F28,Y$6&lt;=$G28,DATE(YEAR(Y$6),MONTH(Y$6)+1,0)&gt;$F28),"░","")),""))))</f>
        <v/>
      </c>
      <c r="AA28" s="9">
        <f>IF(AND($B28="Project",OR($D28="Active",$D28="Paused"),ISNUMBER($G28)),$G28,"")</f>
        <v/>
      </c>
      <c r="AB28" s="9">
        <f>IF(AND($B28="Decision point",ISNUMBER($F28)),IF($F28&gt;=Dashboard!$B$16,$F28,""),"")</f>
        <v/>
      </c>
      <c r="AC28" s="9">
        <f>IF(LEFT($I28,1)="△",1,0)</f>
        <v/>
      </c>
      <c r="AD28" s="9">
        <f>IF(ISNUMBER($AB28),100000-$AB28,0)</f>
        <v/>
      </c>
      <c r="AE28" s="9">
        <f>IF($A28="",0,IF(OR(AND(ISNUMBER($F28),$F28&gt;DATE(YEAR($Y$6),MONTH($Y$6)+1,0)),AND($B28="Project",ISNUMBER($G28),$G28&gt;DATE(YEAR($Y$6),MONTH($Y$6)+1,0))),1,0))</f>
        <v/>
      </c>
    </row>
    <row r="29" ht="18" customHeight="1">
      <c r="A29" s="28" t="n"/>
      <c r="B29" s="28" t="n"/>
      <c r="C29" s="9">
        <f>IF($A29="","",IF(AND($B29="Project",$D29="Proposed"),"Proposed, so not counted until it's Active",IF($AE29=1,"Runs past the last month shown","")))</f>
        <v/>
      </c>
      <c r="D29" s="28" t="n"/>
      <c r="E29" s="14" t="n"/>
      <c r="F29" s="14" t="n"/>
      <c r="G29" s="14" t="n"/>
      <c r="H29" s="33">
        <f>IF($A29="","",IF(OR($B29&lt;&gt;"Project",$D29="Proposed",NOT(ISNUMBER($F29)),NOT(ISNUMBER($G29))),"",IF($G29&lt;=$F29,0,NETWORKDAYS($F29+1,$G29))))</f>
        <v/>
      </c>
      <c r="I29" s="9">
        <f>IF($A29="","",IF(SUMPRODUCT(--($A$7:$A$36=$A29))&gt;1,"△ Name used twice",IF(OR($B29="",NOT(ISNUMBER($F29))),"△ Kind or Planned finish missing",IF(AND($B29="Project",OR($D29="",AND($D29&lt;&gt;"Proposed",OR(NOT(ISNUMBER($E29)),NOT(ISNUMBER($G29)))))),"△ Status, Start or Latest forecast missing",IF(AND(ISNUMBER($E29),ISNUMBER($F29)),IF($E29&gt;$F29,"△ Start is after Planned finish","○ Clear"),"○ Clear")))))</f>
        <v/>
      </c>
      <c r="K29" s="34">
        <f>IF($A29="","",IF($B29="Decision point",IF(AND(ISNUMBER($F29),$F29&gt;=K$6,$F29&lt;=DATE(YEAR(K$6),MONTH(K$6)+1,0)),"◆",""),IF($B29="Project",IF(AND(ISNUMBER($E29),ISNUMBER($F29),$E29&lt;=DATE(YEAR(K$6),MONTH(K$6)+1,0),$F29&gt;=K$6),"█",IF(AND(ISNUMBER($F29),ISNUMBER($G29),$G29&gt;$F29,K$6&lt;=$G29,DATE(YEAR(K$6),MONTH(K$6)+1,0)&gt;$F29),"░","")),"")))</f>
        <v/>
      </c>
      <c r="L29" s="34">
        <f>IF($A29="","",IF($B29="Decision point",IF(AND(ISNUMBER($F29),$F29&gt;=L$6,$F29&lt;=DATE(YEAR(L$6),MONTH(L$6)+1,0)),"◆",""),IF($B29="Project",IF(AND(ISNUMBER($E29),ISNUMBER($F29),$E29&lt;=DATE(YEAR(L$6),MONTH(L$6)+1,0),$F29&gt;=L$6),"█",IF(AND(ISNUMBER($F29),ISNUMBER($G29),$G29&gt;$F29,L$6&lt;=$G29,DATE(YEAR(L$6),MONTH(L$6)+1,0)&gt;$F29),"░","")),"")))</f>
        <v/>
      </c>
      <c r="M29" s="34">
        <f>IF($A29="","",IF($B29="Decision point",IF(AND(ISNUMBER($F29),$F29&gt;=M$6,$F29&lt;=DATE(YEAR(M$6),MONTH(M$6)+1,0)),"◆",""),IF($B29="Project",IF(AND(ISNUMBER($E29),ISNUMBER($F29),$E29&lt;=DATE(YEAR(M$6),MONTH(M$6)+1,0),$F29&gt;=M$6),"█",IF(AND(ISNUMBER($F29),ISNUMBER($G29),$G29&gt;$F29,M$6&lt;=$G29,DATE(YEAR(M$6),MONTH(M$6)+1,0)&gt;$F29),"░","")),"")))</f>
        <v/>
      </c>
      <c r="N29" s="34">
        <f>IF($A29="","",IF($B29="Decision point",IF(AND(ISNUMBER($F29),$F29&gt;=N$6,$F29&lt;=DATE(YEAR(N$6),MONTH(N$6)+1,0)),"◆",""),IF($B29="Project",IF(AND(ISNUMBER($E29),ISNUMBER($F29),$E29&lt;=DATE(YEAR(N$6),MONTH(N$6)+1,0),$F29&gt;=N$6),"█",IF(AND(ISNUMBER($F29),ISNUMBER($G29),$G29&gt;$F29,N$6&lt;=$G29,DATE(YEAR(N$6),MONTH(N$6)+1,0)&gt;$F29),"░","")),"")))</f>
        <v/>
      </c>
      <c r="O29" s="34">
        <f>IF($A29="","",IF($B29="Decision point",IF(AND(ISNUMBER($F29),$F29&gt;=O$6,$F29&lt;=DATE(YEAR(O$6),MONTH(O$6)+1,0)),"◆",""),IF($B29="Project",IF(AND(ISNUMBER($E29),ISNUMBER($F29),$E29&lt;=DATE(YEAR(O$6),MONTH(O$6)+1,0),$F29&gt;=O$6),"█",IF(AND(ISNUMBER($F29),ISNUMBER($G29),$G29&gt;$F29,O$6&lt;=$G29,DATE(YEAR(O$6),MONTH(O$6)+1,0)&gt;$F29),"░","")),"")))</f>
        <v/>
      </c>
      <c r="P29" s="34">
        <f>IF($A29="","",IF($B29="Decision point",IF(AND(ISNUMBER($F29),$F29&gt;=P$6,$F29&lt;=DATE(YEAR(P$6),MONTH(P$6)+1,0)),"◆",""),IF($B29="Project",IF(AND(ISNUMBER($E29),ISNUMBER($F29),$E29&lt;=DATE(YEAR(P$6),MONTH(P$6)+1,0),$F29&gt;=P$6),"█",IF(AND(ISNUMBER($F29),ISNUMBER($G29),$G29&gt;$F29,P$6&lt;=$G29,DATE(YEAR(P$6),MONTH(P$6)+1,0)&gt;$F29),"░","")),"")))</f>
        <v/>
      </c>
      <c r="Q29" s="34">
        <f>IF($A29="","",IF($B29="Decision point",IF(AND(ISNUMBER($F29),$F29&gt;=Q$6,$F29&lt;=DATE(YEAR(Q$6),MONTH(Q$6)+1,0)),"◆",""),IF($B29="Project",IF(AND(ISNUMBER($E29),ISNUMBER($F29),$E29&lt;=DATE(YEAR(Q$6),MONTH(Q$6)+1,0),$F29&gt;=Q$6),"█",IF(AND(ISNUMBER($F29),ISNUMBER($G29),$G29&gt;$F29,Q$6&lt;=$G29,DATE(YEAR(Q$6),MONTH(Q$6)+1,0)&gt;$F29),"░","")),"")))</f>
        <v/>
      </c>
      <c r="R29" s="34">
        <f>IF($A29="","",IF($B29="Decision point",IF(AND(ISNUMBER($F29),$F29&gt;=R$6,$F29&lt;=DATE(YEAR(R$6),MONTH(R$6)+1,0)),"◆",""),IF($B29="Project",IF(AND(ISNUMBER($E29),ISNUMBER($F29),$E29&lt;=DATE(YEAR(R$6),MONTH(R$6)+1,0),$F29&gt;=R$6),"█",IF(AND(ISNUMBER($F29),ISNUMBER($G29),$G29&gt;$F29,R$6&lt;=$G29,DATE(YEAR(R$6),MONTH(R$6)+1,0)&gt;$F29),"░","")),"")))</f>
        <v/>
      </c>
      <c r="S29" s="34">
        <f>IF($A29="","",IF($B29="Decision point",IF(AND(ISNUMBER($F29),$F29&gt;=S$6,$F29&lt;=DATE(YEAR(S$6),MONTH(S$6)+1,0)),"◆",""),IF($B29="Project",IF(AND(ISNUMBER($E29),ISNUMBER($F29),$E29&lt;=DATE(YEAR(S$6),MONTH(S$6)+1,0),$F29&gt;=S$6),"█",IF(AND(ISNUMBER($F29),ISNUMBER($G29),$G29&gt;$F29,S$6&lt;=$G29,DATE(YEAR(S$6),MONTH(S$6)+1,0)&gt;$F29),"░","")),"")))</f>
        <v/>
      </c>
      <c r="T29" s="34">
        <f>IF($A29="","",IF($B29="Decision point",IF(AND(ISNUMBER($F29),$F29&gt;=T$6,$F29&lt;=DATE(YEAR(T$6),MONTH(T$6)+1,0)),"◆",""),IF($B29="Project",IF(AND(ISNUMBER($E29),ISNUMBER($F29),$E29&lt;=DATE(YEAR(T$6),MONTH(T$6)+1,0),$F29&gt;=T$6),"█",IF(AND(ISNUMBER($F29),ISNUMBER($G29),$G29&gt;$F29,T$6&lt;=$G29,DATE(YEAR(T$6),MONTH(T$6)+1,0)&gt;$F29),"░","")),"")))</f>
        <v/>
      </c>
      <c r="U29" s="34">
        <f>IF($A29="","",IF($B29="Decision point",IF(AND(ISNUMBER($F29),$F29&gt;=U$6,$F29&lt;=DATE(YEAR(U$6),MONTH(U$6)+1,0)),"◆",""),IF($B29="Project",IF(AND(ISNUMBER($E29),ISNUMBER($F29),$E29&lt;=DATE(YEAR(U$6),MONTH(U$6)+1,0),$F29&gt;=U$6),"█",IF(AND(ISNUMBER($F29),ISNUMBER($G29),$G29&gt;$F29,U$6&lt;=$G29,DATE(YEAR(U$6),MONTH(U$6)+1,0)&gt;$F29),"░","")),"")))</f>
        <v/>
      </c>
      <c r="V29" s="34">
        <f>IF($A29="","",IF($B29="Decision point",IF(AND(ISNUMBER($F29),$F29&gt;=V$6,$F29&lt;=DATE(YEAR(V$6),MONTH(V$6)+1,0)),"◆",""),IF($B29="Project",IF(AND(ISNUMBER($E29),ISNUMBER($F29),$E29&lt;=DATE(YEAR(V$6),MONTH(V$6)+1,0),$F29&gt;=V$6),"█",IF(AND(ISNUMBER($F29),ISNUMBER($G29),$G29&gt;$F29,V$6&lt;=$G29,DATE(YEAR(V$6),MONTH(V$6)+1,0)&gt;$F29),"░","")),"")))</f>
        <v/>
      </c>
      <c r="W29" s="34">
        <f>IF($A29="","",IF($B29="Decision point",IF(AND(ISNUMBER($F29),$F29&gt;=W$6,$F29&lt;=DATE(YEAR(W$6),MONTH(W$6)+1,0)),"◆",""),IF($B29="Project",IF(AND(ISNUMBER($E29),ISNUMBER($F29),$E29&lt;=DATE(YEAR(W$6),MONTH(W$6)+1,0),$F29&gt;=W$6),"█",IF(AND(ISNUMBER($F29),ISNUMBER($G29),$G29&gt;$F29,W$6&lt;=$G29,DATE(YEAR(W$6),MONTH(W$6)+1,0)&gt;$F29),"░","")),"")))</f>
        <v/>
      </c>
      <c r="X29" s="34">
        <f>IF($A29="","",IF($B29="Decision point",IF(AND(ISNUMBER($F29),$F29&gt;=X$6,$F29&lt;=DATE(YEAR(X$6),MONTH(X$6)+1,0)),"◆",""),IF($B29="Project",IF(AND(ISNUMBER($E29),ISNUMBER($F29),$E29&lt;=DATE(YEAR(X$6),MONTH(X$6)+1,0),$F29&gt;=X$6),"█",IF(AND(ISNUMBER($F29),ISNUMBER($G29),$G29&gt;$F29,X$6&lt;=$G29,DATE(YEAR(X$6),MONTH(X$6)+1,0)&gt;$F29),"░","")),"")))</f>
        <v/>
      </c>
      <c r="Y29" s="34">
        <f>IF($AE29=1,"▶",IF($A29="","",IF($B29="Decision point",IF(AND(ISNUMBER($F29),$F29&gt;=Y$6,$F29&lt;=DATE(YEAR(Y$6),MONTH(Y$6)+1,0)),"◆",""),IF($B29="Project",IF(AND(ISNUMBER($E29),ISNUMBER($F29),$E29&lt;=DATE(YEAR(Y$6),MONTH(Y$6)+1,0),$F29&gt;=Y$6),"█",IF(AND(ISNUMBER($F29),ISNUMBER($G29),$G29&gt;$F29,Y$6&lt;=$G29,DATE(YEAR(Y$6),MONTH(Y$6)+1,0)&gt;$F29),"░","")),""))))</f>
        <v/>
      </c>
      <c r="AA29" s="9">
        <f>IF(AND($B29="Project",OR($D29="Active",$D29="Paused"),ISNUMBER($G29)),$G29,"")</f>
        <v/>
      </c>
      <c r="AB29" s="9">
        <f>IF(AND($B29="Decision point",ISNUMBER($F29)),IF($F29&gt;=Dashboard!$B$16,$F29,""),"")</f>
        <v/>
      </c>
      <c r="AC29" s="9">
        <f>IF(LEFT($I29,1)="△",1,0)</f>
        <v/>
      </c>
      <c r="AD29" s="9">
        <f>IF(ISNUMBER($AB29),100000-$AB29,0)</f>
        <v/>
      </c>
      <c r="AE29" s="9">
        <f>IF($A29="",0,IF(OR(AND(ISNUMBER($F29),$F29&gt;DATE(YEAR($Y$6),MONTH($Y$6)+1,0)),AND($B29="Project",ISNUMBER($G29),$G29&gt;DATE(YEAR($Y$6),MONTH($Y$6)+1,0))),1,0))</f>
        <v/>
      </c>
    </row>
    <row r="30" ht="18" customHeight="1">
      <c r="A30" s="28" t="n"/>
      <c r="B30" s="28" t="n"/>
      <c r="C30" s="9">
        <f>IF($A30="","",IF(AND($B30="Project",$D30="Proposed"),"Proposed, so not counted until it's Active",IF($AE30=1,"Runs past the last month shown","")))</f>
        <v/>
      </c>
      <c r="D30" s="28" t="n"/>
      <c r="E30" s="14" t="n"/>
      <c r="F30" s="14" t="n"/>
      <c r="G30" s="14" t="n"/>
      <c r="H30" s="33">
        <f>IF($A30="","",IF(OR($B30&lt;&gt;"Project",$D30="Proposed",NOT(ISNUMBER($F30)),NOT(ISNUMBER($G30))),"",IF($G30&lt;=$F30,0,NETWORKDAYS($F30+1,$G30))))</f>
        <v/>
      </c>
      <c r="I30" s="9">
        <f>IF($A30="","",IF(SUMPRODUCT(--($A$7:$A$36=$A30))&gt;1,"△ Name used twice",IF(OR($B30="",NOT(ISNUMBER($F30))),"△ Kind or Planned finish missing",IF(AND($B30="Project",OR($D30="",AND($D30&lt;&gt;"Proposed",OR(NOT(ISNUMBER($E30)),NOT(ISNUMBER($G30)))))),"△ Status, Start or Latest forecast missing",IF(AND(ISNUMBER($E30),ISNUMBER($F30)),IF($E30&gt;$F30,"△ Start is after Planned finish","○ Clear"),"○ Clear")))))</f>
        <v/>
      </c>
      <c r="K30" s="34">
        <f>IF($A30="","",IF($B30="Decision point",IF(AND(ISNUMBER($F30),$F30&gt;=K$6,$F30&lt;=DATE(YEAR(K$6),MONTH(K$6)+1,0)),"◆",""),IF($B30="Project",IF(AND(ISNUMBER($E30),ISNUMBER($F30),$E30&lt;=DATE(YEAR(K$6),MONTH(K$6)+1,0),$F30&gt;=K$6),"█",IF(AND(ISNUMBER($F30),ISNUMBER($G30),$G30&gt;$F30,K$6&lt;=$G30,DATE(YEAR(K$6),MONTH(K$6)+1,0)&gt;$F30),"░","")),"")))</f>
        <v/>
      </c>
      <c r="L30" s="34">
        <f>IF($A30="","",IF($B30="Decision point",IF(AND(ISNUMBER($F30),$F30&gt;=L$6,$F30&lt;=DATE(YEAR(L$6),MONTH(L$6)+1,0)),"◆",""),IF($B30="Project",IF(AND(ISNUMBER($E30),ISNUMBER($F30),$E30&lt;=DATE(YEAR(L$6),MONTH(L$6)+1,0),$F30&gt;=L$6),"█",IF(AND(ISNUMBER($F30),ISNUMBER($G30),$G30&gt;$F30,L$6&lt;=$G30,DATE(YEAR(L$6),MONTH(L$6)+1,0)&gt;$F30),"░","")),"")))</f>
        <v/>
      </c>
      <c r="M30" s="34">
        <f>IF($A30="","",IF($B30="Decision point",IF(AND(ISNUMBER($F30),$F30&gt;=M$6,$F30&lt;=DATE(YEAR(M$6),MONTH(M$6)+1,0)),"◆",""),IF($B30="Project",IF(AND(ISNUMBER($E30),ISNUMBER($F30),$E30&lt;=DATE(YEAR(M$6),MONTH(M$6)+1,0),$F30&gt;=M$6),"█",IF(AND(ISNUMBER($F30),ISNUMBER($G30),$G30&gt;$F30,M$6&lt;=$G30,DATE(YEAR(M$6),MONTH(M$6)+1,0)&gt;$F30),"░","")),"")))</f>
        <v/>
      </c>
      <c r="N30" s="34">
        <f>IF($A30="","",IF($B30="Decision point",IF(AND(ISNUMBER($F30),$F30&gt;=N$6,$F30&lt;=DATE(YEAR(N$6),MONTH(N$6)+1,0)),"◆",""),IF($B30="Project",IF(AND(ISNUMBER($E30),ISNUMBER($F30),$E30&lt;=DATE(YEAR(N$6),MONTH(N$6)+1,0),$F30&gt;=N$6),"█",IF(AND(ISNUMBER($F30),ISNUMBER($G30),$G30&gt;$F30,N$6&lt;=$G30,DATE(YEAR(N$6),MONTH(N$6)+1,0)&gt;$F30),"░","")),"")))</f>
        <v/>
      </c>
      <c r="O30" s="34">
        <f>IF($A30="","",IF($B30="Decision point",IF(AND(ISNUMBER($F30),$F30&gt;=O$6,$F30&lt;=DATE(YEAR(O$6),MONTH(O$6)+1,0)),"◆",""),IF($B30="Project",IF(AND(ISNUMBER($E30),ISNUMBER($F30),$E30&lt;=DATE(YEAR(O$6),MONTH(O$6)+1,0),$F30&gt;=O$6),"█",IF(AND(ISNUMBER($F30),ISNUMBER($G30),$G30&gt;$F30,O$6&lt;=$G30,DATE(YEAR(O$6),MONTH(O$6)+1,0)&gt;$F30),"░","")),"")))</f>
        <v/>
      </c>
      <c r="P30" s="34">
        <f>IF($A30="","",IF($B30="Decision point",IF(AND(ISNUMBER($F30),$F30&gt;=P$6,$F30&lt;=DATE(YEAR(P$6),MONTH(P$6)+1,0)),"◆",""),IF($B30="Project",IF(AND(ISNUMBER($E30),ISNUMBER($F30),$E30&lt;=DATE(YEAR(P$6),MONTH(P$6)+1,0),$F30&gt;=P$6),"█",IF(AND(ISNUMBER($F30),ISNUMBER($G30),$G30&gt;$F30,P$6&lt;=$G30,DATE(YEAR(P$6),MONTH(P$6)+1,0)&gt;$F30),"░","")),"")))</f>
        <v/>
      </c>
      <c r="Q30" s="34">
        <f>IF($A30="","",IF($B30="Decision point",IF(AND(ISNUMBER($F30),$F30&gt;=Q$6,$F30&lt;=DATE(YEAR(Q$6),MONTH(Q$6)+1,0)),"◆",""),IF($B30="Project",IF(AND(ISNUMBER($E30),ISNUMBER($F30),$E30&lt;=DATE(YEAR(Q$6),MONTH(Q$6)+1,0),$F30&gt;=Q$6),"█",IF(AND(ISNUMBER($F30),ISNUMBER($G30),$G30&gt;$F30,Q$6&lt;=$G30,DATE(YEAR(Q$6),MONTH(Q$6)+1,0)&gt;$F30),"░","")),"")))</f>
        <v/>
      </c>
      <c r="R30" s="34">
        <f>IF($A30="","",IF($B30="Decision point",IF(AND(ISNUMBER($F30),$F30&gt;=R$6,$F30&lt;=DATE(YEAR(R$6),MONTH(R$6)+1,0)),"◆",""),IF($B30="Project",IF(AND(ISNUMBER($E30),ISNUMBER($F30),$E30&lt;=DATE(YEAR(R$6),MONTH(R$6)+1,0),$F30&gt;=R$6),"█",IF(AND(ISNUMBER($F30),ISNUMBER($G30),$G30&gt;$F30,R$6&lt;=$G30,DATE(YEAR(R$6),MONTH(R$6)+1,0)&gt;$F30),"░","")),"")))</f>
        <v/>
      </c>
      <c r="S30" s="34">
        <f>IF($A30="","",IF($B30="Decision point",IF(AND(ISNUMBER($F30),$F30&gt;=S$6,$F30&lt;=DATE(YEAR(S$6),MONTH(S$6)+1,0)),"◆",""),IF($B30="Project",IF(AND(ISNUMBER($E30),ISNUMBER($F30),$E30&lt;=DATE(YEAR(S$6),MONTH(S$6)+1,0),$F30&gt;=S$6),"█",IF(AND(ISNUMBER($F30),ISNUMBER($G30),$G30&gt;$F30,S$6&lt;=$G30,DATE(YEAR(S$6),MONTH(S$6)+1,0)&gt;$F30),"░","")),"")))</f>
        <v/>
      </c>
      <c r="T30" s="34">
        <f>IF($A30="","",IF($B30="Decision point",IF(AND(ISNUMBER($F30),$F30&gt;=T$6,$F30&lt;=DATE(YEAR(T$6),MONTH(T$6)+1,0)),"◆",""),IF($B30="Project",IF(AND(ISNUMBER($E30),ISNUMBER($F30),$E30&lt;=DATE(YEAR(T$6),MONTH(T$6)+1,0),$F30&gt;=T$6),"█",IF(AND(ISNUMBER($F30),ISNUMBER($G30),$G30&gt;$F30,T$6&lt;=$G30,DATE(YEAR(T$6),MONTH(T$6)+1,0)&gt;$F30),"░","")),"")))</f>
        <v/>
      </c>
      <c r="U30" s="34">
        <f>IF($A30="","",IF($B30="Decision point",IF(AND(ISNUMBER($F30),$F30&gt;=U$6,$F30&lt;=DATE(YEAR(U$6),MONTH(U$6)+1,0)),"◆",""),IF($B30="Project",IF(AND(ISNUMBER($E30),ISNUMBER($F30),$E30&lt;=DATE(YEAR(U$6),MONTH(U$6)+1,0),$F30&gt;=U$6),"█",IF(AND(ISNUMBER($F30),ISNUMBER($G30),$G30&gt;$F30,U$6&lt;=$G30,DATE(YEAR(U$6),MONTH(U$6)+1,0)&gt;$F30),"░","")),"")))</f>
        <v/>
      </c>
      <c r="V30" s="34">
        <f>IF($A30="","",IF($B30="Decision point",IF(AND(ISNUMBER($F30),$F30&gt;=V$6,$F30&lt;=DATE(YEAR(V$6),MONTH(V$6)+1,0)),"◆",""),IF($B30="Project",IF(AND(ISNUMBER($E30),ISNUMBER($F30),$E30&lt;=DATE(YEAR(V$6),MONTH(V$6)+1,0),$F30&gt;=V$6),"█",IF(AND(ISNUMBER($F30),ISNUMBER($G30),$G30&gt;$F30,V$6&lt;=$G30,DATE(YEAR(V$6),MONTH(V$6)+1,0)&gt;$F30),"░","")),"")))</f>
        <v/>
      </c>
      <c r="W30" s="34">
        <f>IF($A30="","",IF($B30="Decision point",IF(AND(ISNUMBER($F30),$F30&gt;=W$6,$F30&lt;=DATE(YEAR(W$6),MONTH(W$6)+1,0)),"◆",""),IF($B30="Project",IF(AND(ISNUMBER($E30),ISNUMBER($F30),$E30&lt;=DATE(YEAR(W$6),MONTH(W$6)+1,0),$F30&gt;=W$6),"█",IF(AND(ISNUMBER($F30),ISNUMBER($G30),$G30&gt;$F30,W$6&lt;=$G30,DATE(YEAR(W$6),MONTH(W$6)+1,0)&gt;$F30),"░","")),"")))</f>
        <v/>
      </c>
      <c r="X30" s="34">
        <f>IF($A30="","",IF($B30="Decision point",IF(AND(ISNUMBER($F30),$F30&gt;=X$6,$F30&lt;=DATE(YEAR(X$6),MONTH(X$6)+1,0)),"◆",""),IF($B30="Project",IF(AND(ISNUMBER($E30),ISNUMBER($F30),$E30&lt;=DATE(YEAR(X$6),MONTH(X$6)+1,0),$F30&gt;=X$6),"█",IF(AND(ISNUMBER($F30),ISNUMBER($G30),$G30&gt;$F30,X$6&lt;=$G30,DATE(YEAR(X$6),MONTH(X$6)+1,0)&gt;$F30),"░","")),"")))</f>
        <v/>
      </c>
      <c r="Y30" s="34">
        <f>IF($AE30=1,"▶",IF($A30="","",IF($B30="Decision point",IF(AND(ISNUMBER($F30),$F30&gt;=Y$6,$F30&lt;=DATE(YEAR(Y$6),MONTH(Y$6)+1,0)),"◆",""),IF($B30="Project",IF(AND(ISNUMBER($E30),ISNUMBER($F30),$E30&lt;=DATE(YEAR(Y$6),MONTH(Y$6)+1,0),$F30&gt;=Y$6),"█",IF(AND(ISNUMBER($F30),ISNUMBER($G30),$G30&gt;$F30,Y$6&lt;=$G30,DATE(YEAR(Y$6),MONTH(Y$6)+1,0)&gt;$F30),"░","")),""))))</f>
        <v/>
      </c>
      <c r="AA30" s="9">
        <f>IF(AND($B30="Project",OR($D30="Active",$D30="Paused"),ISNUMBER($G30)),$G30,"")</f>
        <v/>
      </c>
      <c r="AB30" s="9">
        <f>IF(AND($B30="Decision point",ISNUMBER($F30)),IF($F30&gt;=Dashboard!$B$16,$F30,""),"")</f>
        <v/>
      </c>
      <c r="AC30" s="9">
        <f>IF(LEFT($I30,1)="△",1,0)</f>
        <v/>
      </c>
      <c r="AD30" s="9">
        <f>IF(ISNUMBER($AB30),100000-$AB30,0)</f>
        <v/>
      </c>
      <c r="AE30" s="9">
        <f>IF($A30="",0,IF(OR(AND(ISNUMBER($F30),$F30&gt;DATE(YEAR($Y$6),MONTH($Y$6)+1,0)),AND($B30="Project",ISNUMBER($G30),$G30&gt;DATE(YEAR($Y$6),MONTH($Y$6)+1,0))),1,0))</f>
        <v/>
      </c>
    </row>
    <row r="31" ht="18" customHeight="1">
      <c r="A31" s="28" t="n"/>
      <c r="B31" s="28" t="n"/>
      <c r="C31" s="9">
        <f>IF($A31="","",IF(AND($B31="Project",$D31="Proposed"),"Proposed, so not counted until it's Active",IF($AE31=1,"Runs past the last month shown","")))</f>
        <v/>
      </c>
      <c r="D31" s="28" t="n"/>
      <c r="E31" s="14" t="n"/>
      <c r="F31" s="14" t="n"/>
      <c r="G31" s="14" t="n"/>
      <c r="H31" s="33">
        <f>IF($A31="","",IF(OR($B31&lt;&gt;"Project",$D31="Proposed",NOT(ISNUMBER($F31)),NOT(ISNUMBER($G31))),"",IF($G31&lt;=$F31,0,NETWORKDAYS($F31+1,$G31))))</f>
        <v/>
      </c>
      <c r="I31" s="9">
        <f>IF($A31="","",IF(SUMPRODUCT(--($A$7:$A$36=$A31))&gt;1,"△ Name used twice",IF(OR($B31="",NOT(ISNUMBER($F31))),"△ Kind or Planned finish missing",IF(AND($B31="Project",OR($D31="",AND($D31&lt;&gt;"Proposed",OR(NOT(ISNUMBER($E31)),NOT(ISNUMBER($G31)))))),"△ Status, Start or Latest forecast missing",IF(AND(ISNUMBER($E31),ISNUMBER($F31)),IF($E31&gt;$F31,"△ Start is after Planned finish","○ Clear"),"○ Clear")))))</f>
        <v/>
      </c>
      <c r="K31" s="34">
        <f>IF($A31="","",IF($B31="Decision point",IF(AND(ISNUMBER($F31),$F31&gt;=K$6,$F31&lt;=DATE(YEAR(K$6),MONTH(K$6)+1,0)),"◆",""),IF($B31="Project",IF(AND(ISNUMBER($E31),ISNUMBER($F31),$E31&lt;=DATE(YEAR(K$6),MONTH(K$6)+1,0),$F31&gt;=K$6),"█",IF(AND(ISNUMBER($F31),ISNUMBER($G31),$G31&gt;$F31,K$6&lt;=$G31,DATE(YEAR(K$6),MONTH(K$6)+1,0)&gt;$F31),"░","")),"")))</f>
        <v/>
      </c>
      <c r="L31" s="34">
        <f>IF($A31="","",IF($B31="Decision point",IF(AND(ISNUMBER($F31),$F31&gt;=L$6,$F31&lt;=DATE(YEAR(L$6),MONTH(L$6)+1,0)),"◆",""),IF($B31="Project",IF(AND(ISNUMBER($E31),ISNUMBER($F31),$E31&lt;=DATE(YEAR(L$6),MONTH(L$6)+1,0),$F31&gt;=L$6),"█",IF(AND(ISNUMBER($F31),ISNUMBER($G31),$G31&gt;$F31,L$6&lt;=$G31,DATE(YEAR(L$6),MONTH(L$6)+1,0)&gt;$F31),"░","")),"")))</f>
        <v/>
      </c>
      <c r="M31" s="34">
        <f>IF($A31="","",IF($B31="Decision point",IF(AND(ISNUMBER($F31),$F31&gt;=M$6,$F31&lt;=DATE(YEAR(M$6),MONTH(M$6)+1,0)),"◆",""),IF($B31="Project",IF(AND(ISNUMBER($E31),ISNUMBER($F31),$E31&lt;=DATE(YEAR(M$6),MONTH(M$6)+1,0),$F31&gt;=M$6),"█",IF(AND(ISNUMBER($F31),ISNUMBER($G31),$G31&gt;$F31,M$6&lt;=$G31,DATE(YEAR(M$6),MONTH(M$6)+1,0)&gt;$F31),"░","")),"")))</f>
        <v/>
      </c>
      <c r="N31" s="34">
        <f>IF($A31="","",IF($B31="Decision point",IF(AND(ISNUMBER($F31),$F31&gt;=N$6,$F31&lt;=DATE(YEAR(N$6),MONTH(N$6)+1,0)),"◆",""),IF($B31="Project",IF(AND(ISNUMBER($E31),ISNUMBER($F31),$E31&lt;=DATE(YEAR(N$6),MONTH(N$6)+1,0),$F31&gt;=N$6),"█",IF(AND(ISNUMBER($F31),ISNUMBER($G31),$G31&gt;$F31,N$6&lt;=$G31,DATE(YEAR(N$6),MONTH(N$6)+1,0)&gt;$F31),"░","")),"")))</f>
        <v/>
      </c>
      <c r="O31" s="34">
        <f>IF($A31="","",IF($B31="Decision point",IF(AND(ISNUMBER($F31),$F31&gt;=O$6,$F31&lt;=DATE(YEAR(O$6),MONTH(O$6)+1,0)),"◆",""),IF($B31="Project",IF(AND(ISNUMBER($E31),ISNUMBER($F31),$E31&lt;=DATE(YEAR(O$6),MONTH(O$6)+1,0),$F31&gt;=O$6),"█",IF(AND(ISNUMBER($F31),ISNUMBER($G31),$G31&gt;$F31,O$6&lt;=$G31,DATE(YEAR(O$6),MONTH(O$6)+1,0)&gt;$F31),"░","")),"")))</f>
        <v/>
      </c>
      <c r="P31" s="34">
        <f>IF($A31="","",IF($B31="Decision point",IF(AND(ISNUMBER($F31),$F31&gt;=P$6,$F31&lt;=DATE(YEAR(P$6),MONTH(P$6)+1,0)),"◆",""),IF($B31="Project",IF(AND(ISNUMBER($E31),ISNUMBER($F31),$E31&lt;=DATE(YEAR(P$6),MONTH(P$6)+1,0),$F31&gt;=P$6),"█",IF(AND(ISNUMBER($F31),ISNUMBER($G31),$G31&gt;$F31,P$6&lt;=$G31,DATE(YEAR(P$6),MONTH(P$6)+1,0)&gt;$F31),"░","")),"")))</f>
        <v/>
      </c>
      <c r="Q31" s="34">
        <f>IF($A31="","",IF($B31="Decision point",IF(AND(ISNUMBER($F31),$F31&gt;=Q$6,$F31&lt;=DATE(YEAR(Q$6),MONTH(Q$6)+1,0)),"◆",""),IF($B31="Project",IF(AND(ISNUMBER($E31),ISNUMBER($F31),$E31&lt;=DATE(YEAR(Q$6),MONTH(Q$6)+1,0),$F31&gt;=Q$6),"█",IF(AND(ISNUMBER($F31),ISNUMBER($G31),$G31&gt;$F31,Q$6&lt;=$G31,DATE(YEAR(Q$6),MONTH(Q$6)+1,0)&gt;$F31),"░","")),"")))</f>
        <v/>
      </c>
      <c r="R31" s="34">
        <f>IF($A31="","",IF($B31="Decision point",IF(AND(ISNUMBER($F31),$F31&gt;=R$6,$F31&lt;=DATE(YEAR(R$6),MONTH(R$6)+1,0)),"◆",""),IF($B31="Project",IF(AND(ISNUMBER($E31),ISNUMBER($F31),$E31&lt;=DATE(YEAR(R$6),MONTH(R$6)+1,0),$F31&gt;=R$6),"█",IF(AND(ISNUMBER($F31),ISNUMBER($G31),$G31&gt;$F31,R$6&lt;=$G31,DATE(YEAR(R$6),MONTH(R$6)+1,0)&gt;$F31),"░","")),"")))</f>
        <v/>
      </c>
      <c r="S31" s="34">
        <f>IF($A31="","",IF($B31="Decision point",IF(AND(ISNUMBER($F31),$F31&gt;=S$6,$F31&lt;=DATE(YEAR(S$6),MONTH(S$6)+1,0)),"◆",""),IF($B31="Project",IF(AND(ISNUMBER($E31),ISNUMBER($F31),$E31&lt;=DATE(YEAR(S$6),MONTH(S$6)+1,0),$F31&gt;=S$6),"█",IF(AND(ISNUMBER($F31),ISNUMBER($G31),$G31&gt;$F31,S$6&lt;=$G31,DATE(YEAR(S$6),MONTH(S$6)+1,0)&gt;$F31),"░","")),"")))</f>
        <v/>
      </c>
      <c r="T31" s="34">
        <f>IF($A31="","",IF($B31="Decision point",IF(AND(ISNUMBER($F31),$F31&gt;=T$6,$F31&lt;=DATE(YEAR(T$6),MONTH(T$6)+1,0)),"◆",""),IF($B31="Project",IF(AND(ISNUMBER($E31),ISNUMBER($F31),$E31&lt;=DATE(YEAR(T$6),MONTH(T$6)+1,0),$F31&gt;=T$6),"█",IF(AND(ISNUMBER($F31),ISNUMBER($G31),$G31&gt;$F31,T$6&lt;=$G31,DATE(YEAR(T$6),MONTH(T$6)+1,0)&gt;$F31),"░","")),"")))</f>
        <v/>
      </c>
      <c r="U31" s="34">
        <f>IF($A31="","",IF($B31="Decision point",IF(AND(ISNUMBER($F31),$F31&gt;=U$6,$F31&lt;=DATE(YEAR(U$6),MONTH(U$6)+1,0)),"◆",""),IF($B31="Project",IF(AND(ISNUMBER($E31),ISNUMBER($F31),$E31&lt;=DATE(YEAR(U$6),MONTH(U$6)+1,0),$F31&gt;=U$6),"█",IF(AND(ISNUMBER($F31),ISNUMBER($G31),$G31&gt;$F31,U$6&lt;=$G31,DATE(YEAR(U$6),MONTH(U$6)+1,0)&gt;$F31),"░","")),"")))</f>
        <v/>
      </c>
      <c r="V31" s="34">
        <f>IF($A31="","",IF($B31="Decision point",IF(AND(ISNUMBER($F31),$F31&gt;=V$6,$F31&lt;=DATE(YEAR(V$6),MONTH(V$6)+1,0)),"◆",""),IF($B31="Project",IF(AND(ISNUMBER($E31),ISNUMBER($F31),$E31&lt;=DATE(YEAR(V$6),MONTH(V$6)+1,0),$F31&gt;=V$6),"█",IF(AND(ISNUMBER($F31),ISNUMBER($G31),$G31&gt;$F31,V$6&lt;=$G31,DATE(YEAR(V$6),MONTH(V$6)+1,0)&gt;$F31),"░","")),"")))</f>
        <v/>
      </c>
      <c r="W31" s="34">
        <f>IF($A31="","",IF($B31="Decision point",IF(AND(ISNUMBER($F31),$F31&gt;=W$6,$F31&lt;=DATE(YEAR(W$6),MONTH(W$6)+1,0)),"◆",""),IF($B31="Project",IF(AND(ISNUMBER($E31),ISNUMBER($F31),$E31&lt;=DATE(YEAR(W$6),MONTH(W$6)+1,0),$F31&gt;=W$6),"█",IF(AND(ISNUMBER($F31),ISNUMBER($G31),$G31&gt;$F31,W$6&lt;=$G31,DATE(YEAR(W$6),MONTH(W$6)+1,0)&gt;$F31),"░","")),"")))</f>
        <v/>
      </c>
      <c r="X31" s="34">
        <f>IF($A31="","",IF($B31="Decision point",IF(AND(ISNUMBER($F31),$F31&gt;=X$6,$F31&lt;=DATE(YEAR(X$6),MONTH(X$6)+1,0)),"◆",""),IF($B31="Project",IF(AND(ISNUMBER($E31),ISNUMBER($F31),$E31&lt;=DATE(YEAR(X$6),MONTH(X$6)+1,0),$F31&gt;=X$6),"█",IF(AND(ISNUMBER($F31),ISNUMBER($G31),$G31&gt;$F31,X$6&lt;=$G31,DATE(YEAR(X$6),MONTH(X$6)+1,0)&gt;$F31),"░","")),"")))</f>
        <v/>
      </c>
      <c r="Y31" s="34">
        <f>IF($AE31=1,"▶",IF($A31="","",IF($B31="Decision point",IF(AND(ISNUMBER($F31),$F31&gt;=Y$6,$F31&lt;=DATE(YEAR(Y$6),MONTH(Y$6)+1,0)),"◆",""),IF($B31="Project",IF(AND(ISNUMBER($E31),ISNUMBER($F31),$E31&lt;=DATE(YEAR(Y$6),MONTH(Y$6)+1,0),$F31&gt;=Y$6),"█",IF(AND(ISNUMBER($F31),ISNUMBER($G31),$G31&gt;$F31,Y$6&lt;=$G31,DATE(YEAR(Y$6),MONTH(Y$6)+1,0)&gt;$F31),"░","")),""))))</f>
        <v/>
      </c>
      <c r="AA31" s="9">
        <f>IF(AND($B31="Project",OR($D31="Active",$D31="Paused"),ISNUMBER($G31)),$G31,"")</f>
        <v/>
      </c>
      <c r="AB31" s="9">
        <f>IF(AND($B31="Decision point",ISNUMBER($F31)),IF($F31&gt;=Dashboard!$B$16,$F31,""),"")</f>
        <v/>
      </c>
      <c r="AC31" s="9">
        <f>IF(LEFT($I31,1)="△",1,0)</f>
        <v/>
      </c>
      <c r="AD31" s="9">
        <f>IF(ISNUMBER($AB31),100000-$AB31,0)</f>
        <v/>
      </c>
      <c r="AE31" s="9">
        <f>IF($A31="",0,IF(OR(AND(ISNUMBER($F31),$F31&gt;DATE(YEAR($Y$6),MONTH($Y$6)+1,0)),AND($B31="Project",ISNUMBER($G31),$G31&gt;DATE(YEAR($Y$6),MONTH($Y$6)+1,0))),1,0))</f>
        <v/>
      </c>
    </row>
    <row r="32" ht="18" customHeight="1">
      <c r="A32" s="28" t="n"/>
      <c r="B32" s="28" t="n"/>
      <c r="C32" s="9">
        <f>IF($A32="","",IF(AND($B32="Project",$D32="Proposed"),"Proposed, so not counted until it's Active",IF($AE32=1,"Runs past the last month shown","")))</f>
        <v/>
      </c>
      <c r="D32" s="28" t="n"/>
      <c r="E32" s="14" t="n"/>
      <c r="F32" s="14" t="n"/>
      <c r="G32" s="14" t="n"/>
      <c r="H32" s="33">
        <f>IF($A32="","",IF(OR($B32&lt;&gt;"Project",$D32="Proposed",NOT(ISNUMBER($F32)),NOT(ISNUMBER($G32))),"",IF($G32&lt;=$F32,0,NETWORKDAYS($F32+1,$G32))))</f>
        <v/>
      </c>
      <c r="I32" s="9">
        <f>IF($A32="","",IF(SUMPRODUCT(--($A$7:$A$36=$A32))&gt;1,"△ Name used twice",IF(OR($B32="",NOT(ISNUMBER($F32))),"△ Kind or Planned finish missing",IF(AND($B32="Project",OR($D32="",AND($D32&lt;&gt;"Proposed",OR(NOT(ISNUMBER($E32)),NOT(ISNUMBER($G32)))))),"△ Status, Start or Latest forecast missing",IF(AND(ISNUMBER($E32),ISNUMBER($F32)),IF($E32&gt;$F32,"△ Start is after Planned finish","○ Clear"),"○ Clear")))))</f>
        <v/>
      </c>
      <c r="K32" s="34">
        <f>IF($A32="","",IF($B32="Decision point",IF(AND(ISNUMBER($F32),$F32&gt;=K$6,$F32&lt;=DATE(YEAR(K$6),MONTH(K$6)+1,0)),"◆",""),IF($B32="Project",IF(AND(ISNUMBER($E32),ISNUMBER($F32),$E32&lt;=DATE(YEAR(K$6),MONTH(K$6)+1,0),$F32&gt;=K$6),"█",IF(AND(ISNUMBER($F32),ISNUMBER($G32),$G32&gt;$F32,K$6&lt;=$G32,DATE(YEAR(K$6),MONTH(K$6)+1,0)&gt;$F32),"░","")),"")))</f>
        <v/>
      </c>
      <c r="L32" s="34">
        <f>IF($A32="","",IF($B32="Decision point",IF(AND(ISNUMBER($F32),$F32&gt;=L$6,$F32&lt;=DATE(YEAR(L$6),MONTH(L$6)+1,0)),"◆",""),IF($B32="Project",IF(AND(ISNUMBER($E32),ISNUMBER($F32),$E32&lt;=DATE(YEAR(L$6),MONTH(L$6)+1,0),$F32&gt;=L$6),"█",IF(AND(ISNUMBER($F32),ISNUMBER($G32),$G32&gt;$F32,L$6&lt;=$G32,DATE(YEAR(L$6),MONTH(L$6)+1,0)&gt;$F32),"░","")),"")))</f>
        <v/>
      </c>
      <c r="M32" s="34">
        <f>IF($A32="","",IF($B32="Decision point",IF(AND(ISNUMBER($F32),$F32&gt;=M$6,$F32&lt;=DATE(YEAR(M$6),MONTH(M$6)+1,0)),"◆",""),IF($B32="Project",IF(AND(ISNUMBER($E32),ISNUMBER($F32),$E32&lt;=DATE(YEAR(M$6),MONTH(M$6)+1,0),$F32&gt;=M$6),"█",IF(AND(ISNUMBER($F32),ISNUMBER($G32),$G32&gt;$F32,M$6&lt;=$G32,DATE(YEAR(M$6),MONTH(M$6)+1,0)&gt;$F32),"░","")),"")))</f>
        <v/>
      </c>
      <c r="N32" s="34">
        <f>IF($A32="","",IF($B32="Decision point",IF(AND(ISNUMBER($F32),$F32&gt;=N$6,$F32&lt;=DATE(YEAR(N$6),MONTH(N$6)+1,0)),"◆",""),IF($B32="Project",IF(AND(ISNUMBER($E32),ISNUMBER($F32),$E32&lt;=DATE(YEAR(N$6),MONTH(N$6)+1,0),$F32&gt;=N$6),"█",IF(AND(ISNUMBER($F32),ISNUMBER($G32),$G32&gt;$F32,N$6&lt;=$G32,DATE(YEAR(N$6),MONTH(N$6)+1,0)&gt;$F32),"░","")),"")))</f>
        <v/>
      </c>
      <c r="O32" s="34">
        <f>IF($A32="","",IF($B32="Decision point",IF(AND(ISNUMBER($F32),$F32&gt;=O$6,$F32&lt;=DATE(YEAR(O$6),MONTH(O$6)+1,0)),"◆",""),IF($B32="Project",IF(AND(ISNUMBER($E32),ISNUMBER($F32),$E32&lt;=DATE(YEAR(O$6),MONTH(O$6)+1,0),$F32&gt;=O$6),"█",IF(AND(ISNUMBER($F32),ISNUMBER($G32),$G32&gt;$F32,O$6&lt;=$G32,DATE(YEAR(O$6),MONTH(O$6)+1,0)&gt;$F32),"░","")),"")))</f>
        <v/>
      </c>
      <c r="P32" s="34">
        <f>IF($A32="","",IF($B32="Decision point",IF(AND(ISNUMBER($F32),$F32&gt;=P$6,$F32&lt;=DATE(YEAR(P$6),MONTH(P$6)+1,0)),"◆",""),IF($B32="Project",IF(AND(ISNUMBER($E32),ISNUMBER($F32),$E32&lt;=DATE(YEAR(P$6),MONTH(P$6)+1,0),$F32&gt;=P$6),"█",IF(AND(ISNUMBER($F32),ISNUMBER($G32),$G32&gt;$F32,P$6&lt;=$G32,DATE(YEAR(P$6),MONTH(P$6)+1,0)&gt;$F32),"░","")),"")))</f>
        <v/>
      </c>
      <c r="Q32" s="34">
        <f>IF($A32="","",IF($B32="Decision point",IF(AND(ISNUMBER($F32),$F32&gt;=Q$6,$F32&lt;=DATE(YEAR(Q$6),MONTH(Q$6)+1,0)),"◆",""),IF($B32="Project",IF(AND(ISNUMBER($E32),ISNUMBER($F32),$E32&lt;=DATE(YEAR(Q$6),MONTH(Q$6)+1,0),$F32&gt;=Q$6),"█",IF(AND(ISNUMBER($F32),ISNUMBER($G32),$G32&gt;$F32,Q$6&lt;=$G32,DATE(YEAR(Q$6),MONTH(Q$6)+1,0)&gt;$F32),"░","")),"")))</f>
        <v/>
      </c>
      <c r="R32" s="34">
        <f>IF($A32="","",IF($B32="Decision point",IF(AND(ISNUMBER($F32),$F32&gt;=R$6,$F32&lt;=DATE(YEAR(R$6),MONTH(R$6)+1,0)),"◆",""),IF($B32="Project",IF(AND(ISNUMBER($E32),ISNUMBER($F32),$E32&lt;=DATE(YEAR(R$6),MONTH(R$6)+1,0),$F32&gt;=R$6),"█",IF(AND(ISNUMBER($F32),ISNUMBER($G32),$G32&gt;$F32,R$6&lt;=$G32,DATE(YEAR(R$6),MONTH(R$6)+1,0)&gt;$F32),"░","")),"")))</f>
        <v/>
      </c>
      <c r="S32" s="34">
        <f>IF($A32="","",IF($B32="Decision point",IF(AND(ISNUMBER($F32),$F32&gt;=S$6,$F32&lt;=DATE(YEAR(S$6),MONTH(S$6)+1,0)),"◆",""),IF($B32="Project",IF(AND(ISNUMBER($E32),ISNUMBER($F32),$E32&lt;=DATE(YEAR(S$6),MONTH(S$6)+1,0),$F32&gt;=S$6),"█",IF(AND(ISNUMBER($F32),ISNUMBER($G32),$G32&gt;$F32,S$6&lt;=$G32,DATE(YEAR(S$6),MONTH(S$6)+1,0)&gt;$F32),"░","")),"")))</f>
        <v/>
      </c>
      <c r="T32" s="34">
        <f>IF($A32="","",IF($B32="Decision point",IF(AND(ISNUMBER($F32),$F32&gt;=T$6,$F32&lt;=DATE(YEAR(T$6),MONTH(T$6)+1,0)),"◆",""),IF($B32="Project",IF(AND(ISNUMBER($E32),ISNUMBER($F32),$E32&lt;=DATE(YEAR(T$6),MONTH(T$6)+1,0),$F32&gt;=T$6),"█",IF(AND(ISNUMBER($F32),ISNUMBER($G32),$G32&gt;$F32,T$6&lt;=$G32,DATE(YEAR(T$6),MONTH(T$6)+1,0)&gt;$F32),"░","")),"")))</f>
        <v/>
      </c>
      <c r="U32" s="34">
        <f>IF($A32="","",IF($B32="Decision point",IF(AND(ISNUMBER($F32),$F32&gt;=U$6,$F32&lt;=DATE(YEAR(U$6),MONTH(U$6)+1,0)),"◆",""),IF($B32="Project",IF(AND(ISNUMBER($E32),ISNUMBER($F32),$E32&lt;=DATE(YEAR(U$6),MONTH(U$6)+1,0),$F32&gt;=U$6),"█",IF(AND(ISNUMBER($F32),ISNUMBER($G32),$G32&gt;$F32,U$6&lt;=$G32,DATE(YEAR(U$6),MONTH(U$6)+1,0)&gt;$F32),"░","")),"")))</f>
        <v/>
      </c>
      <c r="V32" s="34">
        <f>IF($A32="","",IF($B32="Decision point",IF(AND(ISNUMBER($F32),$F32&gt;=V$6,$F32&lt;=DATE(YEAR(V$6),MONTH(V$6)+1,0)),"◆",""),IF($B32="Project",IF(AND(ISNUMBER($E32),ISNUMBER($F32),$E32&lt;=DATE(YEAR(V$6),MONTH(V$6)+1,0),$F32&gt;=V$6),"█",IF(AND(ISNUMBER($F32),ISNUMBER($G32),$G32&gt;$F32,V$6&lt;=$G32,DATE(YEAR(V$6),MONTH(V$6)+1,0)&gt;$F32),"░","")),"")))</f>
        <v/>
      </c>
      <c r="W32" s="34">
        <f>IF($A32="","",IF($B32="Decision point",IF(AND(ISNUMBER($F32),$F32&gt;=W$6,$F32&lt;=DATE(YEAR(W$6),MONTH(W$6)+1,0)),"◆",""),IF($B32="Project",IF(AND(ISNUMBER($E32),ISNUMBER($F32),$E32&lt;=DATE(YEAR(W$6),MONTH(W$6)+1,0),$F32&gt;=W$6),"█",IF(AND(ISNUMBER($F32),ISNUMBER($G32),$G32&gt;$F32,W$6&lt;=$G32,DATE(YEAR(W$6),MONTH(W$6)+1,0)&gt;$F32),"░","")),"")))</f>
        <v/>
      </c>
      <c r="X32" s="34">
        <f>IF($A32="","",IF($B32="Decision point",IF(AND(ISNUMBER($F32),$F32&gt;=X$6,$F32&lt;=DATE(YEAR(X$6),MONTH(X$6)+1,0)),"◆",""),IF($B32="Project",IF(AND(ISNUMBER($E32),ISNUMBER($F32),$E32&lt;=DATE(YEAR(X$6),MONTH(X$6)+1,0),$F32&gt;=X$6),"█",IF(AND(ISNUMBER($F32),ISNUMBER($G32),$G32&gt;$F32,X$6&lt;=$G32,DATE(YEAR(X$6),MONTH(X$6)+1,0)&gt;$F32),"░","")),"")))</f>
        <v/>
      </c>
      <c r="Y32" s="34">
        <f>IF($AE32=1,"▶",IF($A32="","",IF($B32="Decision point",IF(AND(ISNUMBER($F32),$F32&gt;=Y$6,$F32&lt;=DATE(YEAR(Y$6),MONTH(Y$6)+1,0)),"◆",""),IF($B32="Project",IF(AND(ISNUMBER($E32),ISNUMBER($F32),$E32&lt;=DATE(YEAR(Y$6),MONTH(Y$6)+1,0),$F32&gt;=Y$6),"█",IF(AND(ISNUMBER($F32),ISNUMBER($G32),$G32&gt;$F32,Y$6&lt;=$G32,DATE(YEAR(Y$6),MONTH(Y$6)+1,0)&gt;$F32),"░","")),""))))</f>
        <v/>
      </c>
      <c r="AA32" s="9">
        <f>IF(AND($B32="Project",OR($D32="Active",$D32="Paused"),ISNUMBER($G32)),$G32,"")</f>
        <v/>
      </c>
      <c r="AB32" s="9">
        <f>IF(AND($B32="Decision point",ISNUMBER($F32)),IF($F32&gt;=Dashboard!$B$16,$F32,""),"")</f>
        <v/>
      </c>
      <c r="AC32" s="9">
        <f>IF(LEFT($I32,1)="△",1,0)</f>
        <v/>
      </c>
      <c r="AD32" s="9">
        <f>IF(ISNUMBER($AB32),100000-$AB32,0)</f>
        <v/>
      </c>
      <c r="AE32" s="9">
        <f>IF($A32="",0,IF(OR(AND(ISNUMBER($F32),$F32&gt;DATE(YEAR($Y$6),MONTH($Y$6)+1,0)),AND($B32="Project",ISNUMBER($G32),$G32&gt;DATE(YEAR($Y$6),MONTH($Y$6)+1,0))),1,0))</f>
        <v/>
      </c>
    </row>
    <row r="33" ht="18" customHeight="1">
      <c r="A33" s="28" t="n"/>
      <c r="B33" s="28" t="n"/>
      <c r="C33" s="9">
        <f>IF($A33="","",IF(AND($B33="Project",$D33="Proposed"),"Proposed, so not counted until it's Active",IF($AE33=1,"Runs past the last month shown","")))</f>
        <v/>
      </c>
      <c r="D33" s="28" t="n"/>
      <c r="E33" s="14" t="n"/>
      <c r="F33" s="14" t="n"/>
      <c r="G33" s="14" t="n"/>
      <c r="H33" s="33">
        <f>IF($A33="","",IF(OR($B33&lt;&gt;"Project",$D33="Proposed",NOT(ISNUMBER($F33)),NOT(ISNUMBER($G33))),"",IF($G33&lt;=$F33,0,NETWORKDAYS($F33+1,$G33))))</f>
        <v/>
      </c>
      <c r="I33" s="9">
        <f>IF($A33="","",IF(SUMPRODUCT(--($A$7:$A$36=$A33))&gt;1,"△ Name used twice",IF(OR($B33="",NOT(ISNUMBER($F33))),"△ Kind or Planned finish missing",IF(AND($B33="Project",OR($D33="",AND($D33&lt;&gt;"Proposed",OR(NOT(ISNUMBER($E33)),NOT(ISNUMBER($G33)))))),"△ Status, Start or Latest forecast missing",IF(AND(ISNUMBER($E33),ISNUMBER($F33)),IF($E33&gt;$F33,"△ Start is after Planned finish","○ Clear"),"○ Clear")))))</f>
        <v/>
      </c>
      <c r="K33" s="34">
        <f>IF($A33="","",IF($B33="Decision point",IF(AND(ISNUMBER($F33),$F33&gt;=K$6,$F33&lt;=DATE(YEAR(K$6),MONTH(K$6)+1,0)),"◆",""),IF($B33="Project",IF(AND(ISNUMBER($E33),ISNUMBER($F33),$E33&lt;=DATE(YEAR(K$6),MONTH(K$6)+1,0),$F33&gt;=K$6),"█",IF(AND(ISNUMBER($F33),ISNUMBER($G33),$G33&gt;$F33,K$6&lt;=$G33,DATE(YEAR(K$6),MONTH(K$6)+1,0)&gt;$F33),"░","")),"")))</f>
        <v/>
      </c>
      <c r="L33" s="34">
        <f>IF($A33="","",IF($B33="Decision point",IF(AND(ISNUMBER($F33),$F33&gt;=L$6,$F33&lt;=DATE(YEAR(L$6),MONTH(L$6)+1,0)),"◆",""),IF($B33="Project",IF(AND(ISNUMBER($E33),ISNUMBER($F33),$E33&lt;=DATE(YEAR(L$6),MONTH(L$6)+1,0),$F33&gt;=L$6),"█",IF(AND(ISNUMBER($F33),ISNUMBER($G33),$G33&gt;$F33,L$6&lt;=$G33,DATE(YEAR(L$6),MONTH(L$6)+1,0)&gt;$F33),"░","")),"")))</f>
        <v/>
      </c>
      <c r="M33" s="34">
        <f>IF($A33="","",IF($B33="Decision point",IF(AND(ISNUMBER($F33),$F33&gt;=M$6,$F33&lt;=DATE(YEAR(M$6),MONTH(M$6)+1,0)),"◆",""),IF($B33="Project",IF(AND(ISNUMBER($E33),ISNUMBER($F33),$E33&lt;=DATE(YEAR(M$6),MONTH(M$6)+1,0),$F33&gt;=M$6),"█",IF(AND(ISNUMBER($F33),ISNUMBER($G33),$G33&gt;$F33,M$6&lt;=$G33,DATE(YEAR(M$6),MONTH(M$6)+1,0)&gt;$F33),"░","")),"")))</f>
        <v/>
      </c>
      <c r="N33" s="34">
        <f>IF($A33="","",IF($B33="Decision point",IF(AND(ISNUMBER($F33),$F33&gt;=N$6,$F33&lt;=DATE(YEAR(N$6),MONTH(N$6)+1,0)),"◆",""),IF($B33="Project",IF(AND(ISNUMBER($E33),ISNUMBER($F33),$E33&lt;=DATE(YEAR(N$6),MONTH(N$6)+1,0),$F33&gt;=N$6),"█",IF(AND(ISNUMBER($F33),ISNUMBER($G33),$G33&gt;$F33,N$6&lt;=$G33,DATE(YEAR(N$6),MONTH(N$6)+1,0)&gt;$F33),"░","")),"")))</f>
        <v/>
      </c>
      <c r="O33" s="34">
        <f>IF($A33="","",IF($B33="Decision point",IF(AND(ISNUMBER($F33),$F33&gt;=O$6,$F33&lt;=DATE(YEAR(O$6),MONTH(O$6)+1,0)),"◆",""),IF($B33="Project",IF(AND(ISNUMBER($E33),ISNUMBER($F33),$E33&lt;=DATE(YEAR(O$6),MONTH(O$6)+1,0),$F33&gt;=O$6),"█",IF(AND(ISNUMBER($F33),ISNUMBER($G33),$G33&gt;$F33,O$6&lt;=$G33,DATE(YEAR(O$6),MONTH(O$6)+1,0)&gt;$F33),"░","")),"")))</f>
        <v/>
      </c>
      <c r="P33" s="34">
        <f>IF($A33="","",IF($B33="Decision point",IF(AND(ISNUMBER($F33),$F33&gt;=P$6,$F33&lt;=DATE(YEAR(P$6),MONTH(P$6)+1,0)),"◆",""),IF($B33="Project",IF(AND(ISNUMBER($E33),ISNUMBER($F33),$E33&lt;=DATE(YEAR(P$6),MONTH(P$6)+1,0),$F33&gt;=P$6),"█",IF(AND(ISNUMBER($F33),ISNUMBER($G33),$G33&gt;$F33,P$6&lt;=$G33,DATE(YEAR(P$6),MONTH(P$6)+1,0)&gt;$F33),"░","")),"")))</f>
        <v/>
      </c>
      <c r="Q33" s="34">
        <f>IF($A33="","",IF($B33="Decision point",IF(AND(ISNUMBER($F33),$F33&gt;=Q$6,$F33&lt;=DATE(YEAR(Q$6),MONTH(Q$6)+1,0)),"◆",""),IF($B33="Project",IF(AND(ISNUMBER($E33),ISNUMBER($F33),$E33&lt;=DATE(YEAR(Q$6),MONTH(Q$6)+1,0),$F33&gt;=Q$6),"█",IF(AND(ISNUMBER($F33),ISNUMBER($G33),$G33&gt;$F33,Q$6&lt;=$G33,DATE(YEAR(Q$6),MONTH(Q$6)+1,0)&gt;$F33),"░","")),"")))</f>
        <v/>
      </c>
      <c r="R33" s="34">
        <f>IF($A33="","",IF($B33="Decision point",IF(AND(ISNUMBER($F33),$F33&gt;=R$6,$F33&lt;=DATE(YEAR(R$6),MONTH(R$6)+1,0)),"◆",""),IF($B33="Project",IF(AND(ISNUMBER($E33),ISNUMBER($F33),$E33&lt;=DATE(YEAR(R$6),MONTH(R$6)+1,0),$F33&gt;=R$6),"█",IF(AND(ISNUMBER($F33),ISNUMBER($G33),$G33&gt;$F33,R$6&lt;=$G33,DATE(YEAR(R$6),MONTH(R$6)+1,0)&gt;$F33),"░","")),"")))</f>
        <v/>
      </c>
      <c r="S33" s="34">
        <f>IF($A33="","",IF($B33="Decision point",IF(AND(ISNUMBER($F33),$F33&gt;=S$6,$F33&lt;=DATE(YEAR(S$6),MONTH(S$6)+1,0)),"◆",""),IF($B33="Project",IF(AND(ISNUMBER($E33),ISNUMBER($F33),$E33&lt;=DATE(YEAR(S$6),MONTH(S$6)+1,0),$F33&gt;=S$6),"█",IF(AND(ISNUMBER($F33),ISNUMBER($G33),$G33&gt;$F33,S$6&lt;=$G33,DATE(YEAR(S$6),MONTH(S$6)+1,0)&gt;$F33),"░","")),"")))</f>
        <v/>
      </c>
      <c r="T33" s="34">
        <f>IF($A33="","",IF($B33="Decision point",IF(AND(ISNUMBER($F33),$F33&gt;=T$6,$F33&lt;=DATE(YEAR(T$6),MONTH(T$6)+1,0)),"◆",""),IF($B33="Project",IF(AND(ISNUMBER($E33),ISNUMBER($F33),$E33&lt;=DATE(YEAR(T$6),MONTH(T$6)+1,0),$F33&gt;=T$6),"█",IF(AND(ISNUMBER($F33),ISNUMBER($G33),$G33&gt;$F33,T$6&lt;=$G33,DATE(YEAR(T$6),MONTH(T$6)+1,0)&gt;$F33),"░","")),"")))</f>
        <v/>
      </c>
      <c r="U33" s="34">
        <f>IF($A33="","",IF($B33="Decision point",IF(AND(ISNUMBER($F33),$F33&gt;=U$6,$F33&lt;=DATE(YEAR(U$6),MONTH(U$6)+1,0)),"◆",""),IF($B33="Project",IF(AND(ISNUMBER($E33),ISNUMBER($F33),$E33&lt;=DATE(YEAR(U$6),MONTH(U$6)+1,0),$F33&gt;=U$6),"█",IF(AND(ISNUMBER($F33),ISNUMBER($G33),$G33&gt;$F33,U$6&lt;=$G33,DATE(YEAR(U$6),MONTH(U$6)+1,0)&gt;$F33),"░","")),"")))</f>
        <v/>
      </c>
      <c r="V33" s="34">
        <f>IF($A33="","",IF($B33="Decision point",IF(AND(ISNUMBER($F33),$F33&gt;=V$6,$F33&lt;=DATE(YEAR(V$6),MONTH(V$6)+1,0)),"◆",""),IF($B33="Project",IF(AND(ISNUMBER($E33),ISNUMBER($F33),$E33&lt;=DATE(YEAR(V$6),MONTH(V$6)+1,0),$F33&gt;=V$6),"█",IF(AND(ISNUMBER($F33),ISNUMBER($G33),$G33&gt;$F33,V$6&lt;=$G33,DATE(YEAR(V$6),MONTH(V$6)+1,0)&gt;$F33),"░","")),"")))</f>
        <v/>
      </c>
      <c r="W33" s="34">
        <f>IF($A33="","",IF($B33="Decision point",IF(AND(ISNUMBER($F33),$F33&gt;=W$6,$F33&lt;=DATE(YEAR(W$6),MONTH(W$6)+1,0)),"◆",""),IF($B33="Project",IF(AND(ISNUMBER($E33),ISNUMBER($F33),$E33&lt;=DATE(YEAR(W$6),MONTH(W$6)+1,0),$F33&gt;=W$6),"█",IF(AND(ISNUMBER($F33),ISNUMBER($G33),$G33&gt;$F33,W$6&lt;=$G33,DATE(YEAR(W$6),MONTH(W$6)+1,0)&gt;$F33),"░","")),"")))</f>
        <v/>
      </c>
      <c r="X33" s="34">
        <f>IF($A33="","",IF($B33="Decision point",IF(AND(ISNUMBER($F33),$F33&gt;=X$6,$F33&lt;=DATE(YEAR(X$6),MONTH(X$6)+1,0)),"◆",""),IF($B33="Project",IF(AND(ISNUMBER($E33),ISNUMBER($F33),$E33&lt;=DATE(YEAR(X$6),MONTH(X$6)+1,0),$F33&gt;=X$6),"█",IF(AND(ISNUMBER($F33),ISNUMBER($G33),$G33&gt;$F33,X$6&lt;=$G33,DATE(YEAR(X$6),MONTH(X$6)+1,0)&gt;$F33),"░","")),"")))</f>
        <v/>
      </c>
      <c r="Y33" s="34">
        <f>IF($AE33=1,"▶",IF($A33="","",IF($B33="Decision point",IF(AND(ISNUMBER($F33),$F33&gt;=Y$6,$F33&lt;=DATE(YEAR(Y$6),MONTH(Y$6)+1,0)),"◆",""),IF($B33="Project",IF(AND(ISNUMBER($E33),ISNUMBER($F33),$E33&lt;=DATE(YEAR(Y$6),MONTH(Y$6)+1,0),$F33&gt;=Y$6),"█",IF(AND(ISNUMBER($F33),ISNUMBER($G33),$G33&gt;$F33,Y$6&lt;=$G33,DATE(YEAR(Y$6),MONTH(Y$6)+1,0)&gt;$F33),"░","")),""))))</f>
        <v/>
      </c>
      <c r="AA33" s="9">
        <f>IF(AND($B33="Project",OR($D33="Active",$D33="Paused"),ISNUMBER($G33)),$G33,"")</f>
        <v/>
      </c>
      <c r="AB33" s="9">
        <f>IF(AND($B33="Decision point",ISNUMBER($F33)),IF($F33&gt;=Dashboard!$B$16,$F33,""),"")</f>
        <v/>
      </c>
      <c r="AC33" s="9">
        <f>IF(LEFT($I33,1)="△",1,0)</f>
        <v/>
      </c>
      <c r="AD33" s="9">
        <f>IF(ISNUMBER($AB33),100000-$AB33,0)</f>
        <v/>
      </c>
      <c r="AE33" s="9">
        <f>IF($A33="",0,IF(OR(AND(ISNUMBER($F33),$F33&gt;DATE(YEAR($Y$6),MONTH($Y$6)+1,0)),AND($B33="Project",ISNUMBER($G33),$G33&gt;DATE(YEAR($Y$6),MONTH($Y$6)+1,0))),1,0))</f>
        <v/>
      </c>
    </row>
    <row r="34" ht="18" customHeight="1">
      <c r="A34" s="28" t="n"/>
      <c r="B34" s="28" t="n"/>
      <c r="C34" s="9">
        <f>IF($A34="","",IF(AND($B34="Project",$D34="Proposed"),"Proposed, so not counted until it's Active",IF($AE34=1,"Runs past the last month shown","")))</f>
        <v/>
      </c>
      <c r="D34" s="28" t="n"/>
      <c r="E34" s="14" t="n"/>
      <c r="F34" s="14" t="n"/>
      <c r="G34" s="14" t="n"/>
      <c r="H34" s="33">
        <f>IF($A34="","",IF(OR($B34&lt;&gt;"Project",$D34="Proposed",NOT(ISNUMBER($F34)),NOT(ISNUMBER($G34))),"",IF($G34&lt;=$F34,0,NETWORKDAYS($F34+1,$G34))))</f>
        <v/>
      </c>
      <c r="I34" s="9">
        <f>IF($A34="","",IF(SUMPRODUCT(--($A$7:$A$36=$A34))&gt;1,"△ Name used twice",IF(OR($B34="",NOT(ISNUMBER($F34))),"△ Kind or Planned finish missing",IF(AND($B34="Project",OR($D34="",AND($D34&lt;&gt;"Proposed",OR(NOT(ISNUMBER($E34)),NOT(ISNUMBER($G34)))))),"△ Status, Start or Latest forecast missing",IF(AND(ISNUMBER($E34),ISNUMBER($F34)),IF($E34&gt;$F34,"△ Start is after Planned finish","○ Clear"),"○ Clear")))))</f>
        <v/>
      </c>
      <c r="K34" s="34">
        <f>IF($A34="","",IF($B34="Decision point",IF(AND(ISNUMBER($F34),$F34&gt;=K$6,$F34&lt;=DATE(YEAR(K$6),MONTH(K$6)+1,0)),"◆",""),IF($B34="Project",IF(AND(ISNUMBER($E34),ISNUMBER($F34),$E34&lt;=DATE(YEAR(K$6),MONTH(K$6)+1,0),$F34&gt;=K$6),"█",IF(AND(ISNUMBER($F34),ISNUMBER($G34),$G34&gt;$F34,K$6&lt;=$G34,DATE(YEAR(K$6),MONTH(K$6)+1,0)&gt;$F34),"░","")),"")))</f>
        <v/>
      </c>
      <c r="L34" s="34">
        <f>IF($A34="","",IF($B34="Decision point",IF(AND(ISNUMBER($F34),$F34&gt;=L$6,$F34&lt;=DATE(YEAR(L$6),MONTH(L$6)+1,0)),"◆",""),IF($B34="Project",IF(AND(ISNUMBER($E34),ISNUMBER($F34),$E34&lt;=DATE(YEAR(L$6),MONTH(L$6)+1,0),$F34&gt;=L$6),"█",IF(AND(ISNUMBER($F34),ISNUMBER($G34),$G34&gt;$F34,L$6&lt;=$G34,DATE(YEAR(L$6),MONTH(L$6)+1,0)&gt;$F34),"░","")),"")))</f>
        <v/>
      </c>
      <c r="M34" s="34">
        <f>IF($A34="","",IF($B34="Decision point",IF(AND(ISNUMBER($F34),$F34&gt;=M$6,$F34&lt;=DATE(YEAR(M$6),MONTH(M$6)+1,0)),"◆",""),IF($B34="Project",IF(AND(ISNUMBER($E34),ISNUMBER($F34),$E34&lt;=DATE(YEAR(M$6),MONTH(M$6)+1,0),$F34&gt;=M$6),"█",IF(AND(ISNUMBER($F34),ISNUMBER($G34),$G34&gt;$F34,M$6&lt;=$G34,DATE(YEAR(M$6),MONTH(M$6)+1,0)&gt;$F34),"░","")),"")))</f>
        <v/>
      </c>
      <c r="N34" s="34">
        <f>IF($A34="","",IF($B34="Decision point",IF(AND(ISNUMBER($F34),$F34&gt;=N$6,$F34&lt;=DATE(YEAR(N$6),MONTH(N$6)+1,0)),"◆",""),IF($B34="Project",IF(AND(ISNUMBER($E34),ISNUMBER($F34),$E34&lt;=DATE(YEAR(N$6),MONTH(N$6)+1,0),$F34&gt;=N$6),"█",IF(AND(ISNUMBER($F34),ISNUMBER($G34),$G34&gt;$F34,N$6&lt;=$G34,DATE(YEAR(N$6),MONTH(N$6)+1,0)&gt;$F34),"░","")),"")))</f>
        <v/>
      </c>
      <c r="O34" s="34">
        <f>IF($A34="","",IF($B34="Decision point",IF(AND(ISNUMBER($F34),$F34&gt;=O$6,$F34&lt;=DATE(YEAR(O$6),MONTH(O$6)+1,0)),"◆",""),IF($B34="Project",IF(AND(ISNUMBER($E34),ISNUMBER($F34),$E34&lt;=DATE(YEAR(O$6),MONTH(O$6)+1,0),$F34&gt;=O$6),"█",IF(AND(ISNUMBER($F34),ISNUMBER($G34),$G34&gt;$F34,O$6&lt;=$G34,DATE(YEAR(O$6),MONTH(O$6)+1,0)&gt;$F34),"░","")),"")))</f>
        <v/>
      </c>
      <c r="P34" s="34">
        <f>IF($A34="","",IF($B34="Decision point",IF(AND(ISNUMBER($F34),$F34&gt;=P$6,$F34&lt;=DATE(YEAR(P$6),MONTH(P$6)+1,0)),"◆",""),IF($B34="Project",IF(AND(ISNUMBER($E34),ISNUMBER($F34),$E34&lt;=DATE(YEAR(P$6),MONTH(P$6)+1,0),$F34&gt;=P$6),"█",IF(AND(ISNUMBER($F34),ISNUMBER($G34),$G34&gt;$F34,P$6&lt;=$G34,DATE(YEAR(P$6),MONTH(P$6)+1,0)&gt;$F34),"░","")),"")))</f>
        <v/>
      </c>
      <c r="Q34" s="34">
        <f>IF($A34="","",IF($B34="Decision point",IF(AND(ISNUMBER($F34),$F34&gt;=Q$6,$F34&lt;=DATE(YEAR(Q$6),MONTH(Q$6)+1,0)),"◆",""),IF($B34="Project",IF(AND(ISNUMBER($E34),ISNUMBER($F34),$E34&lt;=DATE(YEAR(Q$6),MONTH(Q$6)+1,0),$F34&gt;=Q$6),"█",IF(AND(ISNUMBER($F34),ISNUMBER($G34),$G34&gt;$F34,Q$6&lt;=$G34,DATE(YEAR(Q$6),MONTH(Q$6)+1,0)&gt;$F34),"░","")),"")))</f>
        <v/>
      </c>
      <c r="R34" s="34">
        <f>IF($A34="","",IF($B34="Decision point",IF(AND(ISNUMBER($F34),$F34&gt;=R$6,$F34&lt;=DATE(YEAR(R$6),MONTH(R$6)+1,0)),"◆",""),IF($B34="Project",IF(AND(ISNUMBER($E34),ISNUMBER($F34),$E34&lt;=DATE(YEAR(R$6),MONTH(R$6)+1,0),$F34&gt;=R$6),"█",IF(AND(ISNUMBER($F34),ISNUMBER($G34),$G34&gt;$F34,R$6&lt;=$G34,DATE(YEAR(R$6),MONTH(R$6)+1,0)&gt;$F34),"░","")),"")))</f>
        <v/>
      </c>
      <c r="S34" s="34">
        <f>IF($A34="","",IF($B34="Decision point",IF(AND(ISNUMBER($F34),$F34&gt;=S$6,$F34&lt;=DATE(YEAR(S$6),MONTH(S$6)+1,0)),"◆",""),IF($B34="Project",IF(AND(ISNUMBER($E34),ISNUMBER($F34),$E34&lt;=DATE(YEAR(S$6),MONTH(S$6)+1,0),$F34&gt;=S$6),"█",IF(AND(ISNUMBER($F34),ISNUMBER($G34),$G34&gt;$F34,S$6&lt;=$G34,DATE(YEAR(S$6),MONTH(S$6)+1,0)&gt;$F34),"░","")),"")))</f>
        <v/>
      </c>
      <c r="T34" s="34">
        <f>IF($A34="","",IF($B34="Decision point",IF(AND(ISNUMBER($F34),$F34&gt;=T$6,$F34&lt;=DATE(YEAR(T$6),MONTH(T$6)+1,0)),"◆",""),IF($B34="Project",IF(AND(ISNUMBER($E34),ISNUMBER($F34),$E34&lt;=DATE(YEAR(T$6),MONTH(T$6)+1,0),$F34&gt;=T$6),"█",IF(AND(ISNUMBER($F34),ISNUMBER($G34),$G34&gt;$F34,T$6&lt;=$G34,DATE(YEAR(T$6),MONTH(T$6)+1,0)&gt;$F34),"░","")),"")))</f>
        <v/>
      </c>
      <c r="U34" s="34">
        <f>IF($A34="","",IF($B34="Decision point",IF(AND(ISNUMBER($F34),$F34&gt;=U$6,$F34&lt;=DATE(YEAR(U$6),MONTH(U$6)+1,0)),"◆",""),IF($B34="Project",IF(AND(ISNUMBER($E34),ISNUMBER($F34),$E34&lt;=DATE(YEAR(U$6),MONTH(U$6)+1,0),$F34&gt;=U$6),"█",IF(AND(ISNUMBER($F34),ISNUMBER($G34),$G34&gt;$F34,U$6&lt;=$G34,DATE(YEAR(U$6),MONTH(U$6)+1,0)&gt;$F34),"░","")),"")))</f>
        <v/>
      </c>
      <c r="V34" s="34">
        <f>IF($A34="","",IF($B34="Decision point",IF(AND(ISNUMBER($F34),$F34&gt;=V$6,$F34&lt;=DATE(YEAR(V$6),MONTH(V$6)+1,0)),"◆",""),IF($B34="Project",IF(AND(ISNUMBER($E34),ISNUMBER($F34),$E34&lt;=DATE(YEAR(V$6),MONTH(V$6)+1,0),$F34&gt;=V$6),"█",IF(AND(ISNUMBER($F34),ISNUMBER($G34),$G34&gt;$F34,V$6&lt;=$G34,DATE(YEAR(V$6),MONTH(V$6)+1,0)&gt;$F34),"░","")),"")))</f>
        <v/>
      </c>
      <c r="W34" s="34">
        <f>IF($A34="","",IF($B34="Decision point",IF(AND(ISNUMBER($F34),$F34&gt;=W$6,$F34&lt;=DATE(YEAR(W$6),MONTH(W$6)+1,0)),"◆",""),IF($B34="Project",IF(AND(ISNUMBER($E34),ISNUMBER($F34),$E34&lt;=DATE(YEAR(W$6),MONTH(W$6)+1,0),$F34&gt;=W$6),"█",IF(AND(ISNUMBER($F34),ISNUMBER($G34),$G34&gt;$F34,W$6&lt;=$G34,DATE(YEAR(W$6),MONTH(W$6)+1,0)&gt;$F34),"░","")),"")))</f>
        <v/>
      </c>
      <c r="X34" s="34">
        <f>IF($A34="","",IF($B34="Decision point",IF(AND(ISNUMBER($F34),$F34&gt;=X$6,$F34&lt;=DATE(YEAR(X$6),MONTH(X$6)+1,0)),"◆",""),IF($B34="Project",IF(AND(ISNUMBER($E34),ISNUMBER($F34),$E34&lt;=DATE(YEAR(X$6),MONTH(X$6)+1,0),$F34&gt;=X$6),"█",IF(AND(ISNUMBER($F34),ISNUMBER($G34),$G34&gt;$F34,X$6&lt;=$G34,DATE(YEAR(X$6),MONTH(X$6)+1,0)&gt;$F34),"░","")),"")))</f>
        <v/>
      </c>
      <c r="Y34" s="34">
        <f>IF($AE34=1,"▶",IF($A34="","",IF($B34="Decision point",IF(AND(ISNUMBER($F34),$F34&gt;=Y$6,$F34&lt;=DATE(YEAR(Y$6),MONTH(Y$6)+1,0)),"◆",""),IF($B34="Project",IF(AND(ISNUMBER($E34),ISNUMBER($F34),$E34&lt;=DATE(YEAR(Y$6),MONTH(Y$6)+1,0),$F34&gt;=Y$6),"█",IF(AND(ISNUMBER($F34),ISNUMBER($G34),$G34&gt;$F34,Y$6&lt;=$G34,DATE(YEAR(Y$6),MONTH(Y$6)+1,0)&gt;$F34),"░","")),""))))</f>
        <v/>
      </c>
      <c r="AA34" s="9">
        <f>IF(AND($B34="Project",OR($D34="Active",$D34="Paused"),ISNUMBER($G34)),$G34,"")</f>
        <v/>
      </c>
      <c r="AB34" s="9">
        <f>IF(AND($B34="Decision point",ISNUMBER($F34)),IF($F34&gt;=Dashboard!$B$16,$F34,""),"")</f>
        <v/>
      </c>
      <c r="AC34" s="9">
        <f>IF(LEFT($I34,1)="△",1,0)</f>
        <v/>
      </c>
      <c r="AD34" s="9">
        <f>IF(ISNUMBER($AB34),100000-$AB34,0)</f>
        <v/>
      </c>
      <c r="AE34" s="9">
        <f>IF($A34="",0,IF(OR(AND(ISNUMBER($F34),$F34&gt;DATE(YEAR($Y$6),MONTH($Y$6)+1,0)),AND($B34="Project",ISNUMBER($G34),$G34&gt;DATE(YEAR($Y$6),MONTH($Y$6)+1,0))),1,0))</f>
        <v/>
      </c>
    </row>
    <row r="35" ht="18" customHeight="1">
      <c r="A35" s="28" t="n"/>
      <c r="B35" s="28" t="n"/>
      <c r="C35" s="9">
        <f>IF($A35="","",IF(AND($B35="Project",$D35="Proposed"),"Proposed, so not counted until it's Active",IF($AE35=1,"Runs past the last month shown","")))</f>
        <v/>
      </c>
      <c r="D35" s="28" t="n"/>
      <c r="E35" s="14" t="n"/>
      <c r="F35" s="14" t="n"/>
      <c r="G35" s="14" t="n"/>
      <c r="H35" s="33">
        <f>IF($A35="","",IF(OR($B35&lt;&gt;"Project",$D35="Proposed",NOT(ISNUMBER($F35)),NOT(ISNUMBER($G35))),"",IF($G35&lt;=$F35,0,NETWORKDAYS($F35+1,$G35))))</f>
        <v/>
      </c>
      <c r="I35" s="9">
        <f>IF($A35="","",IF(SUMPRODUCT(--($A$7:$A$36=$A35))&gt;1,"△ Name used twice",IF(OR($B35="",NOT(ISNUMBER($F35))),"△ Kind or Planned finish missing",IF(AND($B35="Project",OR($D35="",AND($D35&lt;&gt;"Proposed",OR(NOT(ISNUMBER($E35)),NOT(ISNUMBER($G35)))))),"△ Status, Start or Latest forecast missing",IF(AND(ISNUMBER($E35),ISNUMBER($F35)),IF($E35&gt;$F35,"△ Start is after Planned finish","○ Clear"),"○ Clear")))))</f>
        <v/>
      </c>
      <c r="K35" s="34">
        <f>IF($A35="","",IF($B35="Decision point",IF(AND(ISNUMBER($F35),$F35&gt;=K$6,$F35&lt;=DATE(YEAR(K$6),MONTH(K$6)+1,0)),"◆",""),IF($B35="Project",IF(AND(ISNUMBER($E35),ISNUMBER($F35),$E35&lt;=DATE(YEAR(K$6),MONTH(K$6)+1,0),$F35&gt;=K$6),"█",IF(AND(ISNUMBER($F35),ISNUMBER($G35),$G35&gt;$F35,K$6&lt;=$G35,DATE(YEAR(K$6),MONTH(K$6)+1,0)&gt;$F35),"░","")),"")))</f>
        <v/>
      </c>
      <c r="L35" s="34">
        <f>IF($A35="","",IF($B35="Decision point",IF(AND(ISNUMBER($F35),$F35&gt;=L$6,$F35&lt;=DATE(YEAR(L$6),MONTH(L$6)+1,0)),"◆",""),IF($B35="Project",IF(AND(ISNUMBER($E35),ISNUMBER($F35),$E35&lt;=DATE(YEAR(L$6),MONTH(L$6)+1,0),$F35&gt;=L$6),"█",IF(AND(ISNUMBER($F35),ISNUMBER($G35),$G35&gt;$F35,L$6&lt;=$G35,DATE(YEAR(L$6),MONTH(L$6)+1,0)&gt;$F35),"░","")),"")))</f>
        <v/>
      </c>
      <c r="M35" s="34">
        <f>IF($A35="","",IF($B35="Decision point",IF(AND(ISNUMBER($F35),$F35&gt;=M$6,$F35&lt;=DATE(YEAR(M$6),MONTH(M$6)+1,0)),"◆",""),IF($B35="Project",IF(AND(ISNUMBER($E35),ISNUMBER($F35),$E35&lt;=DATE(YEAR(M$6),MONTH(M$6)+1,0),$F35&gt;=M$6),"█",IF(AND(ISNUMBER($F35),ISNUMBER($G35),$G35&gt;$F35,M$6&lt;=$G35,DATE(YEAR(M$6),MONTH(M$6)+1,0)&gt;$F35),"░","")),"")))</f>
        <v/>
      </c>
      <c r="N35" s="34">
        <f>IF($A35="","",IF($B35="Decision point",IF(AND(ISNUMBER($F35),$F35&gt;=N$6,$F35&lt;=DATE(YEAR(N$6),MONTH(N$6)+1,0)),"◆",""),IF($B35="Project",IF(AND(ISNUMBER($E35),ISNUMBER($F35),$E35&lt;=DATE(YEAR(N$6),MONTH(N$6)+1,0),$F35&gt;=N$6),"█",IF(AND(ISNUMBER($F35),ISNUMBER($G35),$G35&gt;$F35,N$6&lt;=$G35,DATE(YEAR(N$6),MONTH(N$6)+1,0)&gt;$F35),"░","")),"")))</f>
        <v/>
      </c>
      <c r="O35" s="34">
        <f>IF($A35="","",IF($B35="Decision point",IF(AND(ISNUMBER($F35),$F35&gt;=O$6,$F35&lt;=DATE(YEAR(O$6),MONTH(O$6)+1,0)),"◆",""),IF($B35="Project",IF(AND(ISNUMBER($E35),ISNUMBER($F35),$E35&lt;=DATE(YEAR(O$6),MONTH(O$6)+1,0),$F35&gt;=O$6),"█",IF(AND(ISNUMBER($F35),ISNUMBER($G35),$G35&gt;$F35,O$6&lt;=$G35,DATE(YEAR(O$6),MONTH(O$6)+1,0)&gt;$F35),"░","")),"")))</f>
        <v/>
      </c>
      <c r="P35" s="34">
        <f>IF($A35="","",IF($B35="Decision point",IF(AND(ISNUMBER($F35),$F35&gt;=P$6,$F35&lt;=DATE(YEAR(P$6),MONTH(P$6)+1,0)),"◆",""),IF($B35="Project",IF(AND(ISNUMBER($E35),ISNUMBER($F35),$E35&lt;=DATE(YEAR(P$6),MONTH(P$6)+1,0),$F35&gt;=P$6),"█",IF(AND(ISNUMBER($F35),ISNUMBER($G35),$G35&gt;$F35,P$6&lt;=$G35,DATE(YEAR(P$6),MONTH(P$6)+1,0)&gt;$F35),"░","")),"")))</f>
        <v/>
      </c>
      <c r="Q35" s="34">
        <f>IF($A35="","",IF($B35="Decision point",IF(AND(ISNUMBER($F35),$F35&gt;=Q$6,$F35&lt;=DATE(YEAR(Q$6),MONTH(Q$6)+1,0)),"◆",""),IF($B35="Project",IF(AND(ISNUMBER($E35),ISNUMBER($F35),$E35&lt;=DATE(YEAR(Q$6),MONTH(Q$6)+1,0),$F35&gt;=Q$6),"█",IF(AND(ISNUMBER($F35),ISNUMBER($G35),$G35&gt;$F35,Q$6&lt;=$G35,DATE(YEAR(Q$6),MONTH(Q$6)+1,0)&gt;$F35),"░","")),"")))</f>
        <v/>
      </c>
      <c r="R35" s="34">
        <f>IF($A35="","",IF($B35="Decision point",IF(AND(ISNUMBER($F35),$F35&gt;=R$6,$F35&lt;=DATE(YEAR(R$6),MONTH(R$6)+1,0)),"◆",""),IF($B35="Project",IF(AND(ISNUMBER($E35),ISNUMBER($F35),$E35&lt;=DATE(YEAR(R$6),MONTH(R$6)+1,0),$F35&gt;=R$6),"█",IF(AND(ISNUMBER($F35),ISNUMBER($G35),$G35&gt;$F35,R$6&lt;=$G35,DATE(YEAR(R$6),MONTH(R$6)+1,0)&gt;$F35),"░","")),"")))</f>
        <v/>
      </c>
      <c r="S35" s="34">
        <f>IF($A35="","",IF($B35="Decision point",IF(AND(ISNUMBER($F35),$F35&gt;=S$6,$F35&lt;=DATE(YEAR(S$6),MONTH(S$6)+1,0)),"◆",""),IF($B35="Project",IF(AND(ISNUMBER($E35),ISNUMBER($F35),$E35&lt;=DATE(YEAR(S$6),MONTH(S$6)+1,0),$F35&gt;=S$6),"█",IF(AND(ISNUMBER($F35),ISNUMBER($G35),$G35&gt;$F35,S$6&lt;=$G35,DATE(YEAR(S$6),MONTH(S$6)+1,0)&gt;$F35),"░","")),"")))</f>
        <v/>
      </c>
      <c r="T35" s="34">
        <f>IF($A35="","",IF($B35="Decision point",IF(AND(ISNUMBER($F35),$F35&gt;=T$6,$F35&lt;=DATE(YEAR(T$6),MONTH(T$6)+1,0)),"◆",""),IF($B35="Project",IF(AND(ISNUMBER($E35),ISNUMBER($F35),$E35&lt;=DATE(YEAR(T$6),MONTH(T$6)+1,0),$F35&gt;=T$6),"█",IF(AND(ISNUMBER($F35),ISNUMBER($G35),$G35&gt;$F35,T$6&lt;=$G35,DATE(YEAR(T$6),MONTH(T$6)+1,0)&gt;$F35),"░","")),"")))</f>
        <v/>
      </c>
      <c r="U35" s="34">
        <f>IF($A35="","",IF($B35="Decision point",IF(AND(ISNUMBER($F35),$F35&gt;=U$6,$F35&lt;=DATE(YEAR(U$6),MONTH(U$6)+1,0)),"◆",""),IF($B35="Project",IF(AND(ISNUMBER($E35),ISNUMBER($F35),$E35&lt;=DATE(YEAR(U$6),MONTH(U$6)+1,0),$F35&gt;=U$6),"█",IF(AND(ISNUMBER($F35),ISNUMBER($G35),$G35&gt;$F35,U$6&lt;=$G35,DATE(YEAR(U$6),MONTH(U$6)+1,0)&gt;$F35),"░","")),"")))</f>
        <v/>
      </c>
      <c r="V35" s="34">
        <f>IF($A35="","",IF($B35="Decision point",IF(AND(ISNUMBER($F35),$F35&gt;=V$6,$F35&lt;=DATE(YEAR(V$6),MONTH(V$6)+1,0)),"◆",""),IF($B35="Project",IF(AND(ISNUMBER($E35),ISNUMBER($F35),$E35&lt;=DATE(YEAR(V$6),MONTH(V$6)+1,0),$F35&gt;=V$6),"█",IF(AND(ISNUMBER($F35),ISNUMBER($G35),$G35&gt;$F35,V$6&lt;=$G35,DATE(YEAR(V$6),MONTH(V$6)+1,0)&gt;$F35),"░","")),"")))</f>
        <v/>
      </c>
      <c r="W35" s="34">
        <f>IF($A35="","",IF($B35="Decision point",IF(AND(ISNUMBER($F35),$F35&gt;=W$6,$F35&lt;=DATE(YEAR(W$6),MONTH(W$6)+1,0)),"◆",""),IF($B35="Project",IF(AND(ISNUMBER($E35),ISNUMBER($F35),$E35&lt;=DATE(YEAR(W$6),MONTH(W$6)+1,0),$F35&gt;=W$6),"█",IF(AND(ISNUMBER($F35),ISNUMBER($G35),$G35&gt;$F35,W$6&lt;=$G35,DATE(YEAR(W$6),MONTH(W$6)+1,0)&gt;$F35),"░","")),"")))</f>
        <v/>
      </c>
      <c r="X35" s="34">
        <f>IF($A35="","",IF($B35="Decision point",IF(AND(ISNUMBER($F35),$F35&gt;=X$6,$F35&lt;=DATE(YEAR(X$6),MONTH(X$6)+1,0)),"◆",""),IF($B35="Project",IF(AND(ISNUMBER($E35),ISNUMBER($F35),$E35&lt;=DATE(YEAR(X$6),MONTH(X$6)+1,0),$F35&gt;=X$6),"█",IF(AND(ISNUMBER($F35),ISNUMBER($G35),$G35&gt;$F35,X$6&lt;=$G35,DATE(YEAR(X$6),MONTH(X$6)+1,0)&gt;$F35),"░","")),"")))</f>
        <v/>
      </c>
      <c r="Y35" s="34">
        <f>IF($AE35=1,"▶",IF($A35="","",IF($B35="Decision point",IF(AND(ISNUMBER($F35),$F35&gt;=Y$6,$F35&lt;=DATE(YEAR(Y$6),MONTH(Y$6)+1,0)),"◆",""),IF($B35="Project",IF(AND(ISNUMBER($E35),ISNUMBER($F35),$E35&lt;=DATE(YEAR(Y$6),MONTH(Y$6)+1,0),$F35&gt;=Y$6),"█",IF(AND(ISNUMBER($F35),ISNUMBER($G35),$G35&gt;$F35,Y$6&lt;=$G35,DATE(YEAR(Y$6),MONTH(Y$6)+1,0)&gt;$F35),"░","")),""))))</f>
        <v/>
      </c>
      <c r="AA35" s="9">
        <f>IF(AND($B35="Project",OR($D35="Active",$D35="Paused"),ISNUMBER($G35)),$G35,"")</f>
        <v/>
      </c>
      <c r="AB35" s="9">
        <f>IF(AND($B35="Decision point",ISNUMBER($F35)),IF($F35&gt;=Dashboard!$B$16,$F35,""),"")</f>
        <v/>
      </c>
      <c r="AC35" s="9">
        <f>IF(LEFT($I35,1)="△",1,0)</f>
        <v/>
      </c>
      <c r="AD35" s="9">
        <f>IF(ISNUMBER($AB35),100000-$AB35,0)</f>
        <v/>
      </c>
      <c r="AE35" s="9">
        <f>IF($A35="",0,IF(OR(AND(ISNUMBER($F35),$F35&gt;DATE(YEAR($Y$6),MONTH($Y$6)+1,0)),AND($B35="Project",ISNUMBER($G35),$G35&gt;DATE(YEAR($Y$6),MONTH($Y$6)+1,0))),1,0))</f>
        <v/>
      </c>
    </row>
    <row r="36" ht="18" customHeight="1">
      <c r="A36" s="28" t="n"/>
      <c r="B36" s="28" t="n"/>
      <c r="C36" s="9">
        <f>IF($A36="","",IF(AND($B36="Project",$D36="Proposed"),"Proposed, so not counted until it's Active",IF($AE36=1,"Runs past the last month shown","")))</f>
        <v/>
      </c>
      <c r="D36" s="28" t="n"/>
      <c r="E36" s="14" t="n"/>
      <c r="F36" s="14" t="n"/>
      <c r="G36" s="14" t="n"/>
      <c r="H36" s="33">
        <f>IF($A36="","",IF(OR($B36&lt;&gt;"Project",$D36="Proposed",NOT(ISNUMBER($F36)),NOT(ISNUMBER($G36))),"",IF($G36&lt;=$F36,0,NETWORKDAYS($F36+1,$G36))))</f>
        <v/>
      </c>
      <c r="I36" s="9">
        <f>IF($A36="","",IF(SUMPRODUCT(--($A$7:$A$36=$A36))&gt;1,"△ Name used twice",IF(OR($B36="",NOT(ISNUMBER($F36))),"△ Kind or Planned finish missing",IF(AND($B36="Project",OR($D36="",AND($D36&lt;&gt;"Proposed",OR(NOT(ISNUMBER($E36)),NOT(ISNUMBER($G36)))))),"△ Status, Start or Latest forecast missing",IF(AND(ISNUMBER($E36),ISNUMBER($F36)),IF($E36&gt;$F36,"△ Start is after Planned finish","○ Clear"),"○ Clear")))))</f>
        <v/>
      </c>
      <c r="K36" s="34">
        <f>IF($A36="","",IF($B36="Decision point",IF(AND(ISNUMBER($F36),$F36&gt;=K$6,$F36&lt;=DATE(YEAR(K$6),MONTH(K$6)+1,0)),"◆",""),IF($B36="Project",IF(AND(ISNUMBER($E36),ISNUMBER($F36),$E36&lt;=DATE(YEAR(K$6),MONTH(K$6)+1,0),$F36&gt;=K$6),"█",IF(AND(ISNUMBER($F36),ISNUMBER($G36),$G36&gt;$F36,K$6&lt;=$G36,DATE(YEAR(K$6),MONTH(K$6)+1,0)&gt;$F36),"░","")),"")))</f>
        <v/>
      </c>
      <c r="L36" s="34">
        <f>IF($A36="","",IF($B36="Decision point",IF(AND(ISNUMBER($F36),$F36&gt;=L$6,$F36&lt;=DATE(YEAR(L$6),MONTH(L$6)+1,0)),"◆",""),IF($B36="Project",IF(AND(ISNUMBER($E36),ISNUMBER($F36),$E36&lt;=DATE(YEAR(L$6),MONTH(L$6)+1,0),$F36&gt;=L$6),"█",IF(AND(ISNUMBER($F36),ISNUMBER($G36),$G36&gt;$F36,L$6&lt;=$G36,DATE(YEAR(L$6),MONTH(L$6)+1,0)&gt;$F36),"░","")),"")))</f>
        <v/>
      </c>
      <c r="M36" s="34">
        <f>IF($A36="","",IF($B36="Decision point",IF(AND(ISNUMBER($F36),$F36&gt;=M$6,$F36&lt;=DATE(YEAR(M$6),MONTH(M$6)+1,0)),"◆",""),IF($B36="Project",IF(AND(ISNUMBER($E36),ISNUMBER($F36),$E36&lt;=DATE(YEAR(M$6),MONTH(M$6)+1,0),$F36&gt;=M$6),"█",IF(AND(ISNUMBER($F36),ISNUMBER($G36),$G36&gt;$F36,M$6&lt;=$G36,DATE(YEAR(M$6),MONTH(M$6)+1,0)&gt;$F36),"░","")),"")))</f>
        <v/>
      </c>
      <c r="N36" s="34">
        <f>IF($A36="","",IF($B36="Decision point",IF(AND(ISNUMBER($F36),$F36&gt;=N$6,$F36&lt;=DATE(YEAR(N$6),MONTH(N$6)+1,0)),"◆",""),IF($B36="Project",IF(AND(ISNUMBER($E36),ISNUMBER($F36),$E36&lt;=DATE(YEAR(N$6),MONTH(N$6)+1,0),$F36&gt;=N$6),"█",IF(AND(ISNUMBER($F36),ISNUMBER($G36),$G36&gt;$F36,N$6&lt;=$G36,DATE(YEAR(N$6),MONTH(N$6)+1,0)&gt;$F36),"░","")),"")))</f>
        <v/>
      </c>
      <c r="O36" s="34">
        <f>IF($A36="","",IF($B36="Decision point",IF(AND(ISNUMBER($F36),$F36&gt;=O$6,$F36&lt;=DATE(YEAR(O$6),MONTH(O$6)+1,0)),"◆",""),IF($B36="Project",IF(AND(ISNUMBER($E36),ISNUMBER($F36),$E36&lt;=DATE(YEAR(O$6),MONTH(O$6)+1,0),$F36&gt;=O$6),"█",IF(AND(ISNUMBER($F36),ISNUMBER($G36),$G36&gt;$F36,O$6&lt;=$G36,DATE(YEAR(O$6),MONTH(O$6)+1,0)&gt;$F36),"░","")),"")))</f>
        <v/>
      </c>
      <c r="P36" s="34">
        <f>IF($A36="","",IF($B36="Decision point",IF(AND(ISNUMBER($F36),$F36&gt;=P$6,$F36&lt;=DATE(YEAR(P$6),MONTH(P$6)+1,0)),"◆",""),IF($B36="Project",IF(AND(ISNUMBER($E36),ISNUMBER($F36),$E36&lt;=DATE(YEAR(P$6),MONTH(P$6)+1,0),$F36&gt;=P$6),"█",IF(AND(ISNUMBER($F36),ISNUMBER($G36),$G36&gt;$F36,P$6&lt;=$G36,DATE(YEAR(P$6),MONTH(P$6)+1,0)&gt;$F36),"░","")),"")))</f>
        <v/>
      </c>
      <c r="Q36" s="34">
        <f>IF($A36="","",IF($B36="Decision point",IF(AND(ISNUMBER($F36),$F36&gt;=Q$6,$F36&lt;=DATE(YEAR(Q$6),MONTH(Q$6)+1,0)),"◆",""),IF($B36="Project",IF(AND(ISNUMBER($E36),ISNUMBER($F36),$E36&lt;=DATE(YEAR(Q$6),MONTH(Q$6)+1,0),$F36&gt;=Q$6),"█",IF(AND(ISNUMBER($F36),ISNUMBER($G36),$G36&gt;$F36,Q$6&lt;=$G36,DATE(YEAR(Q$6),MONTH(Q$6)+1,0)&gt;$F36),"░","")),"")))</f>
        <v/>
      </c>
      <c r="R36" s="34">
        <f>IF($A36="","",IF($B36="Decision point",IF(AND(ISNUMBER($F36),$F36&gt;=R$6,$F36&lt;=DATE(YEAR(R$6),MONTH(R$6)+1,0)),"◆",""),IF($B36="Project",IF(AND(ISNUMBER($E36),ISNUMBER($F36),$E36&lt;=DATE(YEAR(R$6),MONTH(R$6)+1,0),$F36&gt;=R$6),"█",IF(AND(ISNUMBER($F36),ISNUMBER($G36),$G36&gt;$F36,R$6&lt;=$G36,DATE(YEAR(R$6),MONTH(R$6)+1,0)&gt;$F36),"░","")),"")))</f>
        <v/>
      </c>
      <c r="S36" s="34">
        <f>IF($A36="","",IF($B36="Decision point",IF(AND(ISNUMBER($F36),$F36&gt;=S$6,$F36&lt;=DATE(YEAR(S$6),MONTH(S$6)+1,0)),"◆",""),IF($B36="Project",IF(AND(ISNUMBER($E36),ISNUMBER($F36),$E36&lt;=DATE(YEAR(S$6),MONTH(S$6)+1,0),$F36&gt;=S$6),"█",IF(AND(ISNUMBER($F36),ISNUMBER($G36),$G36&gt;$F36,S$6&lt;=$G36,DATE(YEAR(S$6),MONTH(S$6)+1,0)&gt;$F36),"░","")),"")))</f>
        <v/>
      </c>
      <c r="T36" s="34">
        <f>IF($A36="","",IF($B36="Decision point",IF(AND(ISNUMBER($F36),$F36&gt;=T$6,$F36&lt;=DATE(YEAR(T$6),MONTH(T$6)+1,0)),"◆",""),IF($B36="Project",IF(AND(ISNUMBER($E36),ISNUMBER($F36),$E36&lt;=DATE(YEAR(T$6),MONTH(T$6)+1,0),$F36&gt;=T$6),"█",IF(AND(ISNUMBER($F36),ISNUMBER($G36),$G36&gt;$F36,T$6&lt;=$G36,DATE(YEAR(T$6),MONTH(T$6)+1,0)&gt;$F36),"░","")),"")))</f>
        <v/>
      </c>
      <c r="U36" s="34">
        <f>IF($A36="","",IF($B36="Decision point",IF(AND(ISNUMBER($F36),$F36&gt;=U$6,$F36&lt;=DATE(YEAR(U$6),MONTH(U$6)+1,0)),"◆",""),IF($B36="Project",IF(AND(ISNUMBER($E36),ISNUMBER($F36),$E36&lt;=DATE(YEAR(U$6),MONTH(U$6)+1,0),$F36&gt;=U$6),"█",IF(AND(ISNUMBER($F36),ISNUMBER($G36),$G36&gt;$F36,U$6&lt;=$G36,DATE(YEAR(U$6),MONTH(U$6)+1,0)&gt;$F36),"░","")),"")))</f>
        <v/>
      </c>
      <c r="V36" s="34">
        <f>IF($A36="","",IF($B36="Decision point",IF(AND(ISNUMBER($F36),$F36&gt;=V$6,$F36&lt;=DATE(YEAR(V$6),MONTH(V$6)+1,0)),"◆",""),IF($B36="Project",IF(AND(ISNUMBER($E36),ISNUMBER($F36),$E36&lt;=DATE(YEAR(V$6),MONTH(V$6)+1,0),$F36&gt;=V$6),"█",IF(AND(ISNUMBER($F36),ISNUMBER($G36),$G36&gt;$F36,V$6&lt;=$G36,DATE(YEAR(V$6),MONTH(V$6)+1,0)&gt;$F36),"░","")),"")))</f>
        <v/>
      </c>
      <c r="W36" s="34">
        <f>IF($A36="","",IF($B36="Decision point",IF(AND(ISNUMBER($F36),$F36&gt;=W$6,$F36&lt;=DATE(YEAR(W$6),MONTH(W$6)+1,0)),"◆",""),IF($B36="Project",IF(AND(ISNUMBER($E36),ISNUMBER($F36),$E36&lt;=DATE(YEAR(W$6),MONTH(W$6)+1,0),$F36&gt;=W$6),"█",IF(AND(ISNUMBER($F36),ISNUMBER($G36),$G36&gt;$F36,W$6&lt;=$G36,DATE(YEAR(W$6),MONTH(W$6)+1,0)&gt;$F36),"░","")),"")))</f>
        <v/>
      </c>
      <c r="X36" s="34">
        <f>IF($A36="","",IF($B36="Decision point",IF(AND(ISNUMBER($F36),$F36&gt;=X$6,$F36&lt;=DATE(YEAR(X$6),MONTH(X$6)+1,0)),"◆",""),IF($B36="Project",IF(AND(ISNUMBER($E36),ISNUMBER($F36),$E36&lt;=DATE(YEAR(X$6),MONTH(X$6)+1,0),$F36&gt;=X$6),"█",IF(AND(ISNUMBER($F36),ISNUMBER($G36),$G36&gt;$F36,X$6&lt;=$G36,DATE(YEAR(X$6),MONTH(X$6)+1,0)&gt;$F36),"░","")),"")))</f>
        <v/>
      </c>
      <c r="Y36" s="34">
        <f>IF($AE36=1,"▶",IF($A36="","",IF($B36="Decision point",IF(AND(ISNUMBER($F36),$F36&gt;=Y$6,$F36&lt;=DATE(YEAR(Y$6),MONTH(Y$6)+1,0)),"◆",""),IF($B36="Project",IF(AND(ISNUMBER($E36),ISNUMBER($F36),$E36&lt;=DATE(YEAR(Y$6),MONTH(Y$6)+1,0),$F36&gt;=Y$6),"█",IF(AND(ISNUMBER($F36),ISNUMBER($G36),$G36&gt;$F36,Y$6&lt;=$G36,DATE(YEAR(Y$6),MONTH(Y$6)+1,0)&gt;$F36),"░","")),""))))</f>
        <v/>
      </c>
      <c r="AA36" s="9">
        <f>IF(AND($B36="Project",OR($D36="Active",$D36="Paused"),ISNUMBER($G36)),$G36,"")</f>
        <v/>
      </c>
      <c r="AB36" s="9">
        <f>IF(AND($B36="Decision point",ISNUMBER($F36)),IF($F36&gt;=Dashboard!$B$16,$F36,""),"")</f>
        <v/>
      </c>
      <c r="AC36" s="9">
        <f>IF(LEFT($I36,1)="△",1,0)</f>
        <v/>
      </c>
      <c r="AD36" s="9">
        <f>IF(ISNUMBER($AB36),100000-$AB36,0)</f>
        <v/>
      </c>
      <c r="AE36" s="9">
        <f>IF($A36="",0,IF(OR(AND(ISNUMBER($F36),$F36&gt;DATE(YEAR($Y$6),MONTH($Y$6)+1,0)),AND($B36="Project",ISNUMBER($G36),$G36&gt;DATE(YEAR($Y$6),MONTH($Y$6)+1,0))),1,0))</f>
        <v/>
      </c>
    </row>
  </sheetData>
  <sheetProtection selectLockedCells="0" selectUnlockedCells="0" sheet="1" objects="0" insertRows="1" insertHyperlinks="1" autoFilter="0" scenarios="0" formatColumns="0" deleteColumns="1" insertColumns="1" pivotTables="1" deleteRows="1" formatCells="0" formatRows="0" sort="0"/>
  <autoFilter ref="A6:Y36"/>
  <mergeCells count="1">
    <mergeCell ref="A5:Y5"/>
  </mergeCells>
  <conditionalFormatting sqref="I7:I36">
    <cfRule type="expression" priority="1" dxfId="0" stopIfTrue="0">
      <formula>OR(LEFT(I7,1)="△",LEFT(I7,1)="■")</formula>
    </cfRule>
  </conditionalFormatting>
  <dataValidations count="6">
    <dataValidation sqref="A7:A36" showDropDown="0" showInputMessage="0" showErrorMessage="1" allowBlank="1" errorTitle="Check this entry" error="Another row already has this name. Use a different one: Dependencies and the Dashboard find a row by its name." type="custom" errorStyle="stop">
      <formula1>SUMPRODUCT(--($A$7:$A$36=A7))=1</formula1>
    </dataValidation>
    <dataValidation sqref="B7:B36" showDropDown="0" showInputMessage="0" showErrorMessage="1" allowBlank="1" errorTitle="Check this entry" error="Pick Project or Decision point." type="list" errorStyle="stop">
      <formula1>"Project,Decision point"</formula1>
    </dataValidation>
    <dataValidation sqref="D7:D36" showDropDown="0" showInputMessage="0" showErrorMessage="1" allowBlank="1" errorTitle="Check this entry" error="Pick a status from the list." type="list" errorStyle="stop">
      <formula1>"Proposed,Active,Paused,Completed,Terminated"</formula1>
    </dataValidation>
    <dataValidation sqref="E7:E36" showDropDown="0" showInputMessage="0" showErrorMessage="1" allowBlank="1" errorTitle="Check this entry" error="Type a date, such as 30 Jun 2027." type="date" errorStyle="stop" operator="between">
      <formula1>36526</formula1>
      <formula2>73415</formula2>
    </dataValidation>
    <dataValidation sqref="F7:F36" showDropDown="0" showInputMessage="0" showErrorMessage="1" allowBlank="1" errorTitle="Check this entry" error="Type a date, such as 30 Jun 2027." type="date" errorStyle="stop" operator="between">
      <formula1>36526</formula1>
      <formula2>73415</formula2>
    </dataValidation>
    <dataValidation sqref="G7:G36" showDropDown="0" showInputMessage="0" showErrorMessage="1" allowBlank="1" errorTitle="Check this entry" error="Type a date, such as 30 Jun 2027." type="date" errorStyle="stop" operator="between">
      <formula1>36526</formula1>
      <formula2>73415</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fitToPage="1"/>
  </sheetPr>
  <dimension ref="A1:V46"/>
  <sheetViews>
    <sheetView showGridLines="0" tabSelected="0" workbookViewId="0">
      <pane xSplit="1" ySplit="6" topLeftCell="B7" activePane="bottomRight" state="frozen"/>
      <selection pane="topRight"/>
      <selection pane="bottomLeft"/>
      <selection pane="bottomRight" activeCell="A1" sqref="A1"/>
    </sheetView>
  </sheetViews>
  <sheetFormatPr baseColWidth="8" defaultRowHeight="15"/>
  <cols>
    <col width="46" customWidth="1" min="1" max="1"/>
    <col width="24" customWidth="1" min="2" max="2"/>
    <col width="24" customWidth="1" min="3" max="3"/>
    <col width="11" customWidth="1" min="4" max="4"/>
    <col width="13" customWidth="1" min="5" max="5"/>
    <col width="13" customWidth="1" min="6" max="6"/>
    <col width="13" customWidth="1" min="7" max="7"/>
    <col width="11" customWidth="1" min="8" max="8"/>
    <col width="13" customWidth="1" min="9" max="9"/>
    <col width="30" customWidth="1" min="10" max="10"/>
    <col width="26" customWidth="1" min="11" max="11"/>
    <col width="13" customWidth="1" min="12" max="12"/>
    <col width="11" customWidth="1" min="13" max="13"/>
    <col width="12" customWidth="1" min="14" max="14"/>
    <col width="50" customWidth="1" min="15" max="15"/>
    <col hidden="1" width="12" customWidth="1" min="16" max="16"/>
    <col hidden="1" width="12" customWidth="1" min="17" max="17"/>
    <col hidden="1" width="12" customWidth="1" min="18" max="18"/>
    <col hidden="1" width="12" customWidth="1" min="19" max="19"/>
    <col hidden="1" width="12" customWidth="1" min="20" max="20"/>
    <col hidden="1" width="12" customWidth="1" min="21" max="21"/>
    <col hidden="1" width="12" customWidth="1" min="22" max="22"/>
  </cols>
  <sheetData>
    <row r="1" ht="24" customHeight="1">
      <c r="B1" s="1" t="inlineStr">
        <is>
          <t>Dependencies</t>
        </is>
      </c>
    </row>
    <row r="2" ht="15" customHeight="1">
      <c r="A2" s="7">
        <f>IF(Dashboard!$B$6="","","Program: "&amp;Dashboard!$B$6&amp;IF(Dashboard!$B$7="",".",". Sits under: "&amp;Dashboard!$B$7&amp;"."))</f>
        <v/>
      </c>
    </row>
    <row r="3" ht="6" customHeight="1"/>
    <row r="4" ht="15" customHeight="1"/>
    <row r="5" ht="18" customHeight="1">
      <c r="A5" s="8" t="inlineStr">
        <is>
          <t>Dependencies</t>
        </is>
      </c>
    </row>
    <row r="6" ht="30" customHeight="1">
      <c r="A6" s="26" t="inlineStr">
        <is>
          <t>Needs</t>
        </is>
      </c>
      <c r="B6" s="26" t="inlineStr">
        <is>
          <t>Needing project</t>
        </is>
      </c>
      <c r="C6" s="26" t="inlineStr">
        <is>
          <t>Provided by</t>
        </is>
      </c>
      <c r="D6" s="26" t="inlineStr">
        <is>
          <t>Outside this program?</t>
        </is>
      </c>
      <c r="E6" s="26" t="inlineStr">
        <is>
          <t>Needed by</t>
        </is>
      </c>
      <c r="F6" s="26" t="inlineStr">
        <is>
          <t>Asked on</t>
        </is>
      </c>
      <c r="G6" s="26" t="inlineStr">
        <is>
          <t>Promised</t>
        </is>
      </c>
      <c r="H6" s="26" t="inlineStr">
        <is>
          <t>State</t>
        </is>
      </c>
      <c r="I6" s="26" t="inlineStr">
        <is>
          <t>Expected</t>
        </is>
      </c>
      <c r="J6" s="26" t="inlineStr">
        <is>
          <t>Who answers</t>
        </is>
      </c>
      <c r="K6" s="26" t="inlineStr">
        <is>
          <t>Reason</t>
        </is>
      </c>
      <c r="L6" s="21" t="inlineStr">
        <is>
          <t>Date it will arrive</t>
        </is>
      </c>
      <c r="M6" s="21" t="inlineStr">
        <is>
          <t>Working days after needed</t>
        </is>
      </c>
      <c r="N6" s="21" t="inlineStr">
        <is>
          <t>Shown as</t>
        </is>
      </c>
      <c r="O6" s="21" t="inlineStr">
        <is>
          <t>Row check</t>
        </is>
      </c>
      <c r="P6" s="21" t="inlineStr">
        <is>
          <t>Name or date missing (1 or 0)</t>
        </is>
      </c>
      <c r="Q6" s="21" t="inlineStr">
        <is>
          <t>Asked longer than the limit (1 or 0)</t>
        </is>
      </c>
      <c r="R6" s="21" t="inlineStr">
        <is>
          <t>Slipped, past due or declined (1 or 0)</t>
        </is>
      </c>
      <c r="S6" s="21" t="inlineStr">
        <is>
          <t>Open, once per record (1 or 0)</t>
        </is>
      </c>
      <c r="T6" s="21" t="inlineStr">
        <is>
          <t>Not asked (1 or 0)</t>
        </is>
      </c>
      <c r="U6" s="21" t="inlineStr">
        <is>
          <t>Sort key, worst first</t>
        </is>
      </c>
      <c r="V6" s="21" t="inlineStr">
        <is>
          <t>Helper, worked out</t>
        </is>
      </c>
    </row>
    <row r="7" ht="18" customHeight="1">
      <c r="A7" s="27" t="n"/>
      <c r="B7" s="27" t="n"/>
      <c r="C7" s="27" t="n"/>
      <c r="D7" s="28" t="n"/>
      <c r="E7" s="14" t="n"/>
      <c r="F7" s="14" t="n"/>
      <c r="G7" s="14" t="n"/>
      <c r="H7" s="28" t="n"/>
      <c r="I7" s="14" t="n"/>
      <c r="J7" s="27" t="n"/>
      <c r="K7" s="27" t="n"/>
      <c r="L7" s="16">
        <f>IF($A7="","",IF(AND(ISNUMBER($G7),ISNUMBER($I7)),MAX($G7,$I7),IF(ISNUMBER($G7),$G7,IF(ISNUMBER($I7),$I7,""))))</f>
        <v/>
      </c>
      <c r="M7" s="33">
        <f>IF(OR($A7="",NOT(ISNUMBER($L7)),NOT(ISNUMBER($E7))),"",IF($L7&gt;$E7,NETWORKDAYS($E7+1,$L7),""))</f>
        <v/>
      </c>
      <c r="N7" s="9">
        <f>IF($A7="","",IF($H7="","Not asked",IF(OR($H7="Met",$H7="Declined"),$H7&amp;"",IF(AND(ISNUMBER($G7),$G7&lt;Dashboard!$B$16),"Past due",IF(AND(ISNUMBER($L7),ISNUMBER($E7)),IF($L7&gt;$E7,"Slipped",$H7&amp;""),$H7&amp;"")))))</f>
        <v/>
      </c>
      <c r="O7" s="9">
        <f>IF($A7="","",IF($T7=1,"△ Not asked yet",IF(OR($B7="",$C7="",$E7="",$J7=""),"△ Needing project, Provided by, Needed by or Who answers is blank",IF(AND(OR($H7="Accepted",$H7="New date"),$G7=""),"△ Promised is blank",IF($Q7=1,IF(ISNUMBER($F7),"△ Asked, no answer after "&amp;NETWORKDAYS($F7+1,Dashboard!$B$16)&amp;IF(NETWORKDAYS($F7+1,Dashboard!$B$16)=1," working day"," working days"),"△ Asked on is blank"),IF($N7="Slipped","△ Arrives "&amp;$M7&amp;IF($M7=1," working day"," working days")&amp;" after Needed by",IF($N7="Past due","△ Past due: promised for "&amp;TEXT($G7,"d mmm yyyy"),IF($N7="Declined","△ Declined","○ Clear"))))))))</f>
        <v/>
      </c>
      <c r="P7" s="9">
        <f>IF($A7="",0,IF(OR($B7="",$C7="",$E7="",$J7=""),1,IF(AND(OR($H7="Accepted",$H7="New date"),$G7=""),1,0)))</f>
        <v/>
      </c>
      <c r="Q7" s="9">
        <f>IF($A7="",0,IF($H7&lt;&gt;"Asked",0,IF(NOT(ISNUMBER($F7)),1,IF(NETWORKDAYS($F7+1,Dashboard!$B$16)&gt;Dashboard!$H$8,1,0))))</f>
        <v/>
      </c>
      <c r="R7" s="9">
        <f>IF($A7="",0,IF(OR($N7="Slipped",$N7="Past due",$N7="Declined"),1,0))</f>
        <v/>
      </c>
      <c r="S7" s="9">
        <f>IF($A7="",0,IF(OR($N7="Not asked",$N7="Asked",$N7="Accepted",$N7="New date",$N7="Slipped",$N7="Past due"),1,0))</f>
        <v/>
      </c>
      <c r="T7" s="9">
        <f>IF($A7="",0,IF($N7="Not asked",1,0))</f>
        <v/>
      </c>
      <c r="U7" s="9">
        <f>IF($A7="","",IFERROR(MATCH($N7,{"Past due","Slipped","Declined","Not asked","Asked","New date","Accepted","Met"},0),50)*100+ROW())</f>
        <v/>
      </c>
      <c r="V7" s="9">
        <f>IF($P7+$Q7+$T7&gt;0,1,0)</f>
        <v/>
      </c>
    </row>
    <row r="8" ht="18" customHeight="1">
      <c r="A8" s="27" t="n"/>
      <c r="B8" s="27" t="n"/>
      <c r="C8" s="27" t="n"/>
      <c r="D8" s="28" t="n"/>
      <c r="E8" s="14" t="n"/>
      <c r="F8" s="14" t="n"/>
      <c r="G8" s="14" t="n"/>
      <c r="H8" s="28" t="n"/>
      <c r="I8" s="14" t="n"/>
      <c r="J8" s="27" t="n"/>
      <c r="K8" s="27" t="n"/>
      <c r="L8" s="16">
        <f>IF($A8="","",IF(AND(ISNUMBER($G8),ISNUMBER($I8)),MAX($G8,$I8),IF(ISNUMBER($G8),$G8,IF(ISNUMBER($I8),$I8,""))))</f>
        <v/>
      </c>
      <c r="M8" s="33">
        <f>IF(OR($A8="",NOT(ISNUMBER($L8)),NOT(ISNUMBER($E8))),"",IF($L8&gt;$E8,NETWORKDAYS($E8+1,$L8),""))</f>
        <v/>
      </c>
      <c r="N8" s="9">
        <f>IF($A8="","",IF($H8="","Not asked",IF(OR($H8="Met",$H8="Declined"),$H8&amp;"",IF(AND(ISNUMBER($G8),$G8&lt;Dashboard!$B$16),"Past due",IF(AND(ISNUMBER($L8),ISNUMBER($E8)),IF($L8&gt;$E8,"Slipped",$H8&amp;""),$H8&amp;"")))))</f>
        <v/>
      </c>
      <c r="O8" s="9">
        <f>IF($A8="","",IF($T8=1,"△ Not asked yet",IF(OR($B8="",$C8="",$E8="",$J8=""),"△ Needing project, Provided by, Needed by or Who answers is blank",IF(AND(OR($H8="Accepted",$H8="New date"),$G8=""),"△ Promised is blank",IF($Q8=1,IF(ISNUMBER($F8),"△ Asked, no answer after "&amp;NETWORKDAYS($F8+1,Dashboard!$B$16)&amp;IF(NETWORKDAYS($F8+1,Dashboard!$B$16)=1," working day"," working days"),"△ Asked on is blank"),IF($N8="Slipped","△ Arrives "&amp;$M8&amp;IF($M8=1," working day"," working days")&amp;" after Needed by",IF($N8="Past due","△ Past due: promised for "&amp;TEXT($G8,"d mmm yyyy"),IF($N8="Declined","△ Declined","○ Clear"))))))))</f>
        <v/>
      </c>
      <c r="P8" s="9">
        <f>IF($A8="",0,IF(OR($B8="",$C8="",$E8="",$J8=""),1,IF(AND(OR($H8="Accepted",$H8="New date"),$G8=""),1,0)))</f>
        <v/>
      </c>
      <c r="Q8" s="9">
        <f>IF($A8="",0,IF($H8&lt;&gt;"Asked",0,IF(NOT(ISNUMBER($F8)),1,IF(NETWORKDAYS($F8+1,Dashboard!$B$16)&gt;Dashboard!$H$8,1,0))))</f>
        <v/>
      </c>
      <c r="R8" s="9">
        <f>IF($A8="",0,IF(OR($N8="Slipped",$N8="Past due",$N8="Declined"),1,0))</f>
        <v/>
      </c>
      <c r="S8" s="9">
        <f>IF($A8="",0,IF(OR($N8="Not asked",$N8="Asked",$N8="Accepted",$N8="New date",$N8="Slipped",$N8="Past due"),1,0))</f>
        <v/>
      </c>
      <c r="T8" s="9">
        <f>IF($A8="",0,IF($N8="Not asked",1,0))</f>
        <v/>
      </c>
      <c r="U8" s="9">
        <f>IF($A8="","",IFERROR(MATCH($N8,{"Past due","Slipped","Declined","Not asked","Asked","New date","Accepted","Met"},0),50)*100+ROW())</f>
        <v/>
      </c>
      <c r="V8" s="9">
        <f>IF($P8+$Q8+$T8&gt;0,1,0)</f>
        <v/>
      </c>
    </row>
    <row r="9" ht="18" customHeight="1">
      <c r="A9" s="27" t="n"/>
      <c r="B9" s="27" t="n"/>
      <c r="C9" s="27" t="n"/>
      <c r="D9" s="28" t="n"/>
      <c r="E9" s="14" t="n"/>
      <c r="F9" s="14" t="n"/>
      <c r="G9" s="14" t="n"/>
      <c r="H9" s="28" t="n"/>
      <c r="I9" s="14" t="n"/>
      <c r="J9" s="27" t="n"/>
      <c r="K9" s="27" t="n"/>
      <c r="L9" s="16">
        <f>IF($A9="","",IF(AND(ISNUMBER($G9),ISNUMBER($I9)),MAX($G9,$I9),IF(ISNUMBER($G9),$G9,IF(ISNUMBER($I9),$I9,""))))</f>
        <v/>
      </c>
      <c r="M9" s="33">
        <f>IF(OR($A9="",NOT(ISNUMBER($L9)),NOT(ISNUMBER($E9))),"",IF($L9&gt;$E9,NETWORKDAYS($E9+1,$L9),""))</f>
        <v/>
      </c>
      <c r="N9" s="9">
        <f>IF($A9="","",IF($H9="","Not asked",IF(OR($H9="Met",$H9="Declined"),$H9&amp;"",IF(AND(ISNUMBER($G9),$G9&lt;Dashboard!$B$16),"Past due",IF(AND(ISNUMBER($L9),ISNUMBER($E9)),IF($L9&gt;$E9,"Slipped",$H9&amp;""),$H9&amp;"")))))</f>
        <v/>
      </c>
      <c r="O9" s="9">
        <f>IF($A9="","",IF($T9=1,"△ Not asked yet",IF(OR($B9="",$C9="",$E9="",$J9=""),"△ Needing project, Provided by, Needed by or Who answers is blank",IF(AND(OR($H9="Accepted",$H9="New date"),$G9=""),"△ Promised is blank",IF($Q9=1,IF(ISNUMBER($F9),"△ Asked, no answer after "&amp;NETWORKDAYS($F9+1,Dashboard!$B$16)&amp;IF(NETWORKDAYS($F9+1,Dashboard!$B$16)=1," working day"," working days"),"△ Asked on is blank"),IF($N9="Slipped","△ Arrives "&amp;$M9&amp;IF($M9=1," working day"," working days")&amp;" after Needed by",IF($N9="Past due","△ Past due: promised for "&amp;TEXT($G9,"d mmm yyyy"),IF($N9="Declined","△ Declined","○ Clear"))))))))</f>
        <v/>
      </c>
      <c r="P9" s="9">
        <f>IF($A9="",0,IF(OR($B9="",$C9="",$E9="",$J9=""),1,IF(AND(OR($H9="Accepted",$H9="New date"),$G9=""),1,0)))</f>
        <v/>
      </c>
      <c r="Q9" s="9">
        <f>IF($A9="",0,IF($H9&lt;&gt;"Asked",0,IF(NOT(ISNUMBER($F9)),1,IF(NETWORKDAYS($F9+1,Dashboard!$B$16)&gt;Dashboard!$H$8,1,0))))</f>
        <v/>
      </c>
      <c r="R9" s="9">
        <f>IF($A9="",0,IF(OR($N9="Slipped",$N9="Past due",$N9="Declined"),1,0))</f>
        <v/>
      </c>
      <c r="S9" s="9">
        <f>IF($A9="",0,IF(OR($N9="Not asked",$N9="Asked",$N9="Accepted",$N9="New date",$N9="Slipped",$N9="Past due"),1,0))</f>
        <v/>
      </c>
      <c r="T9" s="9">
        <f>IF($A9="",0,IF($N9="Not asked",1,0))</f>
        <v/>
      </c>
      <c r="U9" s="9">
        <f>IF($A9="","",IFERROR(MATCH($N9,{"Past due","Slipped","Declined","Not asked","Asked","New date","Accepted","Met"},0),50)*100+ROW())</f>
        <v/>
      </c>
      <c r="V9" s="9">
        <f>IF($P9+$Q9+$T9&gt;0,1,0)</f>
        <v/>
      </c>
    </row>
    <row r="10" ht="18" customHeight="1">
      <c r="A10" s="27" t="n"/>
      <c r="B10" s="27" t="n"/>
      <c r="C10" s="27" t="n"/>
      <c r="D10" s="28" t="n"/>
      <c r="E10" s="14" t="n"/>
      <c r="F10" s="14" t="n"/>
      <c r="G10" s="14" t="n"/>
      <c r="H10" s="28" t="n"/>
      <c r="I10" s="14" t="n"/>
      <c r="J10" s="27" t="n"/>
      <c r="K10" s="27" t="n"/>
      <c r="L10" s="16">
        <f>IF($A10="","",IF(AND(ISNUMBER($G10),ISNUMBER($I10)),MAX($G10,$I10),IF(ISNUMBER($G10),$G10,IF(ISNUMBER($I10),$I10,""))))</f>
        <v/>
      </c>
      <c r="M10" s="33">
        <f>IF(OR($A10="",NOT(ISNUMBER($L10)),NOT(ISNUMBER($E10))),"",IF($L10&gt;$E10,NETWORKDAYS($E10+1,$L10),""))</f>
        <v/>
      </c>
      <c r="N10" s="9">
        <f>IF($A10="","",IF($H10="","Not asked",IF(OR($H10="Met",$H10="Declined"),$H10&amp;"",IF(AND(ISNUMBER($G10),$G10&lt;Dashboard!$B$16),"Past due",IF(AND(ISNUMBER($L10),ISNUMBER($E10)),IF($L10&gt;$E10,"Slipped",$H10&amp;""),$H10&amp;"")))))</f>
        <v/>
      </c>
      <c r="O10" s="9">
        <f>IF($A10="","",IF($T10=1,"△ Not asked yet",IF(OR($B10="",$C10="",$E10="",$J10=""),"△ Needing project, Provided by, Needed by or Who answers is blank",IF(AND(OR($H10="Accepted",$H10="New date"),$G10=""),"△ Promised is blank",IF($Q10=1,IF(ISNUMBER($F10),"△ Asked, no answer after "&amp;NETWORKDAYS($F10+1,Dashboard!$B$16)&amp;IF(NETWORKDAYS($F10+1,Dashboard!$B$16)=1," working day"," working days"),"△ Asked on is blank"),IF($N10="Slipped","△ Arrives "&amp;$M10&amp;IF($M10=1," working day"," working days")&amp;" after Needed by",IF($N10="Past due","△ Past due: promised for "&amp;TEXT($G10,"d mmm yyyy"),IF($N10="Declined","△ Declined","○ Clear"))))))))</f>
        <v/>
      </c>
      <c r="P10" s="9">
        <f>IF($A10="",0,IF(OR($B10="",$C10="",$E10="",$J10=""),1,IF(AND(OR($H10="Accepted",$H10="New date"),$G10=""),1,0)))</f>
        <v/>
      </c>
      <c r="Q10" s="9">
        <f>IF($A10="",0,IF($H10&lt;&gt;"Asked",0,IF(NOT(ISNUMBER($F10)),1,IF(NETWORKDAYS($F10+1,Dashboard!$B$16)&gt;Dashboard!$H$8,1,0))))</f>
        <v/>
      </c>
      <c r="R10" s="9">
        <f>IF($A10="",0,IF(OR($N10="Slipped",$N10="Past due",$N10="Declined"),1,0))</f>
        <v/>
      </c>
      <c r="S10" s="9">
        <f>IF($A10="",0,IF(OR($N10="Not asked",$N10="Asked",$N10="Accepted",$N10="New date",$N10="Slipped",$N10="Past due"),1,0))</f>
        <v/>
      </c>
      <c r="T10" s="9">
        <f>IF($A10="",0,IF($N10="Not asked",1,0))</f>
        <v/>
      </c>
      <c r="U10" s="9">
        <f>IF($A10="","",IFERROR(MATCH($N10,{"Past due","Slipped","Declined","Not asked","Asked","New date","Accepted","Met"},0),50)*100+ROW())</f>
        <v/>
      </c>
      <c r="V10" s="9">
        <f>IF($P10+$Q10+$T10&gt;0,1,0)</f>
        <v/>
      </c>
    </row>
    <row r="11" ht="18" customHeight="1">
      <c r="A11" s="27" t="n"/>
      <c r="B11" s="27" t="n"/>
      <c r="C11" s="27" t="n"/>
      <c r="D11" s="28" t="n"/>
      <c r="E11" s="14" t="n"/>
      <c r="F11" s="14" t="n"/>
      <c r="G11" s="14" t="n"/>
      <c r="H11" s="28" t="n"/>
      <c r="I11" s="14" t="n"/>
      <c r="J11" s="27" t="n"/>
      <c r="K11" s="27" t="n"/>
      <c r="L11" s="16">
        <f>IF($A11="","",IF(AND(ISNUMBER($G11),ISNUMBER($I11)),MAX($G11,$I11),IF(ISNUMBER($G11),$G11,IF(ISNUMBER($I11),$I11,""))))</f>
        <v/>
      </c>
      <c r="M11" s="33">
        <f>IF(OR($A11="",NOT(ISNUMBER($L11)),NOT(ISNUMBER($E11))),"",IF($L11&gt;$E11,NETWORKDAYS($E11+1,$L11),""))</f>
        <v/>
      </c>
      <c r="N11" s="9">
        <f>IF($A11="","",IF($H11="","Not asked",IF(OR($H11="Met",$H11="Declined"),$H11&amp;"",IF(AND(ISNUMBER($G11),$G11&lt;Dashboard!$B$16),"Past due",IF(AND(ISNUMBER($L11),ISNUMBER($E11)),IF($L11&gt;$E11,"Slipped",$H11&amp;""),$H11&amp;"")))))</f>
        <v/>
      </c>
      <c r="O11" s="9">
        <f>IF($A11="","",IF($T11=1,"△ Not asked yet",IF(OR($B11="",$C11="",$E11="",$J11=""),"△ Needing project, Provided by, Needed by or Who answers is blank",IF(AND(OR($H11="Accepted",$H11="New date"),$G11=""),"△ Promised is blank",IF($Q11=1,IF(ISNUMBER($F11),"△ Asked, no answer after "&amp;NETWORKDAYS($F11+1,Dashboard!$B$16)&amp;IF(NETWORKDAYS($F11+1,Dashboard!$B$16)=1," working day"," working days"),"△ Asked on is blank"),IF($N11="Slipped","△ Arrives "&amp;$M11&amp;IF($M11=1," working day"," working days")&amp;" after Needed by",IF($N11="Past due","△ Past due: promised for "&amp;TEXT($G11,"d mmm yyyy"),IF($N11="Declined","△ Declined","○ Clear"))))))))</f>
        <v/>
      </c>
      <c r="P11" s="9">
        <f>IF($A11="",0,IF(OR($B11="",$C11="",$E11="",$J11=""),1,IF(AND(OR($H11="Accepted",$H11="New date"),$G11=""),1,0)))</f>
        <v/>
      </c>
      <c r="Q11" s="9">
        <f>IF($A11="",0,IF($H11&lt;&gt;"Asked",0,IF(NOT(ISNUMBER($F11)),1,IF(NETWORKDAYS($F11+1,Dashboard!$B$16)&gt;Dashboard!$H$8,1,0))))</f>
        <v/>
      </c>
      <c r="R11" s="9">
        <f>IF($A11="",0,IF(OR($N11="Slipped",$N11="Past due",$N11="Declined"),1,0))</f>
        <v/>
      </c>
      <c r="S11" s="9">
        <f>IF($A11="",0,IF(OR($N11="Not asked",$N11="Asked",$N11="Accepted",$N11="New date",$N11="Slipped",$N11="Past due"),1,0))</f>
        <v/>
      </c>
      <c r="T11" s="9">
        <f>IF($A11="",0,IF($N11="Not asked",1,0))</f>
        <v/>
      </c>
      <c r="U11" s="9">
        <f>IF($A11="","",IFERROR(MATCH($N11,{"Past due","Slipped","Declined","Not asked","Asked","New date","Accepted","Met"},0),50)*100+ROW())</f>
        <v/>
      </c>
      <c r="V11" s="9">
        <f>IF($P11+$Q11+$T11&gt;0,1,0)</f>
        <v/>
      </c>
    </row>
    <row r="12" ht="18" customHeight="1">
      <c r="A12" s="27" t="n"/>
      <c r="B12" s="27" t="n"/>
      <c r="C12" s="27" t="n"/>
      <c r="D12" s="28" t="n"/>
      <c r="E12" s="14" t="n"/>
      <c r="F12" s="14" t="n"/>
      <c r="G12" s="14" t="n"/>
      <c r="H12" s="28" t="n"/>
      <c r="I12" s="14" t="n"/>
      <c r="J12" s="27" t="n"/>
      <c r="K12" s="27" t="n"/>
      <c r="L12" s="16">
        <f>IF($A12="","",IF(AND(ISNUMBER($G12),ISNUMBER($I12)),MAX($G12,$I12),IF(ISNUMBER($G12),$G12,IF(ISNUMBER($I12),$I12,""))))</f>
        <v/>
      </c>
      <c r="M12" s="33">
        <f>IF(OR($A12="",NOT(ISNUMBER($L12)),NOT(ISNUMBER($E12))),"",IF($L12&gt;$E12,NETWORKDAYS($E12+1,$L12),""))</f>
        <v/>
      </c>
      <c r="N12" s="9">
        <f>IF($A12="","",IF($H12="","Not asked",IF(OR($H12="Met",$H12="Declined"),$H12&amp;"",IF(AND(ISNUMBER($G12),$G12&lt;Dashboard!$B$16),"Past due",IF(AND(ISNUMBER($L12),ISNUMBER($E12)),IF($L12&gt;$E12,"Slipped",$H12&amp;""),$H12&amp;"")))))</f>
        <v/>
      </c>
      <c r="O12" s="9">
        <f>IF($A12="","",IF($T12=1,"△ Not asked yet",IF(OR($B12="",$C12="",$E12="",$J12=""),"△ Needing project, Provided by, Needed by or Who answers is blank",IF(AND(OR($H12="Accepted",$H12="New date"),$G12=""),"△ Promised is blank",IF($Q12=1,IF(ISNUMBER($F12),"△ Asked, no answer after "&amp;NETWORKDAYS($F12+1,Dashboard!$B$16)&amp;IF(NETWORKDAYS($F12+1,Dashboard!$B$16)=1," working day"," working days"),"△ Asked on is blank"),IF($N12="Slipped","△ Arrives "&amp;$M12&amp;IF($M12=1," working day"," working days")&amp;" after Needed by",IF($N12="Past due","△ Past due: promised for "&amp;TEXT($G12,"d mmm yyyy"),IF($N12="Declined","△ Declined","○ Clear"))))))))</f>
        <v/>
      </c>
      <c r="P12" s="9">
        <f>IF($A12="",0,IF(OR($B12="",$C12="",$E12="",$J12=""),1,IF(AND(OR($H12="Accepted",$H12="New date"),$G12=""),1,0)))</f>
        <v/>
      </c>
      <c r="Q12" s="9">
        <f>IF($A12="",0,IF($H12&lt;&gt;"Asked",0,IF(NOT(ISNUMBER($F12)),1,IF(NETWORKDAYS($F12+1,Dashboard!$B$16)&gt;Dashboard!$H$8,1,0))))</f>
        <v/>
      </c>
      <c r="R12" s="9">
        <f>IF($A12="",0,IF(OR($N12="Slipped",$N12="Past due",$N12="Declined"),1,0))</f>
        <v/>
      </c>
      <c r="S12" s="9">
        <f>IF($A12="",0,IF(OR($N12="Not asked",$N12="Asked",$N12="Accepted",$N12="New date",$N12="Slipped",$N12="Past due"),1,0))</f>
        <v/>
      </c>
      <c r="T12" s="9">
        <f>IF($A12="",0,IF($N12="Not asked",1,0))</f>
        <v/>
      </c>
      <c r="U12" s="9">
        <f>IF($A12="","",IFERROR(MATCH($N12,{"Past due","Slipped","Declined","Not asked","Asked","New date","Accepted","Met"},0),50)*100+ROW())</f>
        <v/>
      </c>
      <c r="V12" s="9">
        <f>IF($P12+$Q12+$T12&gt;0,1,0)</f>
        <v/>
      </c>
    </row>
    <row r="13" ht="18" customHeight="1">
      <c r="A13" s="27" t="n"/>
      <c r="B13" s="27" t="n"/>
      <c r="C13" s="27" t="n"/>
      <c r="D13" s="28" t="n"/>
      <c r="E13" s="14" t="n"/>
      <c r="F13" s="14" t="n"/>
      <c r="G13" s="14" t="n"/>
      <c r="H13" s="28" t="n"/>
      <c r="I13" s="14" t="n"/>
      <c r="J13" s="27" t="n"/>
      <c r="K13" s="27" t="n"/>
      <c r="L13" s="16">
        <f>IF($A13="","",IF(AND(ISNUMBER($G13),ISNUMBER($I13)),MAX($G13,$I13),IF(ISNUMBER($G13),$G13,IF(ISNUMBER($I13),$I13,""))))</f>
        <v/>
      </c>
      <c r="M13" s="33">
        <f>IF(OR($A13="",NOT(ISNUMBER($L13)),NOT(ISNUMBER($E13))),"",IF($L13&gt;$E13,NETWORKDAYS($E13+1,$L13),""))</f>
        <v/>
      </c>
      <c r="N13" s="9">
        <f>IF($A13="","",IF($H13="","Not asked",IF(OR($H13="Met",$H13="Declined"),$H13&amp;"",IF(AND(ISNUMBER($G13),$G13&lt;Dashboard!$B$16),"Past due",IF(AND(ISNUMBER($L13),ISNUMBER($E13)),IF($L13&gt;$E13,"Slipped",$H13&amp;""),$H13&amp;"")))))</f>
        <v/>
      </c>
      <c r="O13" s="9">
        <f>IF($A13="","",IF($T13=1,"△ Not asked yet",IF(OR($B13="",$C13="",$E13="",$J13=""),"△ Needing project, Provided by, Needed by or Who answers is blank",IF(AND(OR($H13="Accepted",$H13="New date"),$G13=""),"△ Promised is blank",IF($Q13=1,IF(ISNUMBER($F13),"△ Asked, no answer after "&amp;NETWORKDAYS($F13+1,Dashboard!$B$16)&amp;IF(NETWORKDAYS($F13+1,Dashboard!$B$16)=1," working day"," working days"),"△ Asked on is blank"),IF($N13="Slipped","△ Arrives "&amp;$M13&amp;IF($M13=1," working day"," working days")&amp;" after Needed by",IF($N13="Past due","△ Past due: promised for "&amp;TEXT($G13,"d mmm yyyy"),IF($N13="Declined","△ Declined","○ Clear"))))))))</f>
        <v/>
      </c>
      <c r="P13" s="9">
        <f>IF($A13="",0,IF(OR($B13="",$C13="",$E13="",$J13=""),1,IF(AND(OR($H13="Accepted",$H13="New date"),$G13=""),1,0)))</f>
        <v/>
      </c>
      <c r="Q13" s="9">
        <f>IF($A13="",0,IF($H13&lt;&gt;"Asked",0,IF(NOT(ISNUMBER($F13)),1,IF(NETWORKDAYS($F13+1,Dashboard!$B$16)&gt;Dashboard!$H$8,1,0))))</f>
        <v/>
      </c>
      <c r="R13" s="9">
        <f>IF($A13="",0,IF(OR($N13="Slipped",$N13="Past due",$N13="Declined"),1,0))</f>
        <v/>
      </c>
      <c r="S13" s="9">
        <f>IF($A13="",0,IF(OR($N13="Not asked",$N13="Asked",$N13="Accepted",$N13="New date",$N13="Slipped",$N13="Past due"),1,0))</f>
        <v/>
      </c>
      <c r="T13" s="9">
        <f>IF($A13="",0,IF($N13="Not asked",1,0))</f>
        <v/>
      </c>
      <c r="U13" s="9">
        <f>IF($A13="","",IFERROR(MATCH($N13,{"Past due","Slipped","Declined","Not asked","Asked","New date","Accepted","Met"},0),50)*100+ROW())</f>
        <v/>
      </c>
      <c r="V13" s="9">
        <f>IF($P13+$Q13+$T13&gt;0,1,0)</f>
        <v/>
      </c>
    </row>
    <row r="14" ht="18" customHeight="1">
      <c r="A14" s="27" t="n"/>
      <c r="B14" s="27" t="n"/>
      <c r="C14" s="27" t="n"/>
      <c r="D14" s="28" t="n"/>
      <c r="E14" s="14" t="n"/>
      <c r="F14" s="14" t="n"/>
      <c r="G14" s="14" t="n"/>
      <c r="H14" s="28" t="n"/>
      <c r="I14" s="14" t="n"/>
      <c r="J14" s="27" t="n"/>
      <c r="K14" s="27" t="n"/>
      <c r="L14" s="16">
        <f>IF($A14="","",IF(AND(ISNUMBER($G14),ISNUMBER($I14)),MAX($G14,$I14),IF(ISNUMBER($G14),$G14,IF(ISNUMBER($I14),$I14,""))))</f>
        <v/>
      </c>
      <c r="M14" s="33">
        <f>IF(OR($A14="",NOT(ISNUMBER($L14)),NOT(ISNUMBER($E14))),"",IF($L14&gt;$E14,NETWORKDAYS($E14+1,$L14),""))</f>
        <v/>
      </c>
      <c r="N14" s="9">
        <f>IF($A14="","",IF($H14="","Not asked",IF(OR($H14="Met",$H14="Declined"),$H14&amp;"",IF(AND(ISNUMBER($G14),$G14&lt;Dashboard!$B$16),"Past due",IF(AND(ISNUMBER($L14),ISNUMBER($E14)),IF($L14&gt;$E14,"Slipped",$H14&amp;""),$H14&amp;"")))))</f>
        <v/>
      </c>
      <c r="O14" s="9">
        <f>IF($A14="","",IF($T14=1,"△ Not asked yet",IF(OR($B14="",$C14="",$E14="",$J14=""),"△ Needing project, Provided by, Needed by or Who answers is blank",IF(AND(OR($H14="Accepted",$H14="New date"),$G14=""),"△ Promised is blank",IF($Q14=1,IF(ISNUMBER($F14),"△ Asked, no answer after "&amp;NETWORKDAYS($F14+1,Dashboard!$B$16)&amp;IF(NETWORKDAYS($F14+1,Dashboard!$B$16)=1," working day"," working days"),"△ Asked on is blank"),IF($N14="Slipped","△ Arrives "&amp;$M14&amp;IF($M14=1," working day"," working days")&amp;" after Needed by",IF($N14="Past due","△ Past due: promised for "&amp;TEXT($G14,"d mmm yyyy"),IF($N14="Declined","△ Declined","○ Clear"))))))))</f>
        <v/>
      </c>
      <c r="P14" s="9">
        <f>IF($A14="",0,IF(OR($B14="",$C14="",$E14="",$J14=""),1,IF(AND(OR($H14="Accepted",$H14="New date"),$G14=""),1,0)))</f>
        <v/>
      </c>
      <c r="Q14" s="9">
        <f>IF($A14="",0,IF($H14&lt;&gt;"Asked",0,IF(NOT(ISNUMBER($F14)),1,IF(NETWORKDAYS($F14+1,Dashboard!$B$16)&gt;Dashboard!$H$8,1,0))))</f>
        <v/>
      </c>
      <c r="R14" s="9">
        <f>IF($A14="",0,IF(OR($N14="Slipped",$N14="Past due",$N14="Declined"),1,0))</f>
        <v/>
      </c>
      <c r="S14" s="9">
        <f>IF($A14="",0,IF(OR($N14="Not asked",$N14="Asked",$N14="Accepted",$N14="New date",$N14="Slipped",$N14="Past due"),1,0))</f>
        <v/>
      </c>
      <c r="T14" s="9">
        <f>IF($A14="",0,IF($N14="Not asked",1,0))</f>
        <v/>
      </c>
      <c r="U14" s="9">
        <f>IF($A14="","",IFERROR(MATCH($N14,{"Past due","Slipped","Declined","Not asked","Asked","New date","Accepted","Met"},0),50)*100+ROW())</f>
        <v/>
      </c>
      <c r="V14" s="9">
        <f>IF($P14+$Q14+$T14&gt;0,1,0)</f>
        <v/>
      </c>
    </row>
    <row r="15" ht="18" customHeight="1">
      <c r="A15" s="27" t="n"/>
      <c r="B15" s="27" t="n"/>
      <c r="C15" s="27" t="n"/>
      <c r="D15" s="28" t="n"/>
      <c r="E15" s="14" t="n"/>
      <c r="F15" s="14" t="n"/>
      <c r="G15" s="14" t="n"/>
      <c r="H15" s="28" t="n"/>
      <c r="I15" s="14" t="n"/>
      <c r="J15" s="27" t="n"/>
      <c r="K15" s="27" t="n"/>
      <c r="L15" s="16">
        <f>IF($A15="","",IF(AND(ISNUMBER($G15),ISNUMBER($I15)),MAX($G15,$I15),IF(ISNUMBER($G15),$G15,IF(ISNUMBER($I15),$I15,""))))</f>
        <v/>
      </c>
      <c r="M15" s="33">
        <f>IF(OR($A15="",NOT(ISNUMBER($L15)),NOT(ISNUMBER($E15))),"",IF($L15&gt;$E15,NETWORKDAYS($E15+1,$L15),""))</f>
        <v/>
      </c>
      <c r="N15" s="9">
        <f>IF($A15="","",IF($H15="","Not asked",IF(OR($H15="Met",$H15="Declined"),$H15&amp;"",IF(AND(ISNUMBER($G15),$G15&lt;Dashboard!$B$16),"Past due",IF(AND(ISNUMBER($L15),ISNUMBER($E15)),IF($L15&gt;$E15,"Slipped",$H15&amp;""),$H15&amp;"")))))</f>
        <v/>
      </c>
      <c r="O15" s="9">
        <f>IF($A15="","",IF($T15=1,"△ Not asked yet",IF(OR($B15="",$C15="",$E15="",$J15=""),"△ Needing project, Provided by, Needed by or Who answers is blank",IF(AND(OR($H15="Accepted",$H15="New date"),$G15=""),"△ Promised is blank",IF($Q15=1,IF(ISNUMBER($F15),"△ Asked, no answer after "&amp;NETWORKDAYS($F15+1,Dashboard!$B$16)&amp;IF(NETWORKDAYS($F15+1,Dashboard!$B$16)=1," working day"," working days"),"△ Asked on is blank"),IF($N15="Slipped","△ Arrives "&amp;$M15&amp;IF($M15=1," working day"," working days")&amp;" after Needed by",IF($N15="Past due","△ Past due: promised for "&amp;TEXT($G15,"d mmm yyyy"),IF($N15="Declined","△ Declined","○ Clear"))))))))</f>
        <v/>
      </c>
      <c r="P15" s="9">
        <f>IF($A15="",0,IF(OR($B15="",$C15="",$E15="",$J15=""),1,IF(AND(OR($H15="Accepted",$H15="New date"),$G15=""),1,0)))</f>
        <v/>
      </c>
      <c r="Q15" s="9">
        <f>IF($A15="",0,IF($H15&lt;&gt;"Asked",0,IF(NOT(ISNUMBER($F15)),1,IF(NETWORKDAYS($F15+1,Dashboard!$B$16)&gt;Dashboard!$H$8,1,0))))</f>
        <v/>
      </c>
      <c r="R15" s="9">
        <f>IF($A15="",0,IF(OR($N15="Slipped",$N15="Past due",$N15="Declined"),1,0))</f>
        <v/>
      </c>
      <c r="S15" s="9">
        <f>IF($A15="",0,IF(OR($N15="Not asked",$N15="Asked",$N15="Accepted",$N15="New date",$N15="Slipped",$N15="Past due"),1,0))</f>
        <v/>
      </c>
      <c r="T15" s="9">
        <f>IF($A15="",0,IF($N15="Not asked",1,0))</f>
        <v/>
      </c>
      <c r="U15" s="9">
        <f>IF($A15="","",IFERROR(MATCH($N15,{"Past due","Slipped","Declined","Not asked","Asked","New date","Accepted","Met"},0),50)*100+ROW())</f>
        <v/>
      </c>
      <c r="V15" s="9">
        <f>IF($P15+$Q15+$T15&gt;0,1,0)</f>
        <v/>
      </c>
    </row>
    <row r="16" ht="18" customHeight="1">
      <c r="A16" s="27" t="n"/>
      <c r="B16" s="27" t="n"/>
      <c r="C16" s="27" t="n"/>
      <c r="D16" s="28" t="n"/>
      <c r="E16" s="14" t="n"/>
      <c r="F16" s="14" t="n"/>
      <c r="G16" s="14" t="n"/>
      <c r="H16" s="28" t="n"/>
      <c r="I16" s="14" t="n"/>
      <c r="J16" s="27" t="n"/>
      <c r="K16" s="27" t="n"/>
      <c r="L16" s="16">
        <f>IF($A16="","",IF(AND(ISNUMBER($G16),ISNUMBER($I16)),MAX($G16,$I16),IF(ISNUMBER($G16),$G16,IF(ISNUMBER($I16),$I16,""))))</f>
        <v/>
      </c>
      <c r="M16" s="33">
        <f>IF(OR($A16="",NOT(ISNUMBER($L16)),NOT(ISNUMBER($E16))),"",IF($L16&gt;$E16,NETWORKDAYS($E16+1,$L16),""))</f>
        <v/>
      </c>
      <c r="N16" s="9">
        <f>IF($A16="","",IF($H16="","Not asked",IF(OR($H16="Met",$H16="Declined"),$H16&amp;"",IF(AND(ISNUMBER($G16),$G16&lt;Dashboard!$B$16),"Past due",IF(AND(ISNUMBER($L16),ISNUMBER($E16)),IF($L16&gt;$E16,"Slipped",$H16&amp;""),$H16&amp;"")))))</f>
        <v/>
      </c>
      <c r="O16" s="9">
        <f>IF($A16="","",IF($T16=1,"△ Not asked yet",IF(OR($B16="",$C16="",$E16="",$J16=""),"△ Needing project, Provided by, Needed by or Who answers is blank",IF(AND(OR($H16="Accepted",$H16="New date"),$G16=""),"△ Promised is blank",IF($Q16=1,IF(ISNUMBER($F16),"△ Asked, no answer after "&amp;NETWORKDAYS($F16+1,Dashboard!$B$16)&amp;IF(NETWORKDAYS($F16+1,Dashboard!$B$16)=1," working day"," working days"),"△ Asked on is blank"),IF($N16="Slipped","△ Arrives "&amp;$M16&amp;IF($M16=1," working day"," working days")&amp;" after Needed by",IF($N16="Past due","△ Past due: promised for "&amp;TEXT($G16,"d mmm yyyy"),IF($N16="Declined","△ Declined","○ Clear"))))))))</f>
        <v/>
      </c>
      <c r="P16" s="9">
        <f>IF($A16="",0,IF(OR($B16="",$C16="",$E16="",$J16=""),1,IF(AND(OR($H16="Accepted",$H16="New date"),$G16=""),1,0)))</f>
        <v/>
      </c>
      <c r="Q16" s="9">
        <f>IF($A16="",0,IF($H16&lt;&gt;"Asked",0,IF(NOT(ISNUMBER($F16)),1,IF(NETWORKDAYS($F16+1,Dashboard!$B$16)&gt;Dashboard!$H$8,1,0))))</f>
        <v/>
      </c>
      <c r="R16" s="9">
        <f>IF($A16="",0,IF(OR($N16="Slipped",$N16="Past due",$N16="Declined"),1,0))</f>
        <v/>
      </c>
      <c r="S16" s="9">
        <f>IF($A16="",0,IF(OR($N16="Not asked",$N16="Asked",$N16="Accepted",$N16="New date",$N16="Slipped",$N16="Past due"),1,0))</f>
        <v/>
      </c>
      <c r="T16" s="9">
        <f>IF($A16="",0,IF($N16="Not asked",1,0))</f>
        <v/>
      </c>
      <c r="U16" s="9">
        <f>IF($A16="","",IFERROR(MATCH($N16,{"Past due","Slipped","Declined","Not asked","Asked","New date","Accepted","Met"},0),50)*100+ROW())</f>
        <v/>
      </c>
      <c r="V16" s="9">
        <f>IF($P16+$Q16+$T16&gt;0,1,0)</f>
        <v/>
      </c>
    </row>
    <row r="17" ht="18" customHeight="1">
      <c r="A17" s="27" t="n"/>
      <c r="B17" s="27" t="n"/>
      <c r="C17" s="27" t="n"/>
      <c r="D17" s="28" t="n"/>
      <c r="E17" s="14" t="n"/>
      <c r="F17" s="14" t="n"/>
      <c r="G17" s="14" t="n"/>
      <c r="H17" s="28" t="n"/>
      <c r="I17" s="14" t="n"/>
      <c r="J17" s="27" t="n"/>
      <c r="K17" s="27" t="n"/>
      <c r="L17" s="16">
        <f>IF($A17="","",IF(AND(ISNUMBER($G17),ISNUMBER($I17)),MAX($G17,$I17),IF(ISNUMBER($G17),$G17,IF(ISNUMBER($I17),$I17,""))))</f>
        <v/>
      </c>
      <c r="M17" s="33">
        <f>IF(OR($A17="",NOT(ISNUMBER($L17)),NOT(ISNUMBER($E17))),"",IF($L17&gt;$E17,NETWORKDAYS($E17+1,$L17),""))</f>
        <v/>
      </c>
      <c r="N17" s="9">
        <f>IF($A17="","",IF($H17="","Not asked",IF(OR($H17="Met",$H17="Declined"),$H17&amp;"",IF(AND(ISNUMBER($G17),$G17&lt;Dashboard!$B$16),"Past due",IF(AND(ISNUMBER($L17),ISNUMBER($E17)),IF($L17&gt;$E17,"Slipped",$H17&amp;""),$H17&amp;"")))))</f>
        <v/>
      </c>
      <c r="O17" s="9">
        <f>IF($A17="","",IF($T17=1,"△ Not asked yet",IF(OR($B17="",$C17="",$E17="",$J17=""),"△ Needing project, Provided by, Needed by or Who answers is blank",IF(AND(OR($H17="Accepted",$H17="New date"),$G17=""),"△ Promised is blank",IF($Q17=1,IF(ISNUMBER($F17),"△ Asked, no answer after "&amp;NETWORKDAYS($F17+1,Dashboard!$B$16)&amp;IF(NETWORKDAYS($F17+1,Dashboard!$B$16)=1," working day"," working days"),"△ Asked on is blank"),IF($N17="Slipped","△ Arrives "&amp;$M17&amp;IF($M17=1," working day"," working days")&amp;" after Needed by",IF($N17="Past due","△ Past due: promised for "&amp;TEXT($G17,"d mmm yyyy"),IF($N17="Declined","△ Declined","○ Clear"))))))))</f>
        <v/>
      </c>
      <c r="P17" s="9">
        <f>IF($A17="",0,IF(OR($B17="",$C17="",$E17="",$J17=""),1,IF(AND(OR($H17="Accepted",$H17="New date"),$G17=""),1,0)))</f>
        <v/>
      </c>
      <c r="Q17" s="9">
        <f>IF($A17="",0,IF($H17&lt;&gt;"Asked",0,IF(NOT(ISNUMBER($F17)),1,IF(NETWORKDAYS($F17+1,Dashboard!$B$16)&gt;Dashboard!$H$8,1,0))))</f>
        <v/>
      </c>
      <c r="R17" s="9">
        <f>IF($A17="",0,IF(OR($N17="Slipped",$N17="Past due",$N17="Declined"),1,0))</f>
        <v/>
      </c>
      <c r="S17" s="9">
        <f>IF($A17="",0,IF(OR($N17="Not asked",$N17="Asked",$N17="Accepted",$N17="New date",$N17="Slipped",$N17="Past due"),1,0))</f>
        <v/>
      </c>
      <c r="T17" s="9">
        <f>IF($A17="",0,IF($N17="Not asked",1,0))</f>
        <v/>
      </c>
      <c r="U17" s="9">
        <f>IF($A17="","",IFERROR(MATCH($N17,{"Past due","Slipped","Declined","Not asked","Asked","New date","Accepted","Met"},0),50)*100+ROW())</f>
        <v/>
      </c>
      <c r="V17" s="9">
        <f>IF($P17+$Q17+$T17&gt;0,1,0)</f>
        <v/>
      </c>
    </row>
    <row r="18" ht="18" customHeight="1">
      <c r="A18" s="27" t="n"/>
      <c r="B18" s="27" t="n"/>
      <c r="C18" s="27" t="n"/>
      <c r="D18" s="28" t="n"/>
      <c r="E18" s="14" t="n"/>
      <c r="F18" s="14" t="n"/>
      <c r="G18" s="14" t="n"/>
      <c r="H18" s="28" t="n"/>
      <c r="I18" s="14" t="n"/>
      <c r="J18" s="27" t="n"/>
      <c r="K18" s="27" t="n"/>
      <c r="L18" s="16">
        <f>IF($A18="","",IF(AND(ISNUMBER($G18),ISNUMBER($I18)),MAX($G18,$I18),IF(ISNUMBER($G18),$G18,IF(ISNUMBER($I18),$I18,""))))</f>
        <v/>
      </c>
      <c r="M18" s="33">
        <f>IF(OR($A18="",NOT(ISNUMBER($L18)),NOT(ISNUMBER($E18))),"",IF($L18&gt;$E18,NETWORKDAYS($E18+1,$L18),""))</f>
        <v/>
      </c>
      <c r="N18" s="9">
        <f>IF($A18="","",IF($H18="","Not asked",IF(OR($H18="Met",$H18="Declined"),$H18&amp;"",IF(AND(ISNUMBER($G18),$G18&lt;Dashboard!$B$16),"Past due",IF(AND(ISNUMBER($L18),ISNUMBER($E18)),IF($L18&gt;$E18,"Slipped",$H18&amp;""),$H18&amp;"")))))</f>
        <v/>
      </c>
      <c r="O18" s="9">
        <f>IF($A18="","",IF($T18=1,"△ Not asked yet",IF(OR($B18="",$C18="",$E18="",$J18=""),"△ Needing project, Provided by, Needed by or Who answers is blank",IF(AND(OR($H18="Accepted",$H18="New date"),$G18=""),"△ Promised is blank",IF($Q18=1,IF(ISNUMBER($F18),"△ Asked, no answer after "&amp;NETWORKDAYS($F18+1,Dashboard!$B$16)&amp;IF(NETWORKDAYS($F18+1,Dashboard!$B$16)=1," working day"," working days"),"△ Asked on is blank"),IF($N18="Slipped","△ Arrives "&amp;$M18&amp;IF($M18=1," working day"," working days")&amp;" after Needed by",IF($N18="Past due","△ Past due: promised for "&amp;TEXT($G18,"d mmm yyyy"),IF($N18="Declined","△ Declined","○ Clear"))))))))</f>
        <v/>
      </c>
      <c r="P18" s="9">
        <f>IF($A18="",0,IF(OR($B18="",$C18="",$E18="",$J18=""),1,IF(AND(OR($H18="Accepted",$H18="New date"),$G18=""),1,0)))</f>
        <v/>
      </c>
      <c r="Q18" s="9">
        <f>IF($A18="",0,IF($H18&lt;&gt;"Asked",0,IF(NOT(ISNUMBER($F18)),1,IF(NETWORKDAYS($F18+1,Dashboard!$B$16)&gt;Dashboard!$H$8,1,0))))</f>
        <v/>
      </c>
      <c r="R18" s="9">
        <f>IF($A18="",0,IF(OR($N18="Slipped",$N18="Past due",$N18="Declined"),1,0))</f>
        <v/>
      </c>
      <c r="S18" s="9">
        <f>IF($A18="",0,IF(OR($N18="Not asked",$N18="Asked",$N18="Accepted",$N18="New date",$N18="Slipped",$N18="Past due"),1,0))</f>
        <v/>
      </c>
      <c r="T18" s="9">
        <f>IF($A18="",0,IF($N18="Not asked",1,0))</f>
        <v/>
      </c>
      <c r="U18" s="9">
        <f>IF($A18="","",IFERROR(MATCH($N18,{"Past due","Slipped","Declined","Not asked","Asked","New date","Accepted","Met"},0),50)*100+ROW())</f>
        <v/>
      </c>
      <c r="V18" s="9">
        <f>IF($P18+$Q18+$T18&gt;0,1,0)</f>
        <v/>
      </c>
    </row>
    <row r="19" ht="18" customHeight="1">
      <c r="A19" s="27" t="n"/>
      <c r="B19" s="27" t="n"/>
      <c r="C19" s="27" t="n"/>
      <c r="D19" s="28" t="n"/>
      <c r="E19" s="14" t="n"/>
      <c r="F19" s="14" t="n"/>
      <c r="G19" s="14" t="n"/>
      <c r="H19" s="28" t="n"/>
      <c r="I19" s="14" t="n"/>
      <c r="J19" s="27" t="n"/>
      <c r="K19" s="27" t="n"/>
      <c r="L19" s="16">
        <f>IF($A19="","",IF(AND(ISNUMBER($G19),ISNUMBER($I19)),MAX($G19,$I19),IF(ISNUMBER($G19),$G19,IF(ISNUMBER($I19),$I19,""))))</f>
        <v/>
      </c>
      <c r="M19" s="33">
        <f>IF(OR($A19="",NOT(ISNUMBER($L19)),NOT(ISNUMBER($E19))),"",IF($L19&gt;$E19,NETWORKDAYS($E19+1,$L19),""))</f>
        <v/>
      </c>
      <c r="N19" s="9">
        <f>IF($A19="","",IF($H19="","Not asked",IF(OR($H19="Met",$H19="Declined"),$H19&amp;"",IF(AND(ISNUMBER($G19),$G19&lt;Dashboard!$B$16),"Past due",IF(AND(ISNUMBER($L19),ISNUMBER($E19)),IF($L19&gt;$E19,"Slipped",$H19&amp;""),$H19&amp;"")))))</f>
        <v/>
      </c>
      <c r="O19" s="9">
        <f>IF($A19="","",IF($T19=1,"△ Not asked yet",IF(OR($B19="",$C19="",$E19="",$J19=""),"△ Needing project, Provided by, Needed by or Who answers is blank",IF(AND(OR($H19="Accepted",$H19="New date"),$G19=""),"△ Promised is blank",IF($Q19=1,IF(ISNUMBER($F19),"△ Asked, no answer after "&amp;NETWORKDAYS($F19+1,Dashboard!$B$16)&amp;IF(NETWORKDAYS($F19+1,Dashboard!$B$16)=1," working day"," working days"),"△ Asked on is blank"),IF($N19="Slipped","△ Arrives "&amp;$M19&amp;IF($M19=1," working day"," working days")&amp;" after Needed by",IF($N19="Past due","△ Past due: promised for "&amp;TEXT($G19,"d mmm yyyy"),IF($N19="Declined","△ Declined","○ Clear"))))))))</f>
        <v/>
      </c>
      <c r="P19" s="9">
        <f>IF($A19="",0,IF(OR($B19="",$C19="",$E19="",$J19=""),1,IF(AND(OR($H19="Accepted",$H19="New date"),$G19=""),1,0)))</f>
        <v/>
      </c>
      <c r="Q19" s="9">
        <f>IF($A19="",0,IF($H19&lt;&gt;"Asked",0,IF(NOT(ISNUMBER($F19)),1,IF(NETWORKDAYS($F19+1,Dashboard!$B$16)&gt;Dashboard!$H$8,1,0))))</f>
        <v/>
      </c>
      <c r="R19" s="9">
        <f>IF($A19="",0,IF(OR($N19="Slipped",$N19="Past due",$N19="Declined"),1,0))</f>
        <v/>
      </c>
      <c r="S19" s="9">
        <f>IF($A19="",0,IF(OR($N19="Not asked",$N19="Asked",$N19="Accepted",$N19="New date",$N19="Slipped",$N19="Past due"),1,0))</f>
        <v/>
      </c>
      <c r="T19" s="9">
        <f>IF($A19="",0,IF($N19="Not asked",1,0))</f>
        <v/>
      </c>
      <c r="U19" s="9">
        <f>IF($A19="","",IFERROR(MATCH($N19,{"Past due","Slipped","Declined","Not asked","Asked","New date","Accepted","Met"},0),50)*100+ROW())</f>
        <v/>
      </c>
      <c r="V19" s="9">
        <f>IF($P19+$Q19+$T19&gt;0,1,0)</f>
        <v/>
      </c>
    </row>
    <row r="20" ht="18" customHeight="1">
      <c r="A20" s="27" t="n"/>
      <c r="B20" s="27" t="n"/>
      <c r="C20" s="27" t="n"/>
      <c r="D20" s="28" t="n"/>
      <c r="E20" s="14" t="n"/>
      <c r="F20" s="14" t="n"/>
      <c r="G20" s="14" t="n"/>
      <c r="H20" s="28" t="n"/>
      <c r="I20" s="14" t="n"/>
      <c r="J20" s="27" t="n"/>
      <c r="K20" s="27" t="n"/>
      <c r="L20" s="16">
        <f>IF($A20="","",IF(AND(ISNUMBER($G20),ISNUMBER($I20)),MAX($G20,$I20),IF(ISNUMBER($G20),$G20,IF(ISNUMBER($I20),$I20,""))))</f>
        <v/>
      </c>
      <c r="M20" s="33">
        <f>IF(OR($A20="",NOT(ISNUMBER($L20)),NOT(ISNUMBER($E20))),"",IF($L20&gt;$E20,NETWORKDAYS($E20+1,$L20),""))</f>
        <v/>
      </c>
      <c r="N20" s="9">
        <f>IF($A20="","",IF($H20="","Not asked",IF(OR($H20="Met",$H20="Declined"),$H20&amp;"",IF(AND(ISNUMBER($G20),$G20&lt;Dashboard!$B$16),"Past due",IF(AND(ISNUMBER($L20),ISNUMBER($E20)),IF($L20&gt;$E20,"Slipped",$H20&amp;""),$H20&amp;"")))))</f>
        <v/>
      </c>
      <c r="O20" s="9">
        <f>IF($A20="","",IF($T20=1,"△ Not asked yet",IF(OR($B20="",$C20="",$E20="",$J20=""),"△ Needing project, Provided by, Needed by or Who answers is blank",IF(AND(OR($H20="Accepted",$H20="New date"),$G20=""),"△ Promised is blank",IF($Q20=1,IF(ISNUMBER($F20),"△ Asked, no answer after "&amp;NETWORKDAYS($F20+1,Dashboard!$B$16)&amp;IF(NETWORKDAYS($F20+1,Dashboard!$B$16)=1," working day"," working days"),"△ Asked on is blank"),IF($N20="Slipped","△ Arrives "&amp;$M20&amp;IF($M20=1," working day"," working days")&amp;" after Needed by",IF($N20="Past due","△ Past due: promised for "&amp;TEXT($G20,"d mmm yyyy"),IF($N20="Declined","△ Declined","○ Clear"))))))))</f>
        <v/>
      </c>
      <c r="P20" s="9">
        <f>IF($A20="",0,IF(OR($B20="",$C20="",$E20="",$J20=""),1,IF(AND(OR($H20="Accepted",$H20="New date"),$G20=""),1,0)))</f>
        <v/>
      </c>
      <c r="Q20" s="9">
        <f>IF($A20="",0,IF($H20&lt;&gt;"Asked",0,IF(NOT(ISNUMBER($F20)),1,IF(NETWORKDAYS($F20+1,Dashboard!$B$16)&gt;Dashboard!$H$8,1,0))))</f>
        <v/>
      </c>
      <c r="R20" s="9">
        <f>IF($A20="",0,IF(OR($N20="Slipped",$N20="Past due",$N20="Declined"),1,0))</f>
        <v/>
      </c>
      <c r="S20" s="9">
        <f>IF($A20="",0,IF(OR($N20="Not asked",$N20="Asked",$N20="Accepted",$N20="New date",$N20="Slipped",$N20="Past due"),1,0))</f>
        <v/>
      </c>
      <c r="T20" s="9">
        <f>IF($A20="",0,IF($N20="Not asked",1,0))</f>
        <v/>
      </c>
      <c r="U20" s="9">
        <f>IF($A20="","",IFERROR(MATCH($N20,{"Past due","Slipped","Declined","Not asked","Asked","New date","Accepted","Met"},0),50)*100+ROW())</f>
        <v/>
      </c>
      <c r="V20" s="9">
        <f>IF($P20+$Q20+$T20&gt;0,1,0)</f>
        <v/>
      </c>
    </row>
    <row r="21" ht="18" customHeight="1">
      <c r="A21" s="27" t="n"/>
      <c r="B21" s="27" t="n"/>
      <c r="C21" s="27" t="n"/>
      <c r="D21" s="28" t="n"/>
      <c r="E21" s="14" t="n"/>
      <c r="F21" s="14" t="n"/>
      <c r="G21" s="14" t="n"/>
      <c r="H21" s="28" t="n"/>
      <c r="I21" s="14" t="n"/>
      <c r="J21" s="27" t="n"/>
      <c r="K21" s="27" t="n"/>
      <c r="L21" s="16">
        <f>IF($A21="","",IF(AND(ISNUMBER($G21),ISNUMBER($I21)),MAX($G21,$I21),IF(ISNUMBER($G21),$G21,IF(ISNUMBER($I21),$I21,""))))</f>
        <v/>
      </c>
      <c r="M21" s="33">
        <f>IF(OR($A21="",NOT(ISNUMBER($L21)),NOT(ISNUMBER($E21))),"",IF($L21&gt;$E21,NETWORKDAYS($E21+1,$L21),""))</f>
        <v/>
      </c>
      <c r="N21" s="9">
        <f>IF($A21="","",IF($H21="","Not asked",IF(OR($H21="Met",$H21="Declined"),$H21&amp;"",IF(AND(ISNUMBER($G21),$G21&lt;Dashboard!$B$16),"Past due",IF(AND(ISNUMBER($L21),ISNUMBER($E21)),IF($L21&gt;$E21,"Slipped",$H21&amp;""),$H21&amp;"")))))</f>
        <v/>
      </c>
      <c r="O21" s="9">
        <f>IF($A21="","",IF($T21=1,"△ Not asked yet",IF(OR($B21="",$C21="",$E21="",$J21=""),"△ Needing project, Provided by, Needed by or Who answers is blank",IF(AND(OR($H21="Accepted",$H21="New date"),$G21=""),"△ Promised is blank",IF($Q21=1,IF(ISNUMBER($F21),"△ Asked, no answer after "&amp;NETWORKDAYS($F21+1,Dashboard!$B$16)&amp;IF(NETWORKDAYS($F21+1,Dashboard!$B$16)=1," working day"," working days"),"△ Asked on is blank"),IF($N21="Slipped","△ Arrives "&amp;$M21&amp;IF($M21=1," working day"," working days")&amp;" after Needed by",IF($N21="Past due","△ Past due: promised for "&amp;TEXT($G21,"d mmm yyyy"),IF($N21="Declined","△ Declined","○ Clear"))))))))</f>
        <v/>
      </c>
      <c r="P21" s="9">
        <f>IF($A21="",0,IF(OR($B21="",$C21="",$E21="",$J21=""),1,IF(AND(OR($H21="Accepted",$H21="New date"),$G21=""),1,0)))</f>
        <v/>
      </c>
      <c r="Q21" s="9">
        <f>IF($A21="",0,IF($H21&lt;&gt;"Asked",0,IF(NOT(ISNUMBER($F21)),1,IF(NETWORKDAYS($F21+1,Dashboard!$B$16)&gt;Dashboard!$H$8,1,0))))</f>
        <v/>
      </c>
      <c r="R21" s="9">
        <f>IF($A21="",0,IF(OR($N21="Slipped",$N21="Past due",$N21="Declined"),1,0))</f>
        <v/>
      </c>
      <c r="S21" s="9">
        <f>IF($A21="",0,IF(OR($N21="Not asked",$N21="Asked",$N21="Accepted",$N21="New date",$N21="Slipped",$N21="Past due"),1,0))</f>
        <v/>
      </c>
      <c r="T21" s="9">
        <f>IF($A21="",0,IF($N21="Not asked",1,0))</f>
        <v/>
      </c>
      <c r="U21" s="9">
        <f>IF($A21="","",IFERROR(MATCH($N21,{"Past due","Slipped","Declined","Not asked","Asked","New date","Accepted","Met"},0),50)*100+ROW())</f>
        <v/>
      </c>
      <c r="V21" s="9">
        <f>IF($P21+$Q21+$T21&gt;0,1,0)</f>
        <v/>
      </c>
    </row>
    <row r="22" ht="18" customHeight="1">
      <c r="A22" s="27" t="n"/>
      <c r="B22" s="27" t="n"/>
      <c r="C22" s="27" t="n"/>
      <c r="D22" s="28" t="n"/>
      <c r="E22" s="14" t="n"/>
      <c r="F22" s="14" t="n"/>
      <c r="G22" s="14" t="n"/>
      <c r="H22" s="28" t="n"/>
      <c r="I22" s="14" t="n"/>
      <c r="J22" s="27" t="n"/>
      <c r="K22" s="27" t="n"/>
      <c r="L22" s="16">
        <f>IF($A22="","",IF(AND(ISNUMBER($G22),ISNUMBER($I22)),MAX($G22,$I22),IF(ISNUMBER($G22),$G22,IF(ISNUMBER($I22),$I22,""))))</f>
        <v/>
      </c>
      <c r="M22" s="33">
        <f>IF(OR($A22="",NOT(ISNUMBER($L22)),NOT(ISNUMBER($E22))),"",IF($L22&gt;$E22,NETWORKDAYS($E22+1,$L22),""))</f>
        <v/>
      </c>
      <c r="N22" s="9">
        <f>IF($A22="","",IF($H22="","Not asked",IF(OR($H22="Met",$H22="Declined"),$H22&amp;"",IF(AND(ISNUMBER($G22),$G22&lt;Dashboard!$B$16),"Past due",IF(AND(ISNUMBER($L22),ISNUMBER($E22)),IF($L22&gt;$E22,"Slipped",$H22&amp;""),$H22&amp;"")))))</f>
        <v/>
      </c>
      <c r="O22" s="9">
        <f>IF($A22="","",IF($T22=1,"△ Not asked yet",IF(OR($B22="",$C22="",$E22="",$J22=""),"△ Needing project, Provided by, Needed by or Who answers is blank",IF(AND(OR($H22="Accepted",$H22="New date"),$G22=""),"△ Promised is blank",IF($Q22=1,IF(ISNUMBER($F22),"△ Asked, no answer after "&amp;NETWORKDAYS($F22+1,Dashboard!$B$16)&amp;IF(NETWORKDAYS($F22+1,Dashboard!$B$16)=1," working day"," working days"),"△ Asked on is blank"),IF($N22="Slipped","△ Arrives "&amp;$M22&amp;IF($M22=1," working day"," working days")&amp;" after Needed by",IF($N22="Past due","△ Past due: promised for "&amp;TEXT($G22,"d mmm yyyy"),IF($N22="Declined","△ Declined","○ Clear"))))))))</f>
        <v/>
      </c>
      <c r="P22" s="9">
        <f>IF($A22="",0,IF(OR($B22="",$C22="",$E22="",$J22=""),1,IF(AND(OR($H22="Accepted",$H22="New date"),$G22=""),1,0)))</f>
        <v/>
      </c>
      <c r="Q22" s="9">
        <f>IF($A22="",0,IF($H22&lt;&gt;"Asked",0,IF(NOT(ISNUMBER($F22)),1,IF(NETWORKDAYS($F22+1,Dashboard!$B$16)&gt;Dashboard!$H$8,1,0))))</f>
        <v/>
      </c>
      <c r="R22" s="9">
        <f>IF($A22="",0,IF(OR($N22="Slipped",$N22="Past due",$N22="Declined"),1,0))</f>
        <v/>
      </c>
      <c r="S22" s="9">
        <f>IF($A22="",0,IF(OR($N22="Not asked",$N22="Asked",$N22="Accepted",$N22="New date",$N22="Slipped",$N22="Past due"),1,0))</f>
        <v/>
      </c>
      <c r="T22" s="9">
        <f>IF($A22="",0,IF($N22="Not asked",1,0))</f>
        <v/>
      </c>
      <c r="U22" s="9">
        <f>IF($A22="","",IFERROR(MATCH($N22,{"Past due","Slipped","Declined","Not asked","Asked","New date","Accepted","Met"},0),50)*100+ROW())</f>
        <v/>
      </c>
      <c r="V22" s="9">
        <f>IF($P22+$Q22+$T22&gt;0,1,0)</f>
        <v/>
      </c>
    </row>
    <row r="23" ht="18" customHeight="1">
      <c r="A23" s="27" t="n"/>
      <c r="B23" s="27" t="n"/>
      <c r="C23" s="27" t="n"/>
      <c r="D23" s="28" t="n"/>
      <c r="E23" s="14" t="n"/>
      <c r="F23" s="14" t="n"/>
      <c r="G23" s="14" t="n"/>
      <c r="H23" s="28" t="n"/>
      <c r="I23" s="14" t="n"/>
      <c r="J23" s="27" t="n"/>
      <c r="K23" s="27" t="n"/>
      <c r="L23" s="16">
        <f>IF($A23="","",IF(AND(ISNUMBER($G23),ISNUMBER($I23)),MAX($G23,$I23),IF(ISNUMBER($G23),$G23,IF(ISNUMBER($I23),$I23,""))))</f>
        <v/>
      </c>
      <c r="M23" s="33">
        <f>IF(OR($A23="",NOT(ISNUMBER($L23)),NOT(ISNUMBER($E23))),"",IF($L23&gt;$E23,NETWORKDAYS($E23+1,$L23),""))</f>
        <v/>
      </c>
      <c r="N23" s="9">
        <f>IF($A23="","",IF($H23="","Not asked",IF(OR($H23="Met",$H23="Declined"),$H23&amp;"",IF(AND(ISNUMBER($G23),$G23&lt;Dashboard!$B$16),"Past due",IF(AND(ISNUMBER($L23),ISNUMBER($E23)),IF($L23&gt;$E23,"Slipped",$H23&amp;""),$H23&amp;"")))))</f>
        <v/>
      </c>
      <c r="O23" s="9">
        <f>IF($A23="","",IF($T23=1,"△ Not asked yet",IF(OR($B23="",$C23="",$E23="",$J23=""),"△ Needing project, Provided by, Needed by or Who answers is blank",IF(AND(OR($H23="Accepted",$H23="New date"),$G23=""),"△ Promised is blank",IF($Q23=1,IF(ISNUMBER($F23),"△ Asked, no answer after "&amp;NETWORKDAYS($F23+1,Dashboard!$B$16)&amp;IF(NETWORKDAYS($F23+1,Dashboard!$B$16)=1," working day"," working days"),"△ Asked on is blank"),IF($N23="Slipped","△ Arrives "&amp;$M23&amp;IF($M23=1," working day"," working days")&amp;" after Needed by",IF($N23="Past due","△ Past due: promised for "&amp;TEXT($G23,"d mmm yyyy"),IF($N23="Declined","△ Declined","○ Clear"))))))))</f>
        <v/>
      </c>
      <c r="P23" s="9">
        <f>IF($A23="",0,IF(OR($B23="",$C23="",$E23="",$J23=""),1,IF(AND(OR($H23="Accepted",$H23="New date"),$G23=""),1,0)))</f>
        <v/>
      </c>
      <c r="Q23" s="9">
        <f>IF($A23="",0,IF($H23&lt;&gt;"Asked",0,IF(NOT(ISNUMBER($F23)),1,IF(NETWORKDAYS($F23+1,Dashboard!$B$16)&gt;Dashboard!$H$8,1,0))))</f>
        <v/>
      </c>
      <c r="R23" s="9">
        <f>IF($A23="",0,IF(OR($N23="Slipped",$N23="Past due",$N23="Declined"),1,0))</f>
        <v/>
      </c>
      <c r="S23" s="9">
        <f>IF($A23="",0,IF(OR($N23="Not asked",$N23="Asked",$N23="Accepted",$N23="New date",$N23="Slipped",$N23="Past due"),1,0))</f>
        <v/>
      </c>
      <c r="T23" s="9">
        <f>IF($A23="",0,IF($N23="Not asked",1,0))</f>
        <v/>
      </c>
      <c r="U23" s="9">
        <f>IF($A23="","",IFERROR(MATCH($N23,{"Past due","Slipped","Declined","Not asked","Asked","New date","Accepted","Met"},0),50)*100+ROW())</f>
        <v/>
      </c>
      <c r="V23" s="9">
        <f>IF($P23+$Q23+$T23&gt;0,1,0)</f>
        <v/>
      </c>
    </row>
    <row r="24" ht="18" customHeight="1">
      <c r="A24" s="27" t="n"/>
      <c r="B24" s="27" t="n"/>
      <c r="C24" s="27" t="n"/>
      <c r="D24" s="28" t="n"/>
      <c r="E24" s="14" t="n"/>
      <c r="F24" s="14" t="n"/>
      <c r="G24" s="14" t="n"/>
      <c r="H24" s="28" t="n"/>
      <c r="I24" s="14" t="n"/>
      <c r="J24" s="27" t="n"/>
      <c r="K24" s="27" t="n"/>
      <c r="L24" s="16">
        <f>IF($A24="","",IF(AND(ISNUMBER($G24),ISNUMBER($I24)),MAX($G24,$I24),IF(ISNUMBER($G24),$G24,IF(ISNUMBER($I24),$I24,""))))</f>
        <v/>
      </c>
      <c r="M24" s="33">
        <f>IF(OR($A24="",NOT(ISNUMBER($L24)),NOT(ISNUMBER($E24))),"",IF($L24&gt;$E24,NETWORKDAYS($E24+1,$L24),""))</f>
        <v/>
      </c>
      <c r="N24" s="9">
        <f>IF($A24="","",IF($H24="","Not asked",IF(OR($H24="Met",$H24="Declined"),$H24&amp;"",IF(AND(ISNUMBER($G24),$G24&lt;Dashboard!$B$16),"Past due",IF(AND(ISNUMBER($L24),ISNUMBER($E24)),IF($L24&gt;$E24,"Slipped",$H24&amp;""),$H24&amp;"")))))</f>
        <v/>
      </c>
      <c r="O24" s="9">
        <f>IF($A24="","",IF($T24=1,"△ Not asked yet",IF(OR($B24="",$C24="",$E24="",$J24=""),"△ Needing project, Provided by, Needed by or Who answers is blank",IF(AND(OR($H24="Accepted",$H24="New date"),$G24=""),"△ Promised is blank",IF($Q24=1,IF(ISNUMBER($F24),"△ Asked, no answer after "&amp;NETWORKDAYS($F24+1,Dashboard!$B$16)&amp;IF(NETWORKDAYS($F24+1,Dashboard!$B$16)=1," working day"," working days"),"△ Asked on is blank"),IF($N24="Slipped","△ Arrives "&amp;$M24&amp;IF($M24=1," working day"," working days")&amp;" after Needed by",IF($N24="Past due","△ Past due: promised for "&amp;TEXT($G24,"d mmm yyyy"),IF($N24="Declined","△ Declined","○ Clear"))))))))</f>
        <v/>
      </c>
      <c r="P24" s="9">
        <f>IF($A24="",0,IF(OR($B24="",$C24="",$E24="",$J24=""),1,IF(AND(OR($H24="Accepted",$H24="New date"),$G24=""),1,0)))</f>
        <v/>
      </c>
      <c r="Q24" s="9">
        <f>IF($A24="",0,IF($H24&lt;&gt;"Asked",0,IF(NOT(ISNUMBER($F24)),1,IF(NETWORKDAYS($F24+1,Dashboard!$B$16)&gt;Dashboard!$H$8,1,0))))</f>
        <v/>
      </c>
      <c r="R24" s="9">
        <f>IF($A24="",0,IF(OR($N24="Slipped",$N24="Past due",$N24="Declined"),1,0))</f>
        <v/>
      </c>
      <c r="S24" s="9">
        <f>IF($A24="",0,IF(OR($N24="Not asked",$N24="Asked",$N24="Accepted",$N24="New date",$N24="Slipped",$N24="Past due"),1,0))</f>
        <v/>
      </c>
      <c r="T24" s="9">
        <f>IF($A24="",0,IF($N24="Not asked",1,0))</f>
        <v/>
      </c>
      <c r="U24" s="9">
        <f>IF($A24="","",IFERROR(MATCH($N24,{"Past due","Slipped","Declined","Not asked","Asked","New date","Accepted","Met"},0),50)*100+ROW())</f>
        <v/>
      </c>
      <c r="V24" s="9">
        <f>IF($P24+$Q24+$T24&gt;0,1,0)</f>
        <v/>
      </c>
    </row>
    <row r="25" ht="18" customHeight="1">
      <c r="A25" s="27" t="n"/>
      <c r="B25" s="27" t="n"/>
      <c r="C25" s="27" t="n"/>
      <c r="D25" s="28" t="n"/>
      <c r="E25" s="14" t="n"/>
      <c r="F25" s="14" t="n"/>
      <c r="G25" s="14" t="n"/>
      <c r="H25" s="28" t="n"/>
      <c r="I25" s="14" t="n"/>
      <c r="J25" s="27" t="n"/>
      <c r="K25" s="27" t="n"/>
      <c r="L25" s="16">
        <f>IF($A25="","",IF(AND(ISNUMBER($G25),ISNUMBER($I25)),MAX($G25,$I25),IF(ISNUMBER($G25),$G25,IF(ISNUMBER($I25),$I25,""))))</f>
        <v/>
      </c>
      <c r="M25" s="33">
        <f>IF(OR($A25="",NOT(ISNUMBER($L25)),NOT(ISNUMBER($E25))),"",IF($L25&gt;$E25,NETWORKDAYS($E25+1,$L25),""))</f>
        <v/>
      </c>
      <c r="N25" s="9">
        <f>IF($A25="","",IF($H25="","Not asked",IF(OR($H25="Met",$H25="Declined"),$H25&amp;"",IF(AND(ISNUMBER($G25),$G25&lt;Dashboard!$B$16),"Past due",IF(AND(ISNUMBER($L25),ISNUMBER($E25)),IF($L25&gt;$E25,"Slipped",$H25&amp;""),$H25&amp;"")))))</f>
        <v/>
      </c>
      <c r="O25" s="9">
        <f>IF($A25="","",IF($T25=1,"△ Not asked yet",IF(OR($B25="",$C25="",$E25="",$J25=""),"△ Needing project, Provided by, Needed by or Who answers is blank",IF(AND(OR($H25="Accepted",$H25="New date"),$G25=""),"△ Promised is blank",IF($Q25=1,IF(ISNUMBER($F25),"△ Asked, no answer after "&amp;NETWORKDAYS($F25+1,Dashboard!$B$16)&amp;IF(NETWORKDAYS($F25+1,Dashboard!$B$16)=1," working day"," working days"),"△ Asked on is blank"),IF($N25="Slipped","△ Arrives "&amp;$M25&amp;IF($M25=1," working day"," working days")&amp;" after Needed by",IF($N25="Past due","△ Past due: promised for "&amp;TEXT($G25,"d mmm yyyy"),IF($N25="Declined","△ Declined","○ Clear"))))))))</f>
        <v/>
      </c>
      <c r="P25" s="9">
        <f>IF($A25="",0,IF(OR($B25="",$C25="",$E25="",$J25=""),1,IF(AND(OR($H25="Accepted",$H25="New date"),$G25=""),1,0)))</f>
        <v/>
      </c>
      <c r="Q25" s="9">
        <f>IF($A25="",0,IF($H25&lt;&gt;"Asked",0,IF(NOT(ISNUMBER($F25)),1,IF(NETWORKDAYS($F25+1,Dashboard!$B$16)&gt;Dashboard!$H$8,1,0))))</f>
        <v/>
      </c>
      <c r="R25" s="9">
        <f>IF($A25="",0,IF(OR($N25="Slipped",$N25="Past due",$N25="Declined"),1,0))</f>
        <v/>
      </c>
      <c r="S25" s="9">
        <f>IF($A25="",0,IF(OR($N25="Not asked",$N25="Asked",$N25="Accepted",$N25="New date",$N25="Slipped",$N25="Past due"),1,0))</f>
        <v/>
      </c>
      <c r="T25" s="9">
        <f>IF($A25="",0,IF($N25="Not asked",1,0))</f>
        <v/>
      </c>
      <c r="U25" s="9">
        <f>IF($A25="","",IFERROR(MATCH($N25,{"Past due","Slipped","Declined","Not asked","Asked","New date","Accepted","Met"},0),50)*100+ROW())</f>
        <v/>
      </c>
      <c r="V25" s="9">
        <f>IF($P25+$Q25+$T25&gt;0,1,0)</f>
        <v/>
      </c>
    </row>
    <row r="26" ht="18" customHeight="1">
      <c r="A26" s="27" t="n"/>
      <c r="B26" s="27" t="n"/>
      <c r="C26" s="27" t="n"/>
      <c r="D26" s="28" t="n"/>
      <c r="E26" s="14" t="n"/>
      <c r="F26" s="14" t="n"/>
      <c r="G26" s="14" t="n"/>
      <c r="H26" s="28" t="n"/>
      <c r="I26" s="14" t="n"/>
      <c r="J26" s="27" t="n"/>
      <c r="K26" s="27" t="n"/>
      <c r="L26" s="16">
        <f>IF($A26="","",IF(AND(ISNUMBER($G26),ISNUMBER($I26)),MAX($G26,$I26),IF(ISNUMBER($G26),$G26,IF(ISNUMBER($I26),$I26,""))))</f>
        <v/>
      </c>
      <c r="M26" s="33">
        <f>IF(OR($A26="",NOT(ISNUMBER($L26)),NOT(ISNUMBER($E26))),"",IF($L26&gt;$E26,NETWORKDAYS($E26+1,$L26),""))</f>
        <v/>
      </c>
      <c r="N26" s="9">
        <f>IF($A26="","",IF($H26="","Not asked",IF(OR($H26="Met",$H26="Declined"),$H26&amp;"",IF(AND(ISNUMBER($G26),$G26&lt;Dashboard!$B$16),"Past due",IF(AND(ISNUMBER($L26),ISNUMBER($E26)),IF($L26&gt;$E26,"Slipped",$H26&amp;""),$H26&amp;"")))))</f>
        <v/>
      </c>
      <c r="O26" s="9">
        <f>IF($A26="","",IF($T26=1,"△ Not asked yet",IF(OR($B26="",$C26="",$E26="",$J26=""),"△ Needing project, Provided by, Needed by or Who answers is blank",IF(AND(OR($H26="Accepted",$H26="New date"),$G26=""),"△ Promised is blank",IF($Q26=1,IF(ISNUMBER($F26),"△ Asked, no answer after "&amp;NETWORKDAYS($F26+1,Dashboard!$B$16)&amp;IF(NETWORKDAYS($F26+1,Dashboard!$B$16)=1," working day"," working days"),"△ Asked on is blank"),IF($N26="Slipped","△ Arrives "&amp;$M26&amp;IF($M26=1," working day"," working days")&amp;" after Needed by",IF($N26="Past due","△ Past due: promised for "&amp;TEXT($G26,"d mmm yyyy"),IF($N26="Declined","△ Declined","○ Clear"))))))))</f>
        <v/>
      </c>
      <c r="P26" s="9">
        <f>IF($A26="",0,IF(OR($B26="",$C26="",$E26="",$J26=""),1,IF(AND(OR($H26="Accepted",$H26="New date"),$G26=""),1,0)))</f>
        <v/>
      </c>
      <c r="Q26" s="9">
        <f>IF($A26="",0,IF($H26&lt;&gt;"Asked",0,IF(NOT(ISNUMBER($F26)),1,IF(NETWORKDAYS($F26+1,Dashboard!$B$16)&gt;Dashboard!$H$8,1,0))))</f>
        <v/>
      </c>
      <c r="R26" s="9">
        <f>IF($A26="",0,IF(OR($N26="Slipped",$N26="Past due",$N26="Declined"),1,0))</f>
        <v/>
      </c>
      <c r="S26" s="9">
        <f>IF($A26="",0,IF(OR($N26="Not asked",$N26="Asked",$N26="Accepted",$N26="New date",$N26="Slipped",$N26="Past due"),1,0))</f>
        <v/>
      </c>
      <c r="T26" s="9">
        <f>IF($A26="",0,IF($N26="Not asked",1,0))</f>
        <v/>
      </c>
      <c r="U26" s="9">
        <f>IF($A26="","",IFERROR(MATCH($N26,{"Past due","Slipped","Declined","Not asked","Asked","New date","Accepted","Met"},0),50)*100+ROW())</f>
        <v/>
      </c>
      <c r="V26" s="9">
        <f>IF($P26+$Q26+$T26&gt;0,1,0)</f>
        <v/>
      </c>
    </row>
    <row r="27" ht="18" customHeight="1">
      <c r="A27" s="27" t="n"/>
      <c r="B27" s="27" t="n"/>
      <c r="C27" s="27" t="n"/>
      <c r="D27" s="28" t="n"/>
      <c r="E27" s="14" t="n"/>
      <c r="F27" s="14" t="n"/>
      <c r="G27" s="14" t="n"/>
      <c r="H27" s="28" t="n"/>
      <c r="I27" s="14" t="n"/>
      <c r="J27" s="27" t="n"/>
      <c r="K27" s="27" t="n"/>
      <c r="L27" s="16">
        <f>IF($A27="","",IF(AND(ISNUMBER($G27),ISNUMBER($I27)),MAX($G27,$I27),IF(ISNUMBER($G27),$G27,IF(ISNUMBER($I27),$I27,""))))</f>
        <v/>
      </c>
      <c r="M27" s="33">
        <f>IF(OR($A27="",NOT(ISNUMBER($L27)),NOT(ISNUMBER($E27))),"",IF($L27&gt;$E27,NETWORKDAYS($E27+1,$L27),""))</f>
        <v/>
      </c>
      <c r="N27" s="9">
        <f>IF($A27="","",IF($H27="","Not asked",IF(OR($H27="Met",$H27="Declined"),$H27&amp;"",IF(AND(ISNUMBER($G27),$G27&lt;Dashboard!$B$16),"Past due",IF(AND(ISNUMBER($L27),ISNUMBER($E27)),IF($L27&gt;$E27,"Slipped",$H27&amp;""),$H27&amp;"")))))</f>
        <v/>
      </c>
      <c r="O27" s="9">
        <f>IF($A27="","",IF($T27=1,"△ Not asked yet",IF(OR($B27="",$C27="",$E27="",$J27=""),"△ Needing project, Provided by, Needed by or Who answers is blank",IF(AND(OR($H27="Accepted",$H27="New date"),$G27=""),"△ Promised is blank",IF($Q27=1,IF(ISNUMBER($F27),"△ Asked, no answer after "&amp;NETWORKDAYS($F27+1,Dashboard!$B$16)&amp;IF(NETWORKDAYS($F27+1,Dashboard!$B$16)=1," working day"," working days"),"△ Asked on is blank"),IF($N27="Slipped","△ Arrives "&amp;$M27&amp;IF($M27=1," working day"," working days")&amp;" after Needed by",IF($N27="Past due","△ Past due: promised for "&amp;TEXT($G27,"d mmm yyyy"),IF($N27="Declined","△ Declined","○ Clear"))))))))</f>
        <v/>
      </c>
      <c r="P27" s="9">
        <f>IF($A27="",0,IF(OR($B27="",$C27="",$E27="",$J27=""),1,IF(AND(OR($H27="Accepted",$H27="New date"),$G27=""),1,0)))</f>
        <v/>
      </c>
      <c r="Q27" s="9">
        <f>IF($A27="",0,IF($H27&lt;&gt;"Asked",0,IF(NOT(ISNUMBER($F27)),1,IF(NETWORKDAYS($F27+1,Dashboard!$B$16)&gt;Dashboard!$H$8,1,0))))</f>
        <v/>
      </c>
      <c r="R27" s="9">
        <f>IF($A27="",0,IF(OR($N27="Slipped",$N27="Past due",$N27="Declined"),1,0))</f>
        <v/>
      </c>
      <c r="S27" s="9">
        <f>IF($A27="",0,IF(OR($N27="Not asked",$N27="Asked",$N27="Accepted",$N27="New date",$N27="Slipped",$N27="Past due"),1,0))</f>
        <v/>
      </c>
      <c r="T27" s="9">
        <f>IF($A27="",0,IF($N27="Not asked",1,0))</f>
        <v/>
      </c>
      <c r="U27" s="9">
        <f>IF($A27="","",IFERROR(MATCH($N27,{"Past due","Slipped","Declined","Not asked","Asked","New date","Accepted","Met"},0),50)*100+ROW())</f>
        <v/>
      </c>
      <c r="V27" s="9">
        <f>IF($P27+$Q27+$T27&gt;0,1,0)</f>
        <v/>
      </c>
    </row>
    <row r="28" ht="18" customHeight="1">
      <c r="A28" s="27" t="n"/>
      <c r="B28" s="27" t="n"/>
      <c r="C28" s="27" t="n"/>
      <c r="D28" s="28" t="n"/>
      <c r="E28" s="14" t="n"/>
      <c r="F28" s="14" t="n"/>
      <c r="G28" s="14" t="n"/>
      <c r="H28" s="28" t="n"/>
      <c r="I28" s="14" t="n"/>
      <c r="J28" s="27" t="n"/>
      <c r="K28" s="27" t="n"/>
      <c r="L28" s="16">
        <f>IF($A28="","",IF(AND(ISNUMBER($G28),ISNUMBER($I28)),MAX($G28,$I28),IF(ISNUMBER($G28),$G28,IF(ISNUMBER($I28),$I28,""))))</f>
        <v/>
      </c>
      <c r="M28" s="33">
        <f>IF(OR($A28="",NOT(ISNUMBER($L28)),NOT(ISNUMBER($E28))),"",IF($L28&gt;$E28,NETWORKDAYS($E28+1,$L28),""))</f>
        <v/>
      </c>
      <c r="N28" s="9">
        <f>IF($A28="","",IF($H28="","Not asked",IF(OR($H28="Met",$H28="Declined"),$H28&amp;"",IF(AND(ISNUMBER($G28),$G28&lt;Dashboard!$B$16),"Past due",IF(AND(ISNUMBER($L28),ISNUMBER($E28)),IF($L28&gt;$E28,"Slipped",$H28&amp;""),$H28&amp;"")))))</f>
        <v/>
      </c>
      <c r="O28" s="9">
        <f>IF($A28="","",IF($T28=1,"△ Not asked yet",IF(OR($B28="",$C28="",$E28="",$J28=""),"△ Needing project, Provided by, Needed by or Who answers is blank",IF(AND(OR($H28="Accepted",$H28="New date"),$G28=""),"△ Promised is blank",IF($Q28=1,IF(ISNUMBER($F28),"△ Asked, no answer after "&amp;NETWORKDAYS($F28+1,Dashboard!$B$16)&amp;IF(NETWORKDAYS($F28+1,Dashboard!$B$16)=1," working day"," working days"),"△ Asked on is blank"),IF($N28="Slipped","△ Arrives "&amp;$M28&amp;IF($M28=1," working day"," working days")&amp;" after Needed by",IF($N28="Past due","△ Past due: promised for "&amp;TEXT($G28,"d mmm yyyy"),IF($N28="Declined","△ Declined","○ Clear"))))))))</f>
        <v/>
      </c>
      <c r="P28" s="9">
        <f>IF($A28="",0,IF(OR($B28="",$C28="",$E28="",$J28=""),1,IF(AND(OR($H28="Accepted",$H28="New date"),$G28=""),1,0)))</f>
        <v/>
      </c>
      <c r="Q28" s="9">
        <f>IF($A28="",0,IF($H28&lt;&gt;"Asked",0,IF(NOT(ISNUMBER($F28)),1,IF(NETWORKDAYS($F28+1,Dashboard!$B$16)&gt;Dashboard!$H$8,1,0))))</f>
        <v/>
      </c>
      <c r="R28" s="9">
        <f>IF($A28="",0,IF(OR($N28="Slipped",$N28="Past due",$N28="Declined"),1,0))</f>
        <v/>
      </c>
      <c r="S28" s="9">
        <f>IF($A28="",0,IF(OR($N28="Not asked",$N28="Asked",$N28="Accepted",$N28="New date",$N28="Slipped",$N28="Past due"),1,0))</f>
        <v/>
      </c>
      <c r="T28" s="9">
        <f>IF($A28="",0,IF($N28="Not asked",1,0))</f>
        <v/>
      </c>
      <c r="U28" s="9">
        <f>IF($A28="","",IFERROR(MATCH($N28,{"Past due","Slipped","Declined","Not asked","Asked","New date","Accepted","Met"},0),50)*100+ROW())</f>
        <v/>
      </c>
      <c r="V28" s="9">
        <f>IF($P28+$Q28+$T28&gt;0,1,0)</f>
        <v/>
      </c>
    </row>
    <row r="29" ht="18" customHeight="1">
      <c r="A29" s="27" t="n"/>
      <c r="B29" s="27" t="n"/>
      <c r="C29" s="27" t="n"/>
      <c r="D29" s="28" t="n"/>
      <c r="E29" s="14" t="n"/>
      <c r="F29" s="14" t="n"/>
      <c r="G29" s="14" t="n"/>
      <c r="H29" s="28" t="n"/>
      <c r="I29" s="14" t="n"/>
      <c r="J29" s="27" t="n"/>
      <c r="K29" s="27" t="n"/>
      <c r="L29" s="16">
        <f>IF($A29="","",IF(AND(ISNUMBER($G29),ISNUMBER($I29)),MAX($G29,$I29),IF(ISNUMBER($G29),$G29,IF(ISNUMBER($I29),$I29,""))))</f>
        <v/>
      </c>
      <c r="M29" s="33">
        <f>IF(OR($A29="",NOT(ISNUMBER($L29)),NOT(ISNUMBER($E29))),"",IF($L29&gt;$E29,NETWORKDAYS($E29+1,$L29),""))</f>
        <v/>
      </c>
      <c r="N29" s="9">
        <f>IF($A29="","",IF($H29="","Not asked",IF(OR($H29="Met",$H29="Declined"),$H29&amp;"",IF(AND(ISNUMBER($G29),$G29&lt;Dashboard!$B$16),"Past due",IF(AND(ISNUMBER($L29),ISNUMBER($E29)),IF($L29&gt;$E29,"Slipped",$H29&amp;""),$H29&amp;"")))))</f>
        <v/>
      </c>
      <c r="O29" s="9">
        <f>IF($A29="","",IF($T29=1,"△ Not asked yet",IF(OR($B29="",$C29="",$E29="",$J29=""),"△ Needing project, Provided by, Needed by or Who answers is blank",IF(AND(OR($H29="Accepted",$H29="New date"),$G29=""),"△ Promised is blank",IF($Q29=1,IF(ISNUMBER($F29),"△ Asked, no answer after "&amp;NETWORKDAYS($F29+1,Dashboard!$B$16)&amp;IF(NETWORKDAYS($F29+1,Dashboard!$B$16)=1," working day"," working days"),"△ Asked on is blank"),IF($N29="Slipped","△ Arrives "&amp;$M29&amp;IF($M29=1," working day"," working days")&amp;" after Needed by",IF($N29="Past due","△ Past due: promised for "&amp;TEXT($G29,"d mmm yyyy"),IF($N29="Declined","△ Declined","○ Clear"))))))))</f>
        <v/>
      </c>
      <c r="P29" s="9">
        <f>IF($A29="",0,IF(OR($B29="",$C29="",$E29="",$J29=""),1,IF(AND(OR($H29="Accepted",$H29="New date"),$G29=""),1,0)))</f>
        <v/>
      </c>
      <c r="Q29" s="9">
        <f>IF($A29="",0,IF($H29&lt;&gt;"Asked",0,IF(NOT(ISNUMBER($F29)),1,IF(NETWORKDAYS($F29+1,Dashboard!$B$16)&gt;Dashboard!$H$8,1,0))))</f>
        <v/>
      </c>
      <c r="R29" s="9">
        <f>IF($A29="",0,IF(OR($N29="Slipped",$N29="Past due",$N29="Declined"),1,0))</f>
        <v/>
      </c>
      <c r="S29" s="9">
        <f>IF($A29="",0,IF(OR($N29="Not asked",$N29="Asked",$N29="Accepted",$N29="New date",$N29="Slipped",$N29="Past due"),1,0))</f>
        <v/>
      </c>
      <c r="T29" s="9">
        <f>IF($A29="",0,IF($N29="Not asked",1,0))</f>
        <v/>
      </c>
      <c r="U29" s="9">
        <f>IF($A29="","",IFERROR(MATCH($N29,{"Past due","Slipped","Declined","Not asked","Asked","New date","Accepted","Met"},0),50)*100+ROW())</f>
        <v/>
      </c>
      <c r="V29" s="9">
        <f>IF($P29+$Q29+$T29&gt;0,1,0)</f>
        <v/>
      </c>
    </row>
    <row r="30" ht="18" customHeight="1">
      <c r="A30" s="27" t="n"/>
      <c r="B30" s="27" t="n"/>
      <c r="C30" s="27" t="n"/>
      <c r="D30" s="28" t="n"/>
      <c r="E30" s="14" t="n"/>
      <c r="F30" s="14" t="n"/>
      <c r="G30" s="14" t="n"/>
      <c r="H30" s="28" t="n"/>
      <c r="I30" s="14" t="n"/>
      <c r="J30" s="27" t="n"/>
      <c r="K30" s="27" t="n"/>
      <c r="L30" s="16">
        <f>IF($A30="","",IF(AND(ISNUMBER($G30),ISNUMBER($I30)),MAX($G30,$I30),IF(ISNUMBER($G30),$G30,IF(ISNUMBER($I30),$I30,""))))</f>
        <v/>
      </c>
      <c r="M30" s="33">
        <f>IF(OR($A30="",NOT(ISNUMBER($L30)),NOT(ISNUMBER($E30))),"",IF($L30&gt;$E30,NETWORKDAYS($E30+1,$L30),""))</f>
        <v/>
      </c>
      <c r="N30" s="9">
        <f>IF($A30="","",IF($H30="","Not asked",IF(OR($H30="Met",$H30="Declined"),$H30&amp;"",IF(AND(ISNUMBER($G30),$G30&lt;Dashboard!$B$16),"Past due",IF(AND(ISNUMBER($L30),ISNUMBER($E30)),IF($L30&gt;$E30,"Slipped",$H30&amp;""),$H30&amp;"")))))</f>
        <v/>
      </c>
      <c r="O30" s="9">
        <f>IF($A30="","",IF($T30=1,"△ Not asked yet",IF(OR($B30="",$C30="",$E30="",$J30=""),"△ Needing project, Provided by, Needed by or Who answers is blank",IF(AND(OR($H30="Accepted",$H30="New date"),$G30=""),"△ Promised is blank",IF($Q30=1,IF(ISNUMBER($F30),"△ Asked, no answer after "&amp;NETWORKDAYS($F30+1,Dashboard!$B$16)&amp;IF(NETWORKDAYS($F30+1,Dashboard!$B$16)=1," working day"," working days"),"△ Asked on is blank"),IF($N30="Slipped","△ Arrives "&amp;$M30&amp;IF($M30=1," working day"," working days")&amp;" after Needed by",IF($N30="Past due","△ Past due: promised for "&amp;TEXT($G30,"d mmm yyyy"),IF($N30="Declined","△ Declined","○ Clear"))))))))</f>
        <v/>
      </c>
      <c r="P30" s="9">
        <f>IF($A30="",0,IF(OR($B30="",$C30="",$E30="",$J30=""),1,IF(AND(OR($H30="Accepted",$H30="New date"),$G30=""),1,0)))</f>
        <v/>
      </c>
      <c r="Q30" s="9">
        <f>IF($A30="",0,IF($H30&lt;&gt;"Asked",0,IF(NOT(ISNUMBER($F30)),1,IF(NETWORKDAYS($F30+1,Dashboard!$B$16)&gt;Dashboard!$H$8,1,0))))</f>
        <v/>
      </c>
      <c r="R30" s="9">
        <f>IF($A30="",0,IF(OR($N30="Slipped",$N30="Past due",$N30="Declined"),1,0))</f>
        <v/>
      </c>
      <c r="S30" s="9">
        <f>IF($A30="",0,IF(OR($N30="Not asked",$N30="Asked",$N30="Accepted",$N30="New date",$N30="Slipped",$N30="Past due"),1,0))</f>
        <v/>
      </c>
      <c r="T30" s="9">
        <f>IF($A30="",0,IF($N30="Not asked",1,0))</f>
        <v/>
      </c>
      <c r="U30" s="9">
        <f>IF($A30="","",IFERROR(MATCH($N30,{"Past due","Slipped","Declined","Not asked","Asked","New date","Accepted","Met"},0),50)*100+ROW())</f>
        <v/>
      </c>
      <c r="V30" s="9">
        <f>IF($P30+$Q30+$T30&gt;0,1,0)</f>
        <v/>
      </c>
    </row>
    <row r="31" ht="18" customHeight="1">
      <c r="A31" s="27" t="n"/>
      <c r="B31" s="27" t="n"/>
      <c r="C31" s="27" t="n"/>
      <c r="D31" s="28" t="n"/>
      <c r="E31" s="14" t="n"/>
      <c r="F31" s="14" t="n"/>
      <c r="G31" s="14" t="n"/>
      <c r="H31" s="28" t="n"/>
      <c r="I31" s="14" t="n"/>
      <c r="J31" s="27" t="n"/>
      <c r="K31" s="27" t="n"/>
      <c r="L31" s="16">
        <f>IF($A31="","",IF(AND(ISNUMBER($G31),ISNUMBER($I31)),MAX($G31,$I31),IF(ISNUMBER($G31),$G31,IF(ISNUMBER($I31),$I31,""))))</f>
        <v/>
      </c>
      <c r="M31" s="33">
        <f>IF(OR($A31="",NOT(ISNUMBER($L31)),NOT(ISNUMBER($E31))),"",IF($L31&gt;$E31,NETWORKDAYS($E31+1,$L31),""))</f>
        <v/>
      </c>
      <c r="N31" s="9">
        <f>IF($A31="","",IF($H31="","Not asked",IF(OR($H31="Met",$H31="Declined"),$H31&amp;"",IF(AND(ISNUMBER($G31),$G31&lt;Dashboard!$B$16),"Past due",IF(AND(ISNUMBER($L31),ISNUMBER($E31)),IF($L31&gt;$E31,"Slipped",$H31&amp;""),$H31&amp;"")))))</f>
        <v/>
      </c>
      <c r="O31" s="9">
        <f>IF($A31="","",IF($T31=1,"△ Not asked yet",IF(OR($B31="",$C31="",$E31="",$J31=""),"△ Needing project, Provided by, Needed by or Who answers is blank",IF(AND(OR($H31="Accepted",$H31="New date"),$G31=""),"△ Promised is blank",IF($Q31=1,IF(ISNUMBER($F31),"△ Asked, no answer after "&amp;NETWORKDAYS($F31+1,Dashboard!$B$16)&amp;IF(NETWORKDAYS($F31+1,Dashboard!$B$16)=1," working day"," working days"),"△ Asked on is blank"),IF($N31="Slipped","△ Arrives "&amp;$M31&amp;IF($M31=1," working day"," working days")&amp;" after Needed by",IF($N31="Past due","△ Past due: promised for "&amp;TEXT($G31,"d mmm yyyy"),IF($N31="Declined","△ Declined","○ Clear"))))))))</f>
        <v/>
      </c>
      <c r="P31" s="9">
        <f>IF($A31="",0,IF(OR($B31="",$C31="",$E31="",$J31=""),1,IF(AND(OR($H31="Accepted",$H31="New date"),$G31=""),1,0)))</f>
        <v/>
      </c>
      <c r="Q31" s="9">
        <f>IF($A31="",0,IF($H31&lt;&gt;"Asked",0,IF(NOT(ISNUMBER($F31)),1,IF(NETWORKDAYS($F31+1,Dashboard!$B$16)&gt;Dashboard!$H$8,1,0))))</f>
        <v/>
      </c>
      <c r="R31" s="9">
        <f>IF($A31="",0,IF(OR($N31="Slipped",$N31="Past due",$N31="Declined"),1,0))</f>
        <v/>
      </c>
      <c r="S31" s="9">
        <f>IF($A31="",0,IF(OR($N31="Not asked",$N31="Asked",$N31="Accepted",$N31="New date",$N31="Slipped",$N31="Past due"),1,0))</f>
        <v/>
      </c>
      <c r="T31" s="9">
        <f>IF($A31="",0,IF($N31="Not asked",1,0))</f>
        <v/>
      </c>
      <c r="U31" s="9">
        <f>IF($A31="","",IFERROR(MATCH($N31,{"Past due","Slipped","Declined","Not asked","Asked","New date","Accepted","Met"},0),50)*100+ROW())</f>
        <v/>
      </c>
      <c r="V31" s="9">
        <f>IF($P31+$Q31+$T31&gt;0,1,0)</f>
        <v/>
      </c>
    </row>
    <row r="32" ht="18" customHeight="1">
      <c r="A32" s="27" t="n"/>
      <c r="B32" s="27" t="n"/>
      <c r="C32" s="27" t="n"/>
      <c r="D32" s="28" t="n"/>
      <c r="E32" s="14" t="n"/>
      <c r="F32" s="14" t="n"/>
      <c r="G32" s="14" t="n"/>
      <c r="H32" s="28" t="n"/>
      <c r="I32" s="14" t="n"/>
      <c r="J32" s="27" t="n"/>
      <c r="K32" s="27" t="n"/>
      <c r="L32" s="16">
        <f>IF($A32="","",IF(AND(ISNUMBER($G32),ISNUMBER($I32)),MAX($G32,$I32),IF(ISNUMBER($G32),$G32,IF(ISNUMBER($I32),$I32,""))))</f>
        <v/>
      </c>
      <c r="M32" s="33">
        <f>IF(OR($A32="",NOT(ISNUMBER($L32)),NOT(ISNUMBER($E32))),"",IF($L32&gt;$E32,NETWORKDAYS($E32+1,$L32),""))</f>
        <v/>
      </c>
      <c r="N32" s="9">
        <f>IF($A32="","",IF($H32="","Not asked",IF(OR($H32="Met",$H32="Declined"),$H32&amp;"",IF(AND(ISNUMBER($G32),$G32&lt;Dashboard!$B$16),"Past due",IF(AND(ISNUMBER($L32),ISNUMBER($E32)),IF($L32&gt;$E32,"Slipped",$H32&amp;""),$H32&amp;"")))))</f>
        <v/>
      </c>
      <c r="O32" s="9">
        <f>IF($A32="","",IF($T32=1,"△ Not asked yet",IF(OR($B32="",$C32="",$E32="",$J32=""),"△ Needing project, Provided by, Needed by or Who answers is blank",IF(AND(OR($H32="Accepted",$H32="New date"),$G32=""),"△ Promised is blank",IF($Q32=1,IF(ISNUMBER($F32),"△ Asked, no answer after "&amp;NETWORKDAYS($F32+1,Dashboard!$B$16)&amp;IF(NETWORKDAYS($F32+1,Dashboard!$B$16)=1," working day"," working days"),"△ Asked on is blank"),IF($N32="Slipped","△ Arrives "&amp;$M32&amp;IF($M32=1," working day"," working days")&amp;" after Needed by",IF($N32="Past due","△ Past due: promised for "&amp;TEXT($G32,"d mmm yyyy"),IF($N32="Declined","△ Declined","○ Clear"))))))))</f>
        <v/>
      </c>
      <c r="P32" s="9">
        <f>IF($A32="",0,IF(OR($B32="",$C32="",$E32="",$J32=""),1,IF(AND(OR($H32="Accepted",$H32="New date"),$G32=""),1,0)))</f>
        <v/>
      </c>
      <c r="Q32" s="9">
        <f>IF($A32="",0,IF($H32&lt;&gt;"Asked",0,IF(NOT(ISNUMBER($F32)),1,IF(NETWORKDAYS($F32+1,Dashboard!$B$16)&gt;Dashboard!$H$8,1,0))))</f>
        <v/>
      </c>
      <c r="R32" s="9">
        <f>IF($A32="",0,IF(OR($N32="Slipped",$N32="Past due",$N32="Declined"),1,0))</f>
        <v/>
      </c>
      <c r="S32" s="9">
        <f>IF($A32="",0,IF(OR($N32="Not asked",$N32="Asked",$N32="Accepted",$N32="New date",$N32="Slipped",$N32="Past due"),1,0))</f>
        <v/>
      </c>
      <c r="T32" s="9">
        <f>IF($A32="",0,IF($N32="Not asked",1,0))</f>
        <v/>
      </c>
      <c r="U32" s="9">
        <f>IF($A32="","",IFERROR(MATCH($N32,{"Past due","Slipped","Declined","Not asked","Asked","New date","Accepted","Met"},0),50)*100+ROW())</f>
        <v/>
      </c>
      <c r="V32" s="9">
        <f>IF($P32+$Q32+$T32&gt;0,1,0)</f>
        <v/>
      </c>
    </row>
    <row r="33" ht="18" customHeight="1">
      <c r="A33" s="27" t="n"/>
      <c r="B33" s="27" t="n"/>
      <c r="C33" s="27" t="n"/>
      <c r="D33" s="28" t="n"/>
      <c r="E33" s="14" t="n"/>
      <c r="F33" s="14" t="n"/>
      <c r="G33" s="14" t="n"/>
      <c r="H33" s="28" t="n"/>
      <c r="I33" s="14" t="n"/>
      <c r="J33" s="27" t="n"/>
      <c r="K33" s="27" t="n"/>
      <c r="L33" s="16">
        <f>IF($A33="","",IF(AND(ISNUMBER($G33),ISNUMBER($I33)),MAX($G33,$I33),IF(ISNUMBER($G33),$G33,IF(ISNUMBER($I33),$I33,""))))</f>
        <v/>
      </c>
      <c r="M33" s="33">
        <f>IF(OR($A33="",NOT(ISNUMBER($L33)),NOT(ISNUMBER($E33))),"",IF($L33&gt;$E33,NETWORKDAYS($E33+1,$L33),""))</f>
        <v/>
      </c>
      <c r="N33" s="9">
        <f>IF($A33="","",IF($H33="","Not asked",IF(OR($H33="Met",$H33="Declined"),$H33&amp;"",IF(AND(ISNUMBER($G33),$G33&lt;Dashboard!$B$16),"Past due",IF(AND(ISNUMBER($L33),ISNUMBER($E33)),IF($L33&gt;$E33,"Slipped",$H33&amp;""),$H33&amp;"")))))</f>
        <v/>
      </c>
      <c r="O33" s="9">
        <f>IF($A33="","",IF($T33=1,"△ Not asked yet",IF(OR($B33="",$C33="",$E33="",$J33=""),"△ Needing project, Provided by, Needed by or Who answers is blank",IF(AND(OR($H33="Accepted",$H33="New date"),$G33=""),"△ Promised is blank",IF($Q33=1,IF(ISNUMBER($F33),"△ Asked, no answer after "&amp;NETWORKDAYS($F33+1,Dashboard!$B$16)&amp;IF(NETWORKDAYS($F33+1,Dashboard!$B$16)=1," working day"," working days"),"△ Asked on is blank"),IF($N33="Slipped","△ Arrives "&amp;$M33&amp;IF($M33=1," working day"," working days")&amp;" after Needed by",IF($N33="Past due","△ Past due: promised for "&amp;TEXT($G33,"d mmm yyyy"),IF($N33="Declined","△ Declined","○ Clear"))))))))</f>
        <v/>
      </c>
      <c r="P33" s="9">
        <f>IF($A33="",0,IF(OR($B33="",$C33="",$E33="",$J33=""),1,IF(AND(OR($H33="Accepted",$H33="New date"),$G33=""),1,0)))</f>
        <v/>
      </c>
      <c r="Q33" s="9">
        <f>IF($A33="",0,IF($H33&lt;&gt;"Asked",0,IF(NOT(ISNUMBER($F33)),1,IF(NETWORKDAYS($F33+1,Dashboard!$B$16)&gt;Dashboard!$H$8,1,0))))</f>
        <v/>
      </c>
      <c r="R33" s="9">
        <f>IF($A33="",0,IF(OR($N33="Slipped",$N33="Past due",$N33="Declined"),1,0))</f>
        <v/>
      </c>
      <c r="S33" s="9">
        <f>IF($A33="",0,IF(OR($N33="Not asked",$N33="Asked",$N33="Accepted",$N33="New date",$N33="Slipped",$N33="Past due"),1,0))</f>
        <v/>
      </c>
      <c r="T33" s="9">
        <f>IF($A33="",0,IF($N33="Not asked",1,0))</f>
        <v/>
      </c>
      <c r="U33" s="9">
        <f>IF($A33="","",IFERROR(MATCH($N33,{"Past due","Slipped","Declined","Not asked","Asked","New date","Accepted","Met"},0),50)*100+ROW())</f>
        <v/>
      </c>
      <c r="V33" s="9">
        <f>IF($P33+$Q33+$T33&gt;0,1,0)</f>
        <v/>
      </c>
    </row>
    <row r="34" ht="18" customHeight="1">
      <c r="A34" s="27" t="n"/>
      <c r="B34" s="27" t="n"/>
      <c r="C34" s="27" t="n"/>
      <c r="D34" s="28" t="n"/>
      <c r="E34" s="14" t="n"/>
      <c r="F34" s="14" t="n"/>
      <c r="G34" s="14" t="n"/>
      <c r="H34" s="28" t="n"/>
      <c r="I34" s="14" t="n"/>
      <c r="J34" s="27" t="n"/>
      <c r="K34" s="27" t="n"/>
      <c r="L34" s="16">
        <f>IF($A34="","",IF(AND(ISNUMBER($G34),ISNUMBER($I34)),MAX($G34,$I34),IF(ISNUMBER($G34),$G34,IF(ISNUMBER($I34),$I34,""))))</f>
        <v/>
      </c>
      <c r="M34" s="33">
        <f>IF(OR($A34="",NOT(ISNUMBER($L34)),NOT(ISNUMBER($E34))),"",IF($L34&gt;$E34,NETWORKDAYS($E34+1,$L34),""))</f>
        <v/>
      </c>
      <c r="N34" s="9">
        <f>IF($A34="","",IF($H34="","Not asked",IF(OR($H34="Met",$H34="Declined"),$H34&amp;"",IF(AND(ISNUMBER($G34),$G34&lt;Dashboard!$B$16),"Past due",IF(AND(ISNUMBER($L34),ISNUMBER($E34)),IF($L34&gt;$E34,"Slipped",$H34&amp;""),$H34&amp;"")))))</f>
        <v/>
      </c>
      <c r="O34" s="9">
        <f>IF($A34="","",IF($T34=1,"△ Not asked yet",IF(OR($B34="",$C34="",$E34="",$J34=""),"△ Needing project, Provided by, Needed by or Who answers is blank",IF(AND(OR($H34="Accepted",$H34="New date"),$G34=""),"△ Promised is blank",IF($Q34=1,IF(ISNUMBER($F34),"△ Asked, no answer after "&amp;NETWORKDAYS($F34+1,Dashboard!$B$16)&amp;IF(NETWORKDAYS($F34+1,Dashboard!$B$16)=1," working day"," working days"),"△ Asked on is blank"),IF($N34="Slipped","△ Arrives "&amp;$M34&amp;IF($M34=1," working day"," working days")&amp;" after Needed by",IF($N34="Past due","△ Past due: promised for "&amp;TEXT($G34,"d mmm yyyy"),IF($N34="Declined","△ Declined","○ Clear"))))))))</f>
        <v/>
      </c>
      <c r="P34" s="9">
        <f>IF($A34="",0,IF(OR($B34="",$C34="",$E34="",$J34=""),1,IF(AND(OR($H34="Accepted",$H34="New date"),$G34=""),1,0)))</f>
        <v/>
      </c>
      <c r="Q34" s="9">
        <f>IF($A34="",0,IF($H34&lt;&gt;"Asked",0,IF(NOT(ISNUMBER($F34)),1,IF(NETWORKDAYS($F34+1,Dashboard!$B$16)&gt;Dashboard!$H$8,1,0))))</f>
        <v/>
      </c>
      <c r="R34" s="9">
        <f>IF($A34="",0,IF(OR($N34="Slipped",$N34="Past due",$N34="Declined"),1,0))</f>
        <v/>
      </c>
      <c r="S34" s="9">
        <f>IF($A34="",0,IF(OR($N34="Not asked",$N34="Asked",$N34="Accepted",$N34="New date",$N34="Slipped",$N34="Past due"),1,0))</f>
        <v/>
      </c>
      <c r="T34" s="9">
        <f>IF($A34="",0,IF($N34="Not asked",1,0))</f>
        <v/>
      </c>
      <c r="U34" s="9">
        <f>IF($A34="","",IFERROR(MATCH($N34,{"Past due","Slipped","Declined","Not asked","Asked","New date","Accepted","Met"},0),50)*100+ROW())</f>
        <v/>
      </c>
      <c r="V34" s="9">
        <f>IF($P34+$Q34+$T34&gt;0,1,0)</f>
        <v/>
      </c>
    </row>
    <row r="35" ht="18" customHeight="1">
      <c r="A35" s="27" t="n"/>
      <c r="B35" s="27" t="n"/>
      <c r="C35" s="27" t="n"/>
      <c r="D35" s="28" t="n"/>
      <c r="E35" s="14" t="n"/>
      <c r="F35" s="14" t="n"/>
      <c r="G35" s="14" t="n"/>
      <c r="H35" s="28" t="n"/>
      <c r="I35" s="14" t="n"/>
      <c r="J35" s="27" t="n"/>
      <c r="K35" s="27" t="n"/>
      <c r="L35" s="16">
        <f>IF($A35="","",IF(AND(ISNUMBER($G35),ISNUMBER($I35)),MAX($G35,$I35),IF(ISNUMBER($G35),$G35,IF(ISNUMBER($I35),$I35,""))))</f>
        <v/>
      </c>
      <c r="M35" s="33">
        <f>IF(OR($A35="",NOT(ISNUMBER($L35)),NOT(ISNUMBER($E35))),"",IF($L35&gt;$E35,NETWORKDAYS($E35+1,$L35),""))</f>
        <v/>
      </c>
      <c r="N35" s="9">
        <f>IF($A35="","",IF($H35="","Not asked",IF(OR($H35="Met",$H35="Declined"),$H35&amp;"",IF(AND(ISNUMBER($G35),$G35&lt;Dashboard!$B$16),"Past due",IF(AND(ISNUMBER($L35),ISNUMBER($E35)),IF($L35&gt;$E35,"Slipped",$H35&amp;""),$H35&amp;"")))))</f>
        <v/>
      </c>
      <c r="O35" s="9">
        <f>IF($A35="","",IF($T35=1,"△ Not asked yet",IF(OR($B35="",$C35="",$E35="",$J35=""),"△ Needing project, Provided by, Needed by or Who answers is blank",IF(AND(OR($H35="Accepted",$H35="New date"),$G35=""),"△ Promised is blank",IF($Q35=1,IF(ISNUMBER($F35),"△ Asked, no answer after "&amp;NETWORKDAYS($F35+1,Dashboard!$B$16)&amp;IF(NETWORKDAYS($F35+1,Dashboard!$B$16)=1," working day"," working days"),"△ Asked on is blank"),IF($N35="Slipped","△ Arrives "&amp;$M35&amp;IF($M35=1," working day"," working days")&amp;" after Needed by",IF($N35="Past due","△ Past due: promised for "&amp;TEXT($G35,"d mmm yyyy"),IF($N35="Declined","△ Declined","○ Clear"))))))))</f>
        <v/>
      </c>
      <c r="P35" s="9">
        <f>IF($A35="",0,IF(OR($B35="",$C35="",$E35="",$J35=""),1,IF(AND(OR($H35="Accepted",$H35="New date"),$G35=""),1,0)))</f>
        <v/>
      </c>
      <c r="Q35" s="9">
        <f>IF($A35="",0,IF($H35&lt;&gt;"Asked",0,IF(NOT(ISNUMBER($F35)),1,IF(NETWORKDAYS($F35+1,Dashboard!$B$16)&gt;Dashboard!$H$8,1,0))))</f>
        <v/>
      </c>
      <c r="R35" s="9">
        <f>IF($A35="",0,IF(OR($N35="Slipped",$N35="Past due",$N35="Declined"),1,0))</f>
        <v/>
      </c>
      <c r="S35" s="9">
        <f>IF($A35="",0,IF(OR($N35="Not asked",$N35="Asked",$N35="Accepted",$N35="New date",$N35="Slipped",$N35="Past due"),1,0))</f>
        <v/>
      </c>
      <c r="T35" s="9">
        <f>IF($A35="",0,IF($N35="Not asked",1,0))</f>
        <v/>
      </c>
      <c r="U35" s="9">
        <f>IF($A35="","",IFERROR(MATCH($N35,{"Past due","Slipped","Declined","Not asked","Asked","New date","Accepted","Met"},0),50)*100+ROW())</f>
        <v/>
      </c>
      <c r="V35" s="9">
        <f>IF($P35+$Q35+$T35&gt;0,1,0)</f>
        <v/>
      </c>
    </row>
    <row r="36" ht="18" customHeight="1">
      <c r="A36" s="27" t="n"/>
      <c r="B36" s="27" t="n"/>
      <c r="C36" s="27" t="n"/>
      <c r="D36" s="28" t="n"/>
      <c r="E36" s="14" t="n"/>
      <c r="F36" s="14" t="n"/>
      <c r="G36" s="14" t="n"/>
      <c r="H36" s="28" t="n"/>
      <c r="I36" s="14" t="n"/>
      <c r="J36" s="27" t="n"/>
      <c r="K36" s="27" t="n"/>
      <c r="L36" s="16">
        <f>IF($A36="","",IF(AND(ISNUMBER($G36),ISNUMBER($I36)),MAX($G36,$I36),IF(ISNUMBER($G36),$G36,IF(ISNUMBER($I36),$I36,""))))</f>
        <v/>
      </c>
      <c r="M36" s="33">
        <f>IF(OR($A36="",NOT(ISNUMBER($L36)),NOT(ISNUMBER($E36))),"",IF($L36&gt;$E36,NETWORKDAYS($E36+1,$L36),""))</f>
        <v/>
      </c>
      <c r="N36" s="9">
        <f>IF($A36="","",IF($H36="","Not asked",IF(OR($H36="Met",$H36="Declined"),$H36&amp;"",IF(AND(ISNUMBER($G36),$G36&lt;Dashboard!$B$16),"Past due",IF(AND(ISNUMBER($L36),ISNUMBER($E36)),IF($L36&gt;$E36,"Slipped",$H36&amp;""),$H36&amp;"")))))</f>
        <v/>
      </c>
      <c r="O36" s="9">
        <f>IF($A36="","",IF($T36=1,"△ Not asked yet",IF(OR($B36="",$C36="",$E36="",$J36=""),"△ Needing project, Provided by, Needed by or Who answers is blank",IF(AND(OR($H36="Accepted",$H36="New date"),$G36=""),"△ Promised is blank",IF($Q36=1,IF(ISNUMBER($F36),"△ Asked, no answer after "&amp;NETWORKDAYS($F36+1,Dashboard!$B$16)&amp;IF(NETWORKDAYS($F36+1,Dashboard!$B$16)=1," working day"," working days"),"△ Asked on is blank"),IF($N36="Slipped","△ Arrives "&amp;$M36&amp;IF($M36=1," working day"," working days")&amp;" after Needed by",IF($N36="Past due","△ Past due: promised for "&amp;TEXT($G36,"d mmm yyyy"),IF($N36="Declined","△ Declined","○ Clear"))))))))</f>
        <v/>
      </c>
      <c r="P36" s="9">
        <f>IF($A36="",0,IF(OR($B36="",$C36="",$E36="",$J36=""),1,IF(AND(OR($H36="Accepted",$H36="New date"),$G36=""),1,0)))</f>
        <v/>
      </c>
      <c r="Q36" s="9">
        <f>IF($A36="",0,IF($H36&lt;&gt;"Asked",0,IF(NOT(ISNUMBER($F36)),1,IF(NETWORKDAYS($F36+1,Dashboard!$B$16)&gt;Dashboard!$H$8,1,0))))</f>
        <v/>
      </c>
      <c r="R36" s="9">
        <f>IF($A36="",0,IF(OR($N36="Slipped",$N36="Past due",$N36="Declined"),1,0))</f>
        <v/>
      </c>
      <c r="S36" s="9">
        <f>IF($A36="",0,IF(OR($N36="Not asked",$N36="Asked",$N36="Accepted",$N36="New date",$N36="Slipped",$N36="Past due"),1,0))</f>
        <v/>
      </c>
      <c r="T36" s="9">
        <f>IF($A36="",0,IF($N36="Not asked",1,0))</f>
        <v/>
      </c>
      <c r="U36" s="9">
        <f>IF($A36="","",IFERROR(MATCH($N36,{"Past due","Slipped","Declined","Not asked","Asked","New date","Accepted","Met"},0),50)*100+ROW())</f>
        <v/>
      </c>
      <c r="V36" s="9">
        <f>IF($P36+$Q36+$T36&gt;0,1,0)</f>
        <v/>
      </c>
    </row>
    <row r="37" ht="18" customHeight="1">
      <c r="A37" s="27" t="n"/>
      <c r="B37" s="27" t="n"/>
      <c r="C37" s="27" t="n"/>
      <c r="D37" s="28" t="n"/>
      <c r="E37" s="14" t="n"/>
      <c r="F37" s="14" t="n"/>
      <c r="G37" s="14" t="n"/>
      <c r="H37" s="28" t="n"/>
      <c r="I37" s="14" t="n"/>
      <c r="J37" s="27" t="n"/>
      <c r="K37" s="27" t="n"/>
      <c r="L37" s="16">
        <f>IF($A37="","",IF(AND(ISNUMBER($G37),ISNUMBER($I37)),MAX($G37,$I37),IF(ISNUMBER($G37),$G37,IF(ISNUMBER($I37),$I37,""))))</f>
        <v/>
      </c>
      <c r="M37" s="33">
        <f>IF(OR($A37="",NOT(ISNUMBER($L37)),NOT(ISNUMBER($E37))),"",IF($L37&gt;$E37,NETWORKDAYS($E37+1,$L37),""))</f>
        <v/>
      </c>
      <c r="N37" s="9">
        <f>IF($A37="","",IF($H37="","Not asked",IF(OR($H37="Met",$H37="Declined"),$H37&amp;"",IF(AND(ISNUMBER($G37),$G37&lt;Dashboard!$B$16),"Past due",IF(AND(ISNUMBER($L37),ISNUMBER($E37)),IF($L37&gt;$E37,"Slipped",$H37&amp;""),$H37&amp;"")))))</f>
        <v/>
      </c>
      <c r="O37" s="9">
        <f>IF($A37="","",IF($T37=1,"△ Not asked yet",IF(OR($B37="",$C37="",$E37="",$J37=""),"△ Needing project, Provided by, Needed by or Who answers is blank",IF(AND(OR($H37="Accepted",$H37="New date"),$G37=""),"△ Promised is blank",IF($Q37=1,IF(ISNUMBER($F37),"△ Asked, no answer after "&amp;NETWORKDAYS($F37+1,Dashboard!$B$16)&amp;IF(NETWORKDAYS($F37+1,Dashboard!$B$16)=1," working day"," working days"),"△ Asked on is blank"),IF($N37="Slipped","△ Arrives "&amp;$M37&amp;IF($M37=1," working day"," working days")&amp;" after Needed by",IF($N37="Past due","△ Past due: promised for "&amp;TEXT($G37,"d mmm yyyy"),IF($N37="Declined","△ Declined","○ Clear"))))))))</f>
        <v/>
      </c>
      <c r="P37" s="9">
        <f>IF($A37="",0,IF(OR($B37="",$C37="",$E37="",$J37=""),1,IF(AND(OR($H37="Accepted",$H37="New date"),$G37=""),1,0)))</f>
        <v/>
      </c>
      <c r="Q37" s="9">
        <f>IF($A37="",0,IF($H37&lt;&gt;"Asked",0,IF(NOT(ISNUMBER($F37)),1,IF(NETWORKDAYS($F37+1,Dashboard!$B$16)&gt;Dashboard!$H$8,1,0))))</f>
        <v/>
      </c>
      <c r="R37" s="9">
        <f>IF($A37="",0,IF(OR($N37="Slipped",$N37="Past due",$N37="Declined"),1,0))</f>
        <v/>
      </c>
      <c r="S37" s="9">
        <f>IF($A37="",0,IF(OR($N37="Not asked",$N37="Asked",$N37="Accepted",$N37="New date",$N37="Slipped",$N37="Past due"),1,0))</f>
        <v/>
      </c>
      <c r="T37" s="9">
        <f>IF($A37="",0,IF($N37="Not asked",1,0))</f>
        <v/>
      </c>
      <c r="U37" s="9">
        <f>IF($A37="","",IFERROR(MATCH($N37,{"Past due","Slipped","Declined","Not asked","Asked","New date","Accepted","Met"},0),50)*100+ROW())</f>
        <v/>
      </c>
      <c r="V37" s="9">
        <f>IF($P37+$Q37+$T37&gt;0,1,0)</f>
        <v/>
      </c>
    </row>
    <row r="38" ht="18" customHeight="1">
      <c r="A38" s="27" t="n"/>
      <c r="B38" s="27" t="n"/>
      <c r="C38" s="27" t="n"/>
      <c r="D38" s="28" t="n"/>
      <c r="E38" s="14" t="n"/>
      <c r="F38" s="14" t="n"/>
      <c r="G38" s="14" t="n"/>
      <c r="H38" s="28" t="n"/>
      <c r="I38" s="14" t="n"/>
      <c r="J38" s="27" t="n"/>
      <c r="K38" s="27" t="n"/>
      <c r="L38" s="16">
        <f>IF($A38="","",IF(AND(ISNUMBER($G38),ISNUMBER($I38)),MAX($G38,$I38),IF(ISNUMBER($G38),$G38,IF(ISNUMBER($I38),$I38,""))))</f>
        <v/>
      </c>
      <c r="M38" s="33">
        <f>IF(OR($A38="",NOT(ISNUMBER($L38)),NOT(ISNUMBER($E38))),"",IF($L38&gt;$E38,NETWORKDAYS($E38+1,$L38),""))</f>
        <v/>
      </c>
      <c r="N38" s="9">
        <f>IF($A38="","",IF($H38="","Not asked",IF(OR($H38="Met",$H38="Declined"),$H38&amp;"",IF(AND(ISNUMBER($G38),$G38&lt;Dashboard!$B$16),"Past due",IF(AND(ISNUMBER($L38),ISNUMBER($E38)),IF($L38&gt;$E38,"Slipped",$H38&amp;""),$H38&amp;"")))))</f>
        <v/>
      </c>
      <c r="O38" s="9">
        <f>IF($A38="","",IF($T38=1,"△ Not asked yet",IF(OR($B38="",$C38="",$E38="",$J38=""),"△ Needing project, Provided by, Needed by or Who answers is blank",IF(AND(OR($H38="Accepted",$H38="New date"),$G38=""),"△ Promised is blank",IF($Q38=1,IF(ISNUMBER($F38),"△ Asked, no answer after "&amp;NETWORKDAYS($F38+1,Dashboard!$B$16)&amp;IF(NETWORKDAYS($F38+1,Dashboard!$B$16)=1," working day"," working days"),"△ Asked on is blank"),IF($N38="Slipped","△ Arrives "&amp;$M38&amp;IF($M38=1," working day"," working days")&amp;" after Needed by",IF($N38="Past due","△ Past due: promised for "&amp;TEXT($G38,"d mmm yyyy"),IF($N38="Declined","△ Declined","○ Clear"))))))))</f>
        <v/>
      </c>
      <c r="P38" s="9">
        <f>IF($A38="",0,IF(OR($B38="",$C38="",$E38="",$J38=""),1,IF(AND(OR($H38="Accepted",$H38="New date"),$G38=""),1,0)))</f>
        <v/>
      </c>
      <c r="Q38" s="9">
        <f>IF($A38="",0,IF($H38&lt;&gt;"Asked",0,IF(NOT(ISNUMBER($F38)),1,IF(NETWORKDAYS($F38+1,Dashboard!$B$16)&gt;Dashboard!$H$8,1,0))))</f>
        <v/>
      </c>
      <c r="R38" s="9">
        <f>IF($A38="",0,IF(OR($N38="Slipped",$N38="Past due",$N38="Declined"),1,0))</f>
        <v/>
      </c>
      <c r="S38" s="9">
        <f>IF($A38="",0,IF(OR($N38="Not asked",$N38="Asked",$N38="Accepted",$N38="New date",$N38="Slipped",$N38="Past due"),1,0))</f>
        <v/>
      </c>
      <c r="T38" s="9">
        <f>IF($A38="",0,IF($N38="Not asked",1,0))</f>
        <v/>
      </c>
      <c r="U38" s="9">
        <f>IF($A38="","",IFERROR(MATCH($N38,{"Past due","Slipped","Declined","Not asked","Asked","New date","Accepted","Met"},0),50)*100+ROW())</f>
        <v/>
      </c>
      <c r="V38" s="9">
        <f>IF($P38+$Q38+$T38&gt;0,1,0)</f>
        <v/>
      </c>
    </row>
    <row r="39" ht="18" customHeight="1">
      <c r="A39" s="27" t="n"/>
      <c r="B39" s="27" t="n"/>
      <c r="C39" s="27" t="n"/>
      <c r="D39" s="28" t="n"/>
      <c r="E39" s="14" t="n"/>
      <c r="F39" s="14" t="n"/>
      <c r="G39" s="14" t="n"/>
      <c r="H39" s="28" t="n"/>
      <c r="I39" s="14" t="n"/>
      <c r="J39" s="27" t="n"/>
      <c r="K39" s="27" t="n"/>
      <c r="L39" s="16">
        <f>IF($A39="","",IF(AND(ISNUMBER($G39),ISNUMBER($I39)),MAX($G39,$I39),IF(ISNUMBER($G39),$G39,IF(ISNUMBER($I39),$I39,""))))</f>
        <v/>
      </c>
      <c r="M39" s="33">
        <f>IF(OR($A39="",NOT(ISNUMBER($L39)),NOT(ISNUMBER($E39))),"",IF($L39&gt;$E39,NETWORKDAYS($E39+1,$L39),""))</f>
        <v/>
      </c>
      <c r="N39" s="9">
        <f>IF($A39="","",IF($H39="","Not asked",IF(OR($H39="Met",$H39="Declined"),$H39&amp;"",IF(AND(ISNUMBER($G39),$G39&lt;Dashboard!$B$16),"Past due",IF(AND(ISNUMBER($L39),ISNUMBER($E39)),IF($L39&gt;$E39,"Slipped",$H39&amp;""),$H39&amp;"")))))</f>
        <v/>
      </c>
      <c r="O39" s="9">
        <f>IF($A39="","",IF($T39=1,"△ Not asked yet",IF(OR($B39="",$C39="",$E39="",$J39=""),"△ Needing project, Provided by, Needed by or Who answers is blank",IF(AND(OR($H39="Accepted",$H39="New date"),$G39=""),"△ Promised is blank",IF($Q39=1,IF(ISNUMBER($F39),"△ Asked, no answer after "&amp;NETWORKDAYS($F39+1,Dashboard!$B$16)&amp;IF(NETWORKDAYS($F39+1,Dashboard!$B$16)=1," working day"," working days"),"△ Asked on is blank"),IF($N39="Slipped","△ Arrives "&amp;$M39&amp;IF($M39=1," working day"," working days")&amp;" after Needed by",IF($N39="Past due","△ Past due: promised for "&amp;TEXT($G39,"d mmm yyyy"),IF($N39="Declined","△ Declined","○ Clear"))))))))</f>
        <v/>
      </c>
      <c r="P39" s="9">
        <f>IF($A39="",0,IF(OR($B39="",$C39="",$E39="",$J39=""),1,IF(AND(OR($H39="Accepted",$H39="New date"),$G39=""),1,0)))</f>
        <v/>
      </c>
      <c r="Q39" s="9">
        <f>IF($A39="",0,IF($H39&lt;&gt;"Asked",0,IF(NOT(ISNUMBER($F39)),1,IF(NETWORKDAYS($F39+1,Dashboard!$B$16)&gt;Dashboard!$H$8,1,0))))</f>
        <v/>
      </c>
      <c r="R39" s="9">
        <f>IF($A39="",0,IF(OR($N39="Slipped",$N39="Past due",$N39="Declined"),1,0))</f>
        <v/>
      </c>
      <c r="S39" s="9">
        <f>IF($A39="",0,IF(OR($N39="Not asked",$N39="Asked",$N39="Accepted",$N39="New date",$N39="Slipped",$N39="Past due"),1,0))</f>
        <v/>
      </c>
      <c r="T39" s="9">
        <f>IF($A39="",0,IF($N39="Not asked",1,0))</f>
        <v/>
      </c>
      <c r="U39" s="9">
        <f>IF($A39="","",IFERROR(MATCH($N39,{"Past due","Slipped","Declined","Not asked","Asked","New date","Accepted","Met"},0),50)*100+ROW())</f>
        <v/>
      </c>
      <c r="V39" s="9">
        <f>IF($P39+$Q39+$T39&gt;0,1,0)</f>
        <v/>
      </c>
    </row>
    <row r="40" ht="18" customHeight="1">
      <c r="A40" s="27" t="n"/>
      <c r="B40" s="27" t="n"/>
      <c r="C40" s="27" t="n"/>
      <c r="D40" s="28" t="n"/>
      <c r="E40" s="14" t="n"/>
      <c r="F40" s="14" t="n"/>
      <c r="G40" s="14" t="n"/>
      <c r="H40" s="28" t="n"/>
      <c r="I40" s="14" t="n"/>
      <c r="J40" s="27" t="n"/>
      <c r="K40" s="27" t="n"/>
      <c r="L40" s="16">
        <f>IF($A40="","",IF(AND(ISNUMBER($G40),ISNUMBER($I40)),MAX($G40,$I40),IF(ISNUMBER($G40),$G40,IF(ISNUMBER($I40),$I40,""))))</f>
        <v/>
      </c>
      <c r="M40" s="33">
        <f>IF(OR($A40="",NOT(ISNUMBER($L40)),NOT(ISNUMBER($E40))),"",IF($L40&gt;$E40,NETWORKDAYS($E40+1,$L40),""))</f>
        <v/>
      </c>
      <c r="N40" s="9">
        <f>IF($A40="","",IF($H40="","Not asked",IF(OR($H40="Met",$H40="Declined"),$H40&amp;"",IF(AND(ISNUMBER($G40),$G40&lt;Dashboard!$B$16),"Past due",IF(AND(ISNUMBER($L40),ISNUMBER($E40)),IF($L40&gt;$E40,"Slipped",$H40&amp;""),$H40&amp;"")))))</f>
        <v/>
      </c>
      <c r="O40" s="9">
        <f>IF($A40="","",IF($T40=1,"△ Not asked yet",IF(OR($B40="",$C40="",$E40="",$J40=""),"△ Needing project, Provided by, Needed by or Who answers is blank",IF(AND(OR($H40="Accepted",$H40="New date"),$G40=""),"△ Promised is blank",IF($Q40=1,IF(ISNUMBER($F40),"△ Asked, no answer after "&amp;NETWORKDAYS($F40+1,Dashboard!$B$16)&amp;IF(NETWORKDAYS($F40+1,Dashboard!$B$16)=1," working day"," working days"),"△ Asked on is blank"),IF($N40="Slipped","△ Arrives "&amp;$M40&amp;IF($M40=1," working day"," working days")&amp;" after Needed by",IF($N40="Past due","△ Past due: promised for "&amp;TEXT($G40,"d mmm yyyy"),IF($N40="Declined","△ Declined","○ Clear"))))))))</f>
        <v/>
      </c>
      <c r="P40" s="9">
        <f>IF($A40="",0,IF(OR($B40="",$C40="",$E40="",$J40=""),1,IF(AND(OR($H40="Accepted",$H40="New date"),$G40=""),1,0)))</f>
        <v/>
      </c>
      <c r="Q40" s="9">
        <f>IF($A40="",0,IF($H40&lt;&gt;"Asked",0,IF(NOT(ISNUMBER($F40)),1,IF(NETWORKDAYS($F40+1,Dashboard!$B$16)&gt;Dashboard!$H$8,1,0))))</f>
        <v/>
      </c>
      <c r="R40" s="9">
        <f>IF($A40="",0,IF(OR($N40="Slipped",$N40="Past due",$N40="Declined"),1,0))</f>
        <v/>
      </c>
      <c r="S40" s="9">
        <f>IF($A40="",0,IF(OR($N40="Not asked",$N40="Asked",$N40="Accepted",$N40="New date",$N40="Slipped",$N40="Past due"),1,0))</f>
        <v/>
      </c>
      <c r="T40" s="9">
        <f>IF($A40="",0,IF($N40="Not asked",1,0))</f>
        <v/>
      </c>
      <c r="U40" s="9">
        <f>IF($A40="","",IFERROR(MATCH($N40,{"Past due","Slipped","Declined","Not asked","Asked","New date","Accepted","Met"},0),50)*100+ROW())</f>
        <v/>
      </c>
      <c r="V40" s="9">
        <f>IF($P40+$Q40+$T40&gt;0,1,0)</f>
        <v/>
      </c>
    </row>
    <row r="41" ht="18" customHeight="1">
      <c r="A41" s="27" t="n"/>
      <c r="B41" s="27" t="n"/>
      <c r="C41" s="27" t="n"/>
      <c r="D41" s="28" t="n"/>
      <c r="E41" s="14" t="n"/>
      <c r="F41" s="14" t="n"/>
      <c r="G41" s="14" t="n"/>
      <c r="H41" s="28" t="n"/>
      <c r="I41" s="14" t="n"/>
      <c r="J41" s="27" t="n"/>
      <c r="K41" s="27" t="n"/>
      <c r="L41" s="16">
        <f>IF($A41="","",IF(AND(ISNUMBER($G41),ISNUMBER($I41)),MAX($G41,$I41),IF(ISNUMBER($G41),$G41,IF(ISNUMBER($I41),$I41,""))))</f>
        <v/>
      </c>
      <c r="M41" s="33">
        <f>IF(OR($A41="",NOT(ISNUMBER($L41)),NOT(ISNUMBER($E41))),"",IF($L41&gt;$E41,NETWORKDAYS($E41+1,$L41),""))</f>
        <v/>
      </c>
      <c r="N41" s="9">
        <f>IF($A41="","",IF($H41="","Not asked",IF(OR($H41="Met",$H41="Declined"),$H41&amp;"",IF(AND(ISNUMBER($G41),$G41&lt;Dashboard!$B$16),"Past due",IF(AND(ISNUMBER($L41),ISNUMBER($E41)),IF($L41&gt;$E41,"Slipped",$H41&amp;""),$H41&amp;"")))))</f>
        <v/>
      </c>
      <c r="O41" s="9">
        <f>IF($A41="","",IF($T41=1,"△ Not asked yet",IF(OR($B41="",$C41="",$E41="",$J41=""),"△ Needing project, Provided by, Needed by or Who answers is blank",IF(AND(OR($H41="Accepted",$H41="New date"),$G41=""),"△ Promised is blank",IF($Q41=1,IF(ISNUMBER($F41),"△ Asked, no answer after "&amp;NETWORKDAYS($F41+1,Dashboard!$B$16)&amp;IF(NETWORKDAYS($F41+1,Dashboard!$B$16)=1," working day"," working days"),"△ Asked on is blank"),IF($N41="Slipped","△ Arrives "&amp;$M41&amp;IF($M41=1," working day"," working days")&amp;" after Needed by",IF($N41="Past due","△ Past due: promised for "&amp;TEXT($G41,"d mmm yyyy"),IF($N41="Declined","△ Declined","○ Clear"))))))))</f>
        <v/>
      </c>
      <c r="P41" s="9">
        <f>IF($A41="",0,IF(OR($B41="",$C41="",$E41="",$J41=""),1,IF(AND(OR($H41="Accepted",$H41="New date"),$G41=""),1,0)))</f>
        <v/>
      </c>
      <c r="Q41" s="9">
        <f>IF($A41="",0,IF($H41&lt;&gt;"Asked",0,IF(NOT(ISNUMBER($F41)),1,IF(NETWORKDAYS($F41+1,Dashboard!$B$16)&gt;Dashboard!$H$8,1,0))))</f>
        <v/>
      </c>
      <c r="R41" s="9">
        <f>IF($A41="",0,IF(OR($N41="Slipped",$N41="Past due",$N41="Declined"),1,0))</f>
        <v/>
      </c>
      <c r="S41" s="9">
        <f>IF($A41="",0,IF(OR($N41="Not asked",$N41="Asked",$N41="Accepted",$N41="New date",$N41="Slipped",$N41="Past due"),1,0))</f>
        <v/>
      </c>
      <c r="T41" s="9">
        <f>IF($A41="",0,IF($N41="Not asked",1,0))</f>
        <v/>
      </c>
      <c r="U41" s="9">
        <f>IF($A41="","",IFERROR(MATCH($N41,{"Past due","Slipped","Declined","Not asked","Asked","New date","Accepted","Met"},0),50)*100+ROW())</f>
        <v/>
      </c>
      <c r="V41" s="9">
        <f>IF($P41+$Q41+$T41&gt;0,1,0)</f>
        <v/>
      </c>
    </row>
    <row r="42" ht="18" customHeight="1">
      <c r="A42" s="27" t="n"/>
      <c r="B42" s="27" t="n"/>
      <c r="C42" s="27" t="n"/>
      <c r="D42" s="28" t="n"/>
      <c r="E42" s="14" t="n"/>
      <c r="F42" s="14" t="n"/>
      <c r="G42" s="14" t="n"/>
      <c r="H42" s="28" t="n"/>
      <c r="I42" s="14" t="n"/>
      <c r="J42" s="27" t="n"/>
      <c r="K42" s="27" t="n"/>
      <c r="L42" s="16">
        <f>IF($A42="","",IF(AND(ISNUMBER($G42),ISNUMBER($I42)),MAX($G42,$I42),IF(ISNUMBER($G42),$G42,IF(ISNUMBER($I42),$I42,""))))</f>
        <v/>
      </c>
      <c r="M42" s="33">
        <f>IF(OR($A42="",NOT(ISNUMBER($L42)),NOT(ISNUMBER($E42))),"",IF($L42&gt;$E42,NETWORKDAYS($E42+1,$L42),""))</f>
        <v/>
      </c>
      <c r="N42" s="9">
        <f>IF($A42="","",IF($H42="","Not asked",IF(OR($H42="Met",$H42="Declined"),$H42&amp;"",IF(AND(ISNUMBER($G42),$G42&lt;Dashboard!$B$16),"Past due",IF(AND(ISNUMBER($L42),ISNUMBER($E42)),IF($L42&gt;$E42,"Slipped",$H42&amp;""),$H42&amp;"")))))</f>
        <v/>
      </c>
      <c r="O42" s="9">
        <f>IF($A42="","",IF($T42=1,"△ Not asked yet",IF(OR($B42="",$C42="",$E42="",$J42=""),"△ Needing project, Provided by, Needed by or Who answers is blank",IF(AND(OR($H42="Accepted",$H42="New date"),$G42=""),"△ Promised is blank",IF($Q42=1,IF(ISNUMBER($F42),"△ Asked, no answer after "&amp;NETWORKDAYS($F42+1,Dashboard!$B$16)&amp;IF(NETWORKDAYS($F42+1,Dashboard!$B$16)=1," working day"," working days"),"△ Asked on is blank"),IF($N42="Slipped","△ Arrives "&amp;$M42&amp;IF($M42=1," working day"," working days")&amp;" after Needed by",IF($N42="Past due","△ Past due: promised for "&amp;TEXT($G42,"d mmm yyyy"),IF($N42="Declined","△ Declined","○ Clear"))))))))</f>
        <v/>
      </c>
      <c r="P42" s="9">
        <f>IF($A42="",0,IF(OR($B42="",$C42="",$E42="",$J42=""),1,IF(AND(OR($H42="Accepted",$H42="New date"),$G42=""),1,0)))</f>
        <v/>
      </c>
      <c r="Q42" s="9">
        <f>IF($A42="",0,IF($H42&lt;&gt;"Asked",0,IF(NOT(ISNUMBER($F42)),1,IF(NETWORKDAYS($F42+1,Dashboard!$B$16)&gt;Dashboard!$H$8,1,0))))</f>
        <v/>
      </c>
      <c r="R42" s="9">
        <f>IF($A42="",0,IF(OR($N42="Slipped",$N42="Past due",$N42="Declined"),1,0))</f>
        <v/>
      </c>
      <c r="S42" s="9">
        <f>IF($A42="",0,IF(OR($N42="Not asked",$N42="Asked",$N42="Accepted",$N42="New date",$N42="Slipped",$N42="Past due"),1,0))</f>
        <v/>
      </c>
      <c r="T42" s="9">
        <f>IF($A42="",0,IF($N42="Not asked",1,0))</f>
        <v/>
      </c>
      <c r="U42" s="9">
        <f>IF($A42="","",IFERROR(MATCH($N42,{"Past due","Slipped","Declined","Not asked","Asked","New date","Accepted","Met"},0),50)*100+ROW())</f>
        <v/>
      </c>
      <c r="V42" s="9">
        <f>IF($P42+$Q42+$T42&gt;0,1,0)</f>
        <v/>
      </c>
    </row>
    <row r="43" ht="18" customHeight="1">
      <c r="A43" s="27" t="n"/>
      <c r="B43" s="27" t="n"/>
      <c r="C43" s="27" t="n"/>
      <c r="D43" s="28" t="n"/>
      <c r="E43" s="14" t="n"/>
      <c r="F43" s="14" t="n"/>
      <c r="G43" s="14" t="n"/>
      <c r="H43" s="28" t="n"/>
      <c r="I43" s="14" t="n"/>
      <c r="J43" s="27" t="n"/>
      <c r="K43" s="27" t="n"/>
      <c r="L43" s="16">
        <f>IF($A43="","",IF(AND(ISNUMBER($G43),ISNUMBER($I43)),MAX($G43,$I43),IF(ISNUMBER($G43),$G43,IF(ISNUMBER($I43),$I43,""))))</f>
        <v/>
      </c>
      <c r="M43" s="33">
        <f>IF(OR($A43="",NOT(ISNUMBER($L43)),NOT(ISNUMBER($E43))),"",IF($L43&gt;$E43,NETWORKDAYS($E43+1,$L43),""))</f>
        <v/>
      </c>
      <c r="N43" s="9">
        <f>IF($A43="","",IF($H43="","Not asked",IF(OR($H43="Met",$H43="Declined"),$H43&amp;"",IF(AND(ISNUMBER($G43),$G43&lt;Dashboard!$B$16),"Past due",IF(AND(ISNUMBER($L43),ISNUMBER($E43)),IF($L43&gt;$E43,"Slipped",$H43&amp;""),$H43&amp;"")))))</f>
        <v/>
      </c>
      <c r="O43" s="9">
        <f>IF($A43="","",IF($T43=1,"△ Not asked yet",IF(OR($B43="",$C43="",$E43="",$J43=""),"△ Needing project, Provided by, Needed by or Who answers is blank",IF(AND(OR($H43="Accepted",$H43="New date"),$G43=""),"△ Promised is blank",IF($Q43=1,IF(ISNUMBER($F43),"△ Asked, no answer after "&amp;NETWORKDAYS($F43+1,Dashboard!$B$16)&amp;IF(NETWORKDAYS($F43+1,Dashboard!$B$16)=1," working day"," working days"),"△ Asked on is blank"),IF($N43="Slipped","△ Arrives "&amp;$M43&amp;IF($M43=1," working day"," working days")&amp;" after Needed by",IF($N43="Past due","△ Past due: promised for "&amp;TEXT($G43,"d mmm yyyy"),IF($N43="Declined","△ Declined","○ Clear"))))))))</f>
        <v/>
      </c>
      <c r="P43" s="9">
        <f>IF($A43="",0,IF(OR($B43="",$C43="",$E43="",$J43=""),1,IF(AND(OR($H43="Accepted",$H43="New date"),$G43=""),1,0)))</f>
        <v/>
      </c>
      <c r="Q43" s="9">
        <f>IF($A43="",0,IF($H43&lt;&gt;"Asked",0,IF(NOT(ISNUMBER($F43)),1,IF(NETWORKDAYS($F43+1,Dashboard!$B$16)&gt;Dashboard!$H$8,1,0))))</f>
        <v/>
      </c>
      <c r="R43" s="9">
        <f>IF($A43="",0,IF(OR($N43="Slipped",$N43="Past due",$N43="Declined"),1,0))</f>
        <v/>
      </c>
      <c r="S43" s="9">
        <f>IF($A43="",0,IF(OR($N43="Not asked",$N43="Asked",$N43="Accepted",$N43="New date",$N43="Slipped",$N43="Past due"),1,0))</f>
        <v/>
      </c>
      <c r="T43" s="9">
        <f>IF($A43="",0,IF($N43="Not asked",1,0))</f>
        <v/>
      </c>
      <c r="U43" s="9">
        <f>IF($A43="","",IFERROR(MATCH($N43,{"Past due","Slipped","Declined","Not asked","Asked","New date","Accepted","Met"},0),50)*100+ROW())</f>
        <v/>
      </c>
      <c r="V43" s="9">
        <f>IF($P43+$Q43+$T43&gt;0,1,0)</f>
        <v/>
      </c>
    </row>
    <row r="44" ht="18" customHeight="1">
      <c r="A44" s="27" t="n"/>
      <c r="B44" s="27" t="n"/>
      <c r="C44" s="27" t="n"/>
      <c r="D44" s="28" t="n"/>
      <c r="E44" s="14" t="n"/>
      <c r="F44" s="14" t="n"/>
      <c r="G44" s="14" t="n"/>
      <c r="H44" s="28" t="n"/>
      <c r="I44" s="14" t="n"/>
      <c r="J44" s="27" t="n"/>
      <c r="K44" s="27" t="n"/>
      <c r="L44" s="16">
        <f>IF($A44="","",IF(AND(ISNUMBER($G44),ISNUMBER($I44)),MAX($G44,$I44),IF(ISNUMBER($G44),$G44,IF(ISNUMBER($I44),$I44,""))))</f>
        <v/>
      </c>
      <c r="M44" s="33">
        <f>IF(OR($A44="",NOT(ISNUMBER($L44)),NOT(ISNUMBER($E44))),"",IF($L44&gt;$E44,NETWORKDAYS($E44+1,$L44),""))</f>
        <v/>
      </c>
      <c r="N44" s="9">
        <f>IF($A44="","",IF($H44="","Not asked",IF(OR($H44="Met",$H44="Declined"),$H44&amp;"",IF(AND(ISNUMBER($G44),$G44&lt;Dashboard!$B$16),"Past due",IF(AND(ISNUMBER($L44),ISNUMBER($E44)),IF($L44&gt;$E44,"Slipped",$H44&amp;""),$H44&amp;"")))))</f>
        <v/>
      </c>
      <c r="O44" s="9">
        <f>IF($A44="","",IF($T44=1,"△ Not asked yet",IF(OR($B44="",$C44="",$E44="",$J44=""),"△ Needing project, Provided by, Needed by or Who answers is blank",IF(AND(OR($H44="Accepted",$H44="New date"),$G44=""),"△ Promised is blank",IF($Q44=1,IF(ISNUMBER($F44),"△ Asked, no answer after "&amp;NETWORKDAYS($F44+1,Dashboard!$B$16)&amp;IF(NETWORKDAYS($F44+1,Dashboard!$B$16)=1," working day"," working days"),"△ Asked on is blank"),IF($N44="Slipped","△ Arrives "&amp;$M44&amp;IF($M44=1," working day"," working days")&amp;" after Needed by",IF($N44="Past due","△ Past due: promised for "&amp;TEXT($G44,"d mmm yyyy"),IF($N44="Declined","△ Declined","○ Clear"))))))))</f>
        <v/>
      </c>
      <c r="P44" s="9">
        <f>IF($A44="",0,IF(OR($B44="",$C44="",$E44="",$J44=""),1,IF(AND(OR($H44="Accepted",$H44="New date"),$G44=""),1,0)))</f>
        <v/>
      </c>
      <c r="Q44" s="9">
        <f>IF($A44="",0,IF($H44&lt;&gt;"Asked",0,IF(NOT(ISNUMBER($F44)),1,IF(NETWORKDAYS($F44+1,Dashboard!$B$16)&gt;Dashboard!$H$8,1,0))))</f>
        <v/>
      </c>
      <c r="R44" s="9">
        <f>IF($A44="",0,IF(OR($N44="Slipped",$N44="Past due",$N44="Declined"),1,0))</f>
        <v/>
      </c>
      <c r="S44" s="9">
        <f>IF($A44="",0,IF(OR($N44="Not asked",$N44="Asked",$N44="Accepted",$N44="New date",$N44="Slipped",$N44="Past due"),1,0))</f>
        <v/>
      </c>
      <c r="T44" s="9">
        <f>IF($A44="",0,IF($N44="Not asked",1,0))</f>
        <v/>
      </c>
      <c r="U44" s="9">
        <f>IF($A44="","",IFERROR(MATCH($N44,{"Past due","Slipped","Declined","Not asked","Asked","New date","Accepted","Met"},0),50)*100+ROW())</f>
        <v/>
      </c>
      <c r="V44" s="9">
        <f>IF($P44+$Q44+$T44&gt;0,1,0)</f>
        <v/>
      </c>
    </row>
    <row r="45" ht="18" customHeight="1">
      <c r="A45" s="27" t="n"/>
      <c r="B45" s="27" t="n"/>
      <c r="C45" s="27" t="n"/>
      <c r="D45" s="28" t="n"/>
      <c r="E45" s="14" t="n"/>
      <c r="F45" s="14" t="n"/>
      <c r="G45" s="14" t="n"/>
      <c r="H45" s="28" t="n"/>
      <c r="I45" s="14" t="n"/>
      <c r="J45" s="27" t="n"/>
      <c r="K45" s="27" t="n"/>
      <c r="L45" s="16">
        <f>IF($A45="","",IF(AND(ISNUMBER($G45),ISNUMBER($I45)),MAX($G45,$I45),IF(ISNUMBER($G45),$G45,IF(ISNUMBER($I45),$I45,""))))</f>
        <v/>
      </c>
      <c r="M45" s="33">
        <f>IF(OR($A45="",NOT(ISNUMBER($L45)),NOT(ISNUMBER($E45))),"",IF($L45&gt;$E45,NETWORKDAYS($E45+1,$L45),""))</f>
        <v/>
      </c>
      <c r="N45" s="9">
        <f>IF($A45="","",IF($H45="","Not asked",IF(OR($H45="Met",$H45="Declined"),$H45&amp;"",IF(AND(ISNUMBER($G45),$G45&lt;Dashboard!$B$16),"Past due",IF(AND(ISNUMBER($L45),ISNUMBER($E45)),IF($L45&gt;$E45,"Slipped",$H45&amp;""),$H45&amp;"")))))</f>
        <v/>
      </c>
      <c r="O45" s="9">
        <f>IF($A45="","",IF($T45=1,"△ Not asked yet",IF(OR($B45="",$C45="",$E45="",$J45=""),"△ Needing project, Provided by, Needed by or Who answers is blank",IF(AND(OR($H45="Accepted",$H45="New date"),$G45=""),"△ Promised is blank",IF($Q45=1,IF(ISNUMBER($F45),"△ Asked, no answer after "&amp;NETWORKDAYS($F45+1,Dashboard!$B$16)&amp;IF(NETWORKDAYS($F45+1,Dashboard!$B$16)=1," working day"," working days"),"△ Asked on is blank"),IF($N45="Slipped","△ Arrives "&amp;$M45&amp;IF($M45=1," working day"," working days")&amp;" after Needed by",IF($N45="Past due","△ Past due: promised for "&amp;TEXT($G45,"d mmm yyyy"),IF($N45="Declined","△ Declined","○ Clear"))))))))</f>
        <v/>
      </c>
      <c r="P45" s="9">
        <f>IF($A45="",0,IF(OR($B45="",$C45="",$E45="",$J45=""),1,IF(AND(OR($H45="Accepted",$H45="New date"),$G45=""),1,0)))</f>
        <v/>
      </c>
      <c r="Q45" s="9">
        <f>IF($A45="",0,IF($H45&lt;&gt;"Asked",0,IF(NOT(ISNUMBER($F45)),1,IF(NETWORKDAYS($F45+1,Dashboard!$B$16)&gt;Dashboard!$H$8,1,0))))</f>
        <v/>
      </c>
      <c r="R45" s="9">
        <f>IF($A45="",0,IF(OR($N45="Slipped",$N45="Past due",$N45="Declined"),1,0))</f>
        <v/>
      </c>
      <c r="S45" s="9">
        <f>IF($A45="",0,IF(OR($N45="Not asked",$N45="Asked",$N45="Accepted",$N45="New date",$N45="Slipped",$N45="Past due"),1,0))</f>
        <v/>
      </c>
      <c r="T45" s="9">
        <f>IF($A45="",0,IF($N45="Not asked",1,0))</f>
        <v/>
      </c>
      <c r="U45" s="9">
        <f>IF($A45="","",IFERROR(MATCH($N45,{"Past due","Slipped","Declined","Not asked","Asked","New date","Accepted","Met"},0),50)*100+ROW())</f>
        <v/>
      </c>
      <c r="V45" s="9">
        <f>IF($P45+$Q45+$T45&gt;0,1,0)</f>
        <v/>
      </c>
    </row>
    <row r="46" ht="18" customHeight="1">
      <c r="A46" s="27" t="n"/>
      <c r="B46" s="27" t="n"/>
      <c r="C46" s="27" t="n"/>
      <c r="D46" s="28" t="n"/>
      <c r="E46" s="14" t="n"/>
      <c r="F46" s="14" t="n"/>
      <c r="G46" s="14" t="n"/>
      <c r="H46" s="28" t="n"/>
      <c r="I46" s="14" t="n"/>
      <c r="J46" s="27" t="n"/>
      <c r="K46" s="27" t="n"/>
      <c r="L46" s="16">
        <f>IF($A46="","",IF(AND(ISNUMBER($G46),ISNUMBER($I46)),MAX($G46,$I46),IF(ISNUMBER($G46),$G46,IF(ISNUMBER($I46),$I46,""))))</f>
        <v/>
      </c>
      <c r="M46" s="33">
        <f>IF(OR($A46="",NOT(ISNUMBER($L46)),NOT(ISNUMBER($E46))),"",IF($L46&gt;$E46,NETWORKDAYS($E46+1,$L46),""))</f>
        <v/>
      </c>
      <c r="N46" s="9">
        <f>IF($A46="","",IF($H46="","Not asked",IF(OR($H46="Met",$H46="Declined"),$H46&amp;"",IF(AND(ISNUMBER($G46),$G46&lt;Dashboard!$B$16),"Past due",IF(AND(ISNUMBER($L46),ISNUMBER($E46)),IF($L46&gt;$E46,"Slipped",$H46&amp;""),$H46&amp;"")))))</f>
        <v/>
      </c>
      <c r="O46" s="9">
        <f>IF($A46="","",IF($T46=1,"△ Not asked yet",IF(OR($B46="",$C46="",$E46="",$J46=""),"△ Needing project, Provided by, Needed by or Who answers is blank",IF(AND(OR($H46="Accepted",$H46="New date"),$G46=""),"△ Promised is blank",IF($Q46=1,IF(ISNUMBER($F46),"△ Asked, no answer after "&amp;NETWORKDAYS($F46+1,Dashboard!$B$16)&amp;IF(NETWORKDAYS($F46+1,Dashboard!$B$16)=1," working day"," working days"),"△ Asked on is blank"),IF($N46="Slipped","△ Arrives "&amp;$M46&amp;IF($M46=1," working day"," working days")&amp;" after Needed by",IF($N46="Past due","△ Past due: promised for "&amp;TEXT($G46,"d mmm yyyy"),IF($N46="Declined","△ Declined","○ Clear"))))))))</f>
        <v/>
      </c>
      <c r="P46" s="9">
        <f>IF($A46="",0,IF(OR($B46="",$C46="",$E46="",$J46=""),1,IF(AND(OR($H46="Accepted",$H46="New date"),$G46=""),1,0)))</f>
        <v/>
      </c>
      <c r="Q46" s="9">
        <f>IF($A46="",0,IF($H46&lt;&gt;"Asked",0,IF(NOT(ISNUMBER($F46)),1,IF(NETWORKDAYS($F46+1,Dashboard!$B$16)&gt;Dashboard!$H$8,1,0))))</f>
        <v/>
      </c>
      <c r="R46" s="9">
        <f>IF($A46="",0,IF(OR($N46="Slipped",$N46="Past due",$N46="Declined"),1,0))</f>
        <v/>
      </c>
      <c r="S46" s="9">
        <f>IF($A46="",0,IF(OR($N46="Not asked",$N46="Asked",$N46="Accepted",$N46="New date",$N46="Slipped",$N46="Past due"),1,0))</f>
        <v/>
      </c>
      <c r="T46" s="9">
        <f>IF($A46="",0,IF($N46="Not asked",1,0))</f>
        <v/>
      </c>
      <c r="U46" s="9">
        <f>IF($A46="","",IFERROR(MATCH($N46,{"Past due","Slipped","Declined","Not asked","Asked","New date","Accepted","Met"},0),50)*100+ROW())</f>
        <v/>
      </c>
      <c r="V46" s="9">
        <f>IF($P46+$Q46+$T46&gt;0,1,0)</f>
        <v/>
      </c>
    </row>
  </sheetData>
  <sheetProtection selectLockedCells="0" selectUnlockedCells="0" sheet="1" objects="0" insertRows="1" insertHyperlinks="1" autoFilter="0" scenarios="0" formatColumns="0" deleteColumns="1" insertColumns="1" pivotTables="1" deleteRows="1" formatCells="0" formatRows="0" sort="0"/>
  <autoFilter ref="A6:O46"/>
  <mergeCells count="1">
    <mergeCell ref="A5:O5"/>
  </mergeCells>
  <conditionalFormatting sqref="O7:O46">
    <cfRule type="expression" priority="1" dxfId="0" stopIfTrue="0">
      <formula>OR(LEFT(O7,1)="△",LEFT(O7,1)="■")</formula>
    </cfRule>
  </conditionalFormatting>
  <dataValidations count="7">
    <dataValidation sqref="B7:B46" showDropDown="0" showInputMessage="0" showErrorMessage="1" allowBlank="1" errorTitle="Check this entry" error="That isn't an item on Roadmap. You can keep it, but type the project as Roadmap spells it so the names match." type="list" errorStyle="warning">
      <formula1>Roadmap!$A$7:$A$36</formula1>
    </dataValidation>
    <dataValidation sqref="D7:D46" showDropDown="0" showInputMessage="0" showErrorMessage="1" allowBlank="1" errorTitle="Check this entry" error="Pick Yes or No. Blank reads No." type="list" errorStyle="stop">
      <formula1>"Yes,No"</formula1>
    </dataValidation>
    <dataValidation sqref="G7:G46" showDropDown="0" showInputMessage="0" showErrorMessage="1" allowBlank="1" errorTitle="Check this entry" error="Type a date, such as 30 Jun 2027." type="date" errorStyle="stop" operator="between">
      <formula1>36526</formula1>
      <formula2>73415</formula2>
    </dataValidation>
    <dataValidation sqref="F7:F46" showDropDown="0" showInputMessage="0" showErrorMessage="1" allowBlank="1" errorTitle="Check this entry" error="Type a date, such as 30 Jun 2027." type="date" errorStyle="stop" operator="between">
      <formula1>36526</formula1>
      <formula2>73415</formula2>
    </dataValidation>
    <dataValidation sqref="E7:E46" showDropDown="0" showInputMessage="0" showErrorMessage="1" allowBlank="1" errorTitle="Check this entry" error="Type a date, such as 30 Jun 2027." type="date" errorStyle="stop" operator="between">
      <formula1>36526</formula1>
      <formula2>73415</formula2>
    </dataValidation>
    <dataValidation sqref="I7:I46" showDropDown="0" showInputMessage="0" showErrorMessage="1" allowBlank="1" errorTitle="Check this entry" error="Type a date, such as 30 Jun 2027." type="date" errorStyle="stop" operator="between">
      <formula1>36526</formula1>
      <formula2>73415</formula2>
    </dataValidation>
    <dataValidation sqref="H7:H46" showDropDown="0" showInputMessage="0" showErrorMessage="1" allowBlank="1" errorTitle="Check this entry" error="Pick Asked, Accepted, Declined, New date or Met, or leave it blank for Not asked." type="list" errorStyle="stop">
      <formula1>"Asked,Accepted,Declined,New date,Met"</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A1:T319"/>
  <sheetViews>
    <sheetView showGridLines="0" tabSelected="0" workbookViewId="0">
      <selection activeCell="A1" sqref="A1"/>
    </sheetView>
  </sheetViews>
  <sheetFormatPr baseColWidth="8" defaultRowHeight="15"/>
  <cols>
    <col width="18" customWidth="1" min="1" max="1"/>
    <col width="30" customWidth="1" min="2" max="2"/>
    <col width="14" customWidth="1" min="3" max="3"/>
    <col width="13" customWidth="1" min="4" max="4"/>
    <col width="50" customWidth="1" min="5" max="5"/>
    <col width="34" customWidth="1" min="6" max="6"/>
    <col width="22" customWidth="1" min="7" max="7"/>
    <col width="18" customWidth="1" min="8" max="8"/>
    <col width="26" customWidth="1" min="9" max="9"/>
    <col width="9" customWidth="1" min="10" max="10"/>
    <col width="28" customWidth="1" min="11" max="11"/>
    <col width="34" customWidth="1" min="12" max="12"/>
    <col hidden="1" width="12" customWidth="1" min="13" max="13"/>
    <col hidden="1" width="12" customWidth="1" min="14" max="14"/>
    <col hidden="1" width="12" customWidth="1" min="15" max="15"/>
    <col hidden="1" width="12" customWidth="1" min="16" max="16"/>
    <col hidden="1" width="12" customWidth="1" min="17" max="17"/>
    <col hidden="1" width="12" customWidth="1" min="18" max="18"/>
    <col hidden="1" width="12" customWidth="1" min="19" max="19"/>
    <col hidden="1" width="12" customWidth="1" min="20" max="20"/>
  </cols>
  <sheetData>
    <row r="1" ht="24" customHeight="1">
      <c r="B1" s="1" t="inlineStr">
        <is>
          <t>Meetings</t>
        </is>
      </c>
    </row>
    <row r="2" ht="15" customHeight="1">
      <c r="A2" s="7">
        <f>IF(Dashboard!$B$6="","","Program: "&amp;Dashboard!$B$6&amp;IF(Dashboard!$B$7="",".",". Sits under: "&amp;Dashboard!$B$7&amp;"."))</f>
        <v/>
      </c>
    </row>
    <row r="3" ht="6" customHeight="1"/>
    <row r="4" ht="15" customHeight="1"/>
    <row r="5" ht="18" customHeight="1">
      <c r="A5" s="8" t="inlineStr">
        <is>
          <t>Forums</t>
        </is>
      </c>
    </row>
    <row r="6" ht="30" customHeight="1">
      <c r="A6" s="26" t="inlineStr">
        <is>
          <t>Forum</t>
        </is>
      </c>
      <c r="B6" s="26" t="inlineStr">
        <is>
          <t>Chair</t>
        </is>
      </c>
      <c r="C6" s="26" t="inlineStr">
        <is>
          <t>Cadence</t>
        </is>
      </c>
      <c r="D6" s="26" t="inlineStr">
        <is>
          <t>Last met</t>
        </is>
      </c>
      <c r="E6" s="26" t="inlineStr">
        <is>
          <t>Next meeting</t>
        </is>
      </c>
      <c r="F6" s="26" t="inlineStr">
        <is>
          <t>May decide</t>
        </is>
      </c>
      <c r="G6" s="26" t="inlineStr">
        <is>
          <t>Goes to</t>
        </is>
      </c>
      <c r="H6" s="26" t="inlineStr">
        <is>
          <t>Decision point</t>
        </is>
      </c>
      <c r="I6" s="21" t="inlineStr">
        <is>
          <t>Shown as</t>
        </is>
      </c>
      <c r="R6" s="21" t="inlineStr">
        <is>
          <t>No chair, limits or place to escalate (1 or 0)</t>
        </is>
      </c>
      <c r="S6" s="21" t="inlineStr">
        <is>
          <t>Next decision point of this kind on Roadmap</t>
        </is>
      </c>
      <c r="T6" s="21" t="inlineStr">
        <is>
          <t>Next meeting differs from Roadmap (1 or 0)</t>
        </is>
      </c>
    </row>
    <row r="7" ht="18" customHeight="1">
      <c r="A7" s="28" t="n"/>
      <c r="B7" s="28" t="n"/>
      <c r="C7" s="28" t="n"/>
      <c r="D7" s="14" t="n"/>
      <c r="E7" s="14" t="n"/>
      <c r="F7" s="27" t="n"/>
      <c r="G7" s="27" t="n"/>
      <c r="H7" s="28" t="n"/>
      <c r="I7" s="9">
        <f>IF($A7="","",IF(NOT(ISNUMBER($E7)),"No next date",IF($E7&lt;Dashboard!$B$16,"△ Overdue, was due "&amp;TEXT($E7,"d mmm yyyy"),"Next "&amp;TEXT($E7,"d mmm yyyy"))))</f>
        <v/>
      </c>
      <c r="R7" s="9">
        <f>IF($A7="",0,IF(OR($B7="",$F7="",$G7=""),1,0))</f>
        <v/>
      </c>
      <c r="S7" s="35">
        <f>IF(OR($A7="",$H7="",$H7="None"),"",IF(SUMPRODUCT(MAX((LEFT(Roadmap!$A$7:$A$36,LEN($H7))=$H7)*Roadmap!$AD$7:$AD$36))=0,"",100000-SUMPRODUCT(MAX((LEFT(Roadmap!$A$7:$A$36,LEN($H7))=$H7)*Roadmap!$AD$7:$AD$36))))</f>
        <v/>
      </c>
      <c r="T7" s="9">
        <f>IF(AND(ISNUMBER($E7),ISNUMBER($S7)),IF($E7&lt;&gt;$S7,1,0),0)</f>
        <v/>
      </c>
    </row>
    <row r="8" ht="18" customHeight="1">
      <c r="A8" s="28" t="n"/>
      <c r="B8" s="28" t="n"/>
      <c r="C8" s="28" t="n"/>
      <c r="D8" s="14" t="n"/>
      <c r="E8" s="14" t="n"/>
      <c r="F8" s="27" t="n"/>
      <c r="G8" s="27" t="n"/>
      <c r="H8" s="28" t="n"/>
      <c r="I8" s="9">
        <f>IF($A8="","",IF(NOT(ISNUMBER($E8)),"No next date",IF($E8&lt;Dashboard!$B$16,"△ Overdue, was due "&amp;TEXT($E8,"d mmm yyyy"),"Next "&amp;TEXT($E8,"d mmm yyyy"))))</f>
        <v/>
      </c>
      <c r="R8" s="9">
        <f>IF($A8="",0,IF(OR($B8="",$F8="",$G8=""),1,0))</f>
        <v/>
      </c>
      <c r="S8" s="35">
        <f>IF(OR($A8="",$H8="",$H8="None"),"",IF(SUMPRODUCT(MAX((LEFT(Roadmap!$A$7:$A$36,LEN($H8))=$H8)*Roadmap!$AD$7:$AD$36))=0,"",100000-SUMPRODUCT(MAX((LEFT(Roadmap!$A$7:$A$36,LEN($H8))=$H8)*Roadmap!$AD$7:$AD$36))))</f>
        <v/>
      </c>
      <c r="T8" s="9">
        <f>IF(AND(ISNUMBER($E8),ISNUMBER($S8)),IF($E8&lt;&gt;$S8,1,0),0)</f>
        <v/>
      </c>
    </row>
    <row r="9" ht="18" customHeight="1">
      <c r="A9" s="28" t="n"/>
      <c r="B9" s="28" t="n"/>
      <c r="C9" s="28" t="n"/>
      <c r="D9" s="14" t="n"/>
      <c r="E9" s="14" t="n"/>
      <c r="F9" s="27" t="n"/>
      <c r="G9" s="27" t="n"/>
      <c r="H9" s="28" t="n"/>
      <c r="I9" s="9">
        <f>IF($A9="","",IF(NOT(ISNUMBER($E9)),"No next date",IF($E9&lt;Dashboard!$B$16,"△ Overdue, was due "&amp;TEXT($E9,"d mmm yyyy"),"Next "&amp;TEXT($E9,"d mmm yyyy"))))</f>
        <v/>
      </c>
      <c r="R9" s="9">
        <f>IF($A9="",0,IF(OR($B9="",$F9="",$G9=""),1,0))</f>
        <v/>
      </c>
      <c r="S9" s="35">
        <f>IF(OR($A9="",$H9="",$H9="None"),"",IF(SUMPRODUCT(MAX((LEFT(Roadmap!$A$7:$A$36,LEN($H9))=$H9)*Roadmap!$AD$7:$AD$36))=0,"",100000-SUMPRODUCT(MAX((LEFT(Roadmap!$A$7:$A$36,LEN($H9))=$H9)*Roadmap!$AD$7:$AD$36))))</f>
        <v/>
      </c>
      <c r="T9" s="9">
        <f>IF(AND(ISNUMBER($E9),ISNUMBER($S9)),IF($E9&lt;&gt;$S9,1,0),0)</f>
        <v/>
      </c>
    </row>
    <row r="10" ht="18" customHeight="1">
      <c r="A10" s="28" t="n"/>
      <c r="B10" s="28" t="n"/>
      <c r="C10" s="28" t="n"/>
      <c r="D10" s="14" t="n"/>
      <c r="E10" s="14" t="n"/>
      <c r="F10" s="27" t="n"/>
      <c r="G10" s="27" t="n"/>
      <c r="H10" s="28" t="n"/>
      <c r="I10" s="9">
        <f>IF($A10="","",IF(NOT(ISNUMBER($E10)),"No next date",IF($E10&lt;Dashboard!$B$16,"△ Overdue, was due "&amp;TEXT($E10,"d mmm yyyy"),"Next "&amp;TEXT($E10,"d mmm yyyy"))))</f>
        <v/>
      </c>
      <c r="R10" s="9">
        <f>IF($A10="",0,IF(OR($B10="",$F10="",$G10=""),1,0))</f>
        <v/>
      </c>
      <c r="S10" s="35">
        <f>IF(OR($A10="",$H10="",$H10="None"),"",IF(SUMPRODUCT(MAX((LEFT(Roadmap!$A$7:$A$36,LEN($H10))=$H10)*Roadmap!$AD$7:$AD$36))=0,"",100000-SUMPRODUCT(MAX((LEFT(Roadmap!$A$7:$A$36,LEN($H10))=$H10)*Roadmap!$AD$7:$AD$36))))</f>
        <v/>
      </c>
      <c r="T10" s="9">
        <f>IF(AND(ISNUMBER($E10),ISNUMBER($S10)),IF($E10&lt;&gt;$S10,1,0),0)</f>
        <v/>
      </c>
    </row>
    <row r="11" ht="18" customHeight="1">
      <c r="A11" s="28" t="n"/>
      <c r="B11" s="28" t="n"/>
      <c r="C11" s="28" t="n"/>
      <c r="D11" s="14" t="n"/>
      <c r="E11" s="14" t="n"/>
      <c r="F11" s="27" t="n"/>
      <c r="G11" s="27" t="n"/>
      <c r="H11" s="28" t="n"/>
      <c r="I11" s="9">
        <f>IF($A11="","",IF(NOT(ISNUMBER($E11)),"No next date",IF($E11&lt;Dashboard!$B$16,"△ Overdue, was due "&amp;TEXT($E11,"d mmm yyyy"),"Next "&amp;TEXT($E11,"d mmm yyyy"))))</f>
        <v/>
      </c>
      <c r="R11" s="9">
        <f>IF($A11="",0,IF(OR($B11="",$F11="",$G11=""),1,0))</f>
        <v/>
      </c>
      <c r="S11" s="35">
        <f>IF(OR($A11="",$H11="",$H11="None"),"",IF(SUMPRODUCT(MAX((LEFT(Roadmap!$A$7:$A$36,LEN($H11))=$H11)*Roadmap!$AD$7:$AD$36))=0,"",100000-SUMPRODUCT(MAX((LEFT(Roadmap!$A$7:$A$36,LEN($H11))=$H11)*Roadmap!$AD$7:$AD$36))))</f>
        <v/>
      </c>
      <c r="T11" s="9">
        <f>IF(AND(ISNUMBER($E11),ISNUMBER($S11)),IF($E11&lt;&gt;$S11,1,0),0)</f>
        <v/>
      </c>
    </row>
    <row r="12" ht="18" customHeight="1">
      <c r="A12" s="28" t="n"/>
      <c r="B12" s="28" t="n"/>
      <c r="C12" s="28" t="n"/>
      <c r="D12" s="14" t="n"/>
      <c r="E12" s="14" t="n"/>
      <c r="F12" s="27" t="n"/>
      <c r="G12" s="27" t="n"/>
      <c r="H12" s="28" t="n"/>
      <c r="I12" s="9">
        <f>IF($A12="","",IF(NOT(ISNUMBER($E12)),"No next date",IF($E12&lt;Dashboard!$B$16,"△ Overdue, was due "&amp;TEXT($E12,"d mmm yyyy"),"Next "&amp;TEXT($E12,"d mmm yyyy"))))</f>
        <v/>
      </c>
      <c r="R12" s="9">
        <f>IF($A12="",0,IF(OR($B12="",$F12="",$G12=""),1,0))</f>
        <v/>
      </c>
      <c r="S12" s="35">
        <f>IF(OR($A12="",$H12="",$H12="None"),"",IF(SUMPRODUCT(MAX((LEFT(Roadmap!$A$7:$A$36,LEN($H12))=$H12)*Roadmap!$AD$7:$AD$36))=0,"",100000-SUMPRODUCT(MAX((LEFT(Roadmap!$A$7:$A$36,LEN($H12))=$H12)*Roadmap!$AD$7:$AD$36))))</f>
        <v/>
      </c>
      <c r="T12" s="9">
        <f>IF(AND(ISNUMBER($E12),ISNUMBER($S12)),IF($E12&lt;&gt;$S12,1,0),0)</f>
        <v/>
      </c>
    </row>
    <row r="13" ht="18" customHeight="1">
      <c r="A13" s="28" t="n"/>
      <c r="B13" s="28" t="n"/>
      <c r="C13" s="28" t="n"/>
      <c r="D13" s="14" t="n"/>
      <c r="E13" s="14" t="n"/>
      <c r="F13" s="27" t="n"/>
      <c r="G13" s="27" t="n"/>
      <c r="H13" s="28" t="n"/>
      <c r="I13" s="9">
        <f>IF($A13="","",IF(NOT(ISNUMBER($E13)),"No next date",IF($E13&lt;Dashboard!$B$16,"△ Overdue, was due "&amp;TEXT($E13,"d mmm yyyy"),"Next "&amp;TEXT($E13,"d mmm yyyy"))))</f>
        <v/>
      </c>
      <c r="R13" s="9">
        <f>IF($A13="",0,IF(OR($B13="",$F13="",$G13=""),1,0))</f>
        <v/>
      </c>
      <c r="S13" s="35">
        <f>IF(OR($A13="",$H13="",$H13="None"),"",IF(SUMPRODUCT(MAX((LEFT(Roadmap!$A$7:$A$36,LEN($H13))=$H13)*Roadmap!$AD$7:$AD$36))=0,"",100000-SUMPRODUCT(MAX((LEFT(Roadmap!$A$7:$A$36,LEN($H13))=$H13)*Roadmap!$AD$7:$AD$36))))</f>
        <v/>
      </c>
      <c r="T13" s="9">
        <f>IF(AND(ISNUMBER($E13),ISNUMBER($S13)),IF($E13&lt;&gt;$S13,1,0),0)</f>
        <v/>
      </c>
    </row>
    <row r="14" ht="18" customHeight="1">
      <c r="A14" s="28" t="n"/>
      <c r="B14" s="28" t="n"/>
      <c r="C14" s="28" t="n"/>
      <c r="D14" s="14" t="n"/>
      <c r="E14" s="14" t="n"/>
      <c r="F14" s="27" t="n"/>
      <c r="G14" s="27" t="n"/>
      <c r="H14" s="28" t="n"/>
      <c r="I14" s="9">
        <f>IF($A14="","",IF(NOT(ISNUMBER($E14)),"No next date",IF($E14&lt;Dashboard!$B$16,"△ Overdue, was due "&amp;TEXT($E14,"d mmm yyyy"),"Next "&amp;TEXT($E14,"d mmm yyyy"))))</f>
        <v/>
      </c>
      <c r="R14" s="9">
        <f>IF($A14="",0,IF(OR($B14="",$F14="",$G14=""),1,0))</f>
        <v/>
      </c>
      <c r="S14" s="35">
        <f>IF(OR($A14="",$H14="",$H14="None"),"",IF(SUMPRODUCT(MAX((LEFT(Roadmap!$A$7:$A$36,LEN($H14))=$H14)*Roadmap!$AD$7:$AD$36))=0,"",100000-SUMPRODUCT(MAX((LEFT(Roadmap!$A$7:$A$36,LEN($H14))=$H14)*Roadmap!$AD$7:$AD$36))))</f>
        <v/>
      </c>
      <c r="T14" s="9">
        <f>IF(AND(ISNUMBER($E14),ISNUMBER($S14)),IF($E14&lt;&gt;$S14,1,0),0)</f>
        <v/>
      </c>
    </row>
    <row r="15" ht="18" customHeight="1">
      <c r="A15" s="28" t="n"/>
      <c r="B15" s="28" t="n"/>
      <c r="C15" s="28" t="n"/>
      <c r="D15" s="14" t="n"/>
      <c r="E15" s="14" t="n"/>
      <c r="F15" s="27" t="n"/>
      <c r="G15" s="27" t="n"/>
      <c r="H15" s="28" t="n"/>
      <c r="I15" s="9">
        <f>IF($A15="","",IF(NOT(ISNUMBER($E15)),"No next date",IF($E15&lt;Dashboard!$B$16,"△ Overdue, was due "&amp;TEXT($E15,"d mmm yyyy"),"Next "&amp;TEXT($E15,"d mmm yyyy"))))</f>
        <v/>
      </c>
      <c r="R15" s="9">
        <f>IF($A15="",0,IF(OR($B15="",$F15="",$G15=""),1,0))</f>
        <v/>
      </c>
      <c r="S15" s="35">
        <f>IF(OR($A15="",$H15="",$H15="None"),"",IF(SUMPRODUCT(MAX((LEFT(Roadmap!$A$7:$A$36,LEN($H15))=$H15)*Roadmap!$AD$7:$AD$36))=0,"",100000-SUMPRODUCT(MAX((LEFT(Roadmap!$A$7:$A$36,LEN($H15))=$H15)*Roadmap!$AD$7:$AD$36))))</f>
        <v/>
      </c>
      <c r="T15" s="9">
        <f>IF(AND(ISNUMBER($E15),ISNUMBER($S15)),IF($E15&lt;&gt;$S15,1,0),0)</f>
        <v/>
      </c>
    </row>
    <row r="16" ht="18" customHeight="1">
      <c r="A16" s="28" t="n"/>
      <c r="B16" s="28" t="n"/>
      <c r="C16" s="28" t="n"/>
      <c r="D16" s="14" t="n"/>
      <c r="E16" s="14" t="n"/>
      <c r="F16" s="27" t="n"/>
      <c r="G16" s="27" t="n"/>
      <c r="H16" s="28" t="n"/>
      <c r="I16" s="9">
        <f>IF($A16="","",IF(NOT(ISNUMBER($E16)),"No next date",IF($E16&lt;Dashboard!$B$16,"△ Overdue, was due "&amp;TEXT($E16,"d mmm yyyy"),"Next "&amp;TEXT($E16,"d mmm yyyy"))))</f>
        <v/>
      </c>
      <c r="R16" s="9">
        <f>IF($A16="",0,IF(OR($B16="",$F16="",$G16=""),1,0))</f>
        <v/>
      </c>
      <c r="S16" s="35">
        <f>IF(OR($A16="",$H16="",$H16="None"),"",IF(SUMPRODUCT(MAX((LEFT(Roadmap!$A$7:$A$36,LEN($H16))=$H16)*Roadmap!$AD$7:$AD$36))=0,"",100000-SUMPRODUCT(MAX((LEFT(Roadmap!$A$7:$A$36,LEN($H16))=$H16)*Roadmap!$AD$7:$AD$36))))</f>
        <v/>
      </c>
      <c r="T16" s="9">
        <f>IF(AND(ISNUMBER($E16),ISNUMBER($S16)),IF($E16&lt;&gt;$S16,1,0),0)</f>
        <v/>
      </c>
    </row>
    <row r="17" ht="8" customHeight="1"/>
    <row r="18" ht="18" customHeight="1">
      <c r="A18" s="8" t="inlineStr">
        <is>
          <t>Actions and decisions</t>
        </is>
      </c>
    </row>
    <row r="19" ht="30" customHeight="1">
      <c r="A19" s="26" t="inlineStr">
        <is>
          <t>No.</t>
        </is>
      </c>
      <c r="B19" s="26" t="inlineStr">
        <is>
          <t>Kind</t>
        </is>
      </c>
      <c r="C19" s="26" t="inlineStr">
        <is>
          <t>Forum</t>
        </is>
      </c>
      <c r="D19" s="26" t="inlineStr">
        <is>
          <t>Meeting date</t>
        </is>
      </c>
      <c r="E19" s="26" t="inlineStr">
        <is>
          <t>What</t>
        </is>
      </c>
      <c r="F19" s="26" t="inlineStr">
        <is>
          <t>Owner</t>
        </is>
      </c>
      <c r="G19" s="26" t="inlineStr">
        <is>
          <t>Due</t>
        </is>
      </c>
      <c r="H19" s="26" t="inlineStr">
        <is>
          <t>Status</t>
        </is>
      </c>
      <c r="I19" s="26" t="inlineStr">
        <is>
          <t>Closed on</t>
        </is>
      </c>
      <c r="J19" s="26" t="inlineStr">
        <is>
          <t>Times moved</t>
        </is>
      </c>
      <c r="K19" s="21" t="inlineStr">
        <is>
          <t>Shown as</t>
        </is>
      </c>
      <c r="L19" s="21" t="inlineStr">
        <is>
          <t>Row check</t>
        </is>
      </c>
      <c r="M19" s="21" t="inlineStr">
        <is>
          <t>No one owner and a date (1 or 0)</t>
        </is>
      </c>
      <c r="N19" s="21" t="inlineStr">
        <is>
          <t>Overdue (1 or 0)</t>
        </is>
      </c>
      <c r="O19" s="21" t="inlineStr">
        <is>
          <t>Moved at the limit or more (1 or 0)</t>
        </is>
      </c>
      <c r="P19" s="21" t="inlineStr">
        <is>
          <t>Fails check 9 (1 or 0)</t>
        </is>
      </c>
      <c r="Q19" s="21" t="inlineStr">
        <is>
          <t>Owner's name, before the role</t>
        </is>
      </c>
    </row>
    <row r="20" ht="18" customHeight="1">
      <c r="A20" s="28" t="n"/>
      <c r="B20" s="28" t="n"/>
      <c r="C20" s="28" t="n"/>
      <c r="D20" s="14" t="n"/>
      <c r="E20" s="27" t="n"/>
      <c r="F20" s="27" t="n"/>
      <c r="G20" s="14" t="n"/>
      <c r="H20" s="28" t="n"/>
      <c r="I20" s="14" t="n"/>
      <c r="J20" s="36" t="n"/>
      <c r="K20" s="22">
        <f>IF($A20="","",IF(AND($H20="Open",ISNUMBER($G20)),IF($G20&lt;Dashboard!$B$16,"△ Overdue, was due "&amp;TEXT($G20,"d mmm yyyy"),"Open, due "&amp;TEXT($G20,"d mmm yyyy")),$H20&amp;""))</f>
        <v/>
      </c>
      <c r="L20" s="22">
        <f>IF($A20="","",IF($M20=1,"△ Needs one owner and a date",IF($N20=1,"△ Overdue, was due "&amp;TEXT($G20,"d mmm yyyy"),IF($O20=1,"△ Moved "&amp;$J20&amp;" times","○ Clear"))))</f>
        <v/>
      </c>
      <c r="M20" s="9">
        <f>IF($A20="",0,IF(OR($H20="Done",$H20="Dropped"),0,IF(OR($F20="",AND($B20="Action",NOT(ISNUMBER($G20))),LEN($F20)-LEN(SUBSTITUTE($F20,"(",""))&gt;=2,ISNUMBER(SEARCH(" and ",$Q20)),ISNUMBER(FIND("/",$Q20)),ISNUMBER(FIND("&amp;",$Q20)),ISNUMBER(FIND(",",$Q20))),1,0)))</f>
        <v/>
      </c>
      <c r="N20" s="9">
        <f>IF($A20="",0,IF(AND($H20="Open",ISNUMBER($G20)),IF($G20&lt;Dashboard!$B$16,1,0),0))</f>
        <v/>
      </c>
      <c r="O20" s="9">
        <f>IF($A20="",0,IF(AND($H20="Open",ISNUMBER($J20)),IF($J20&gt;=Dashboard!$H$9,1,0),0))</f>
        <v/>
      </c>
      <c r="P20" s="9">
        <f>IF($M20+$N20+$O20&gt;0,1,0)</f>
        <v/>
      </c>
      <c r="Q20" s="9">
        <f>LEFT($F20,IFERROR(FIND("(",$F20)-1,LEN($F20)))</f>
        <v/>
      </c>
    </row>
    <row r="21" ht="18" customHeight="1">
      <c r="A21" s="28" t="n"/>
      <c r="B21" s="28" t="n"/>
      <c r="C21" s="28" t="n"/>
      <c r="D21" s="14" t="n"/>
      <c r="E21" s="27" t="n"/>
      <c r="F21" s="27" t="n"/>
      <c r="G21" s="14" t="n"/>
      <c r="H21" s="28" t="n"/>
      <c r="I21" s="14" t="n"/>
      <c r="J21" s="36" t="n"/>
      <c r="K21" s="22">
        <f>IF($A21="","",IF(AND($H21="Open",ISNUMBER($G21)),IF($G21&lt;Dashboard!$B$16,"△ Overdue, was due "&amp;TEXT($G21,"d mmm yyyy"),"Open, due "&amp;TEXT($G21,"d mmm yyyy")),$H21&amp;""))</f>
        <v/>
      </c>
      <c r="L21" s="22">
        <f>IF($A21="","",IF($M21=1,"△ Needs one owner and a date",IF($N21=1,"△ Overdue, was due "&amp;TEXT($G21,"d mmm yyyy"),IF($O21=1,"△ Moved "&amp;$J21&amp;" times","○ Clear"))))</f>
        <v/>
      </c>
      <c r="M21" s="9">
        <f>IF($A21="",0,IF(OR($H21="Done",$H21="Dropped"),0,IF(OR($F21="",AND($B21="Action",NOT(ISNUMBER($G21))),LEN($F21)-LEN(SUBSTITUTE($F21,"(",""))&gt;=2,ISNUMBER(SEARCH(" and ",$Q21)),ISNUMBER(FIND("/",$Q21)),ISNUMBER(FIND("&amp;",$Q21)),ISNUMBER(FIND(",",$Q21))),1,0)))</f>
        <v/>
      </c>
      <c r="N21" s="9">
        <f>IF($A21="",0,IF(AND($H21="Open",ISNUMBER($G21)),IF($G21&lt;Dashboard!$B$16,1,0),0))</f>
        <v/>
      </c>
      <c r="O21" s="9">
        <f>IF($A21="",0,IF(AND($H21="Open",ISNUMBER($J21)),IF($J21&gt;=Dashboard!$H$9,1,0),0))</f>
        <v/>
      </c>
      <c r="P21" s="9">
        <f>IF($M21+$N21+$O21&gt;0,1,0)</f>
        <v/>
      </c>
      <c r="Q21" s="9">
        <f>LEFT($F21,IFERROR(FIND("(",$F21)-1,LEN($F21)))</f>
        <v/>
      </c>
    </row>
    <row r="22" ht="18" customHeight="1">
      <c r="A22" s="28" t="n"/>
      <c r="B22" s="28" t="n"/>
      <c r="C22" s="28" t="n"/>
      <c r="D22" s="14" t="n"/>
      <c r="E22" s="27" t="n"/>
      <c r="F22" s="27" t="n"/>
      <c r="G22" s="14" t="n"/>
      <c r="H22" s="28" t="n"/>
      <c r="I22" s="14" t="n"/>
      <c r="J22" s="36" t="n"/>
      <c r="K22" s="22">
        <f>IF($A22="","",IF(AND($H22="Open",ISNUMBER($G22)),IF($G22&lt;Dashboard!$B$16,"△ Overdue, was due "&amp;TEXT($G22,"d mmm yyyy"),"Open, due "&amp;TEXT($G22,"d mmm yyyy")),$H22&amp;""))</f>
        <v/>
      </c>
      <c r="L22" s="22">
        <f>IF($A22="","",IF($M22=1,"△ Needs one owner and a date",IF($N22=1,"△ Overdue, was due "&amp;TEXT($G22,"d mmm yyyy"),IF($O22=1,"△ Moved "&amp;$J22&amp;" times","○ Clear"))))</f>
        <v/>
      </c>
      <c r="M22" s="9">
        <f>IF($A22="",0,IF(OR($H22="Done",$H22="Dropped"),0,IF(OR($F22="",AND($B22="Action",NOT(ISNUMBER($G22))),LEN($F22)-LEN(SUBSTITUTE($F22,"(",""))&gt;=2,ISNUMBER(SEARCH(" and ",$Q22)),ISNUMBER(FIND("/",$Q22)),ISNUMBER(FIND("&amp;",$Q22)),ISNUMBER(FIND(",",$Q22))),1,0)))</f>
        <v/>
      </c>
      <c r="N22" s="9">
        <f>IF($A22="",0,IF(AND($H22="Open",ISNUMBER($G22)),IF($G22&lt;Dashboard!$B$16,1,0),0))</f>
        <v/>
      </c>
      <c r="O22" s="9">
        <f>IF($A22="",0,IF(AND($H22="Open",ISNUMBER($J22)),IF($J22&gt;=Dashboard!$H$9,1,0),0))</f>
        <v/>
      </c>
      <c r="P22" s="9">
        <f>IF($M22+$N22+$O22&gt;0,1,0)</f>
        <v/>
      </c>
      <c r="Q22" s="9">
        <f>LEFT($F22,IFERROR(FIND("(",$F22)-1,LEN($F22)))</f>
        <v/>
      </c>
    </row>
    <row r="23" ht="18" customHeight="1">
      <c r="A23" s="28" t="n"/>
      <c r="B23" s="28" t="n"/>
      <c r="C23" s="28" t="n"/>
      <c r="D23" s="14" t="n"/>
      <c r="E23" s="27" t="n"/>
      <c r="F23" s="27" t="n"/>
      <c r="G23" s="14" t="n"/>
      <c r="H23" s="28" t="n"/>
      <c r="I23" s="14" t="n"/>
      <c r="J23" s="36" t="n"/>
      <c r="K23" s="22">
        <f>IF($A23="","",IF(AND($H23="Open",ISNUMBER($G23)),IF($G23&lt;Dashboard!$B$16,"△ Overdue, was due "&amp;TEXT($G23,"d mmm yyyy"),"Open, due "&amp;TEXT($G23,"d mmm yyyy")),$H23&amp;""))</f>
        <v/>
      </c>
      <c r="L23" s="22">
        <f>IF($A23="","",IF($M23=1,"△ Needs one owner and a date",IF($N23=1,"△ Overdue, was due "&amp;TEXT($G23,"d mmm yyyy"),IF($O23=1,"△ Moved "&amp;$J23&amp;" times","○ Clear"))))</f>
        <v/>
      </c>
      <c r="M23" s="9">
        <f>IF($A23="",0,IF(OR($H23="Done",$H23="Dropped"),0,IF(OR($F23="",AND($B23="Action",NOT(ISNUMBER($G23))),LEN($F23)-LEN(SUBSTITUTE($F23,"(",""))&gt;=2,ISNUMBER(SEARCH(" and ",$Q23)),ISNUMBER(FIND("/",$Q23)),ISNUMBER(FIND("&amp;",$Q23)),ISNUMBER(FIND(",",$Q23))),1,0)))</f>
        <v/>
      </c>
      <c r="N23" s="9">
        <f>IF($A23="",0,IF(AND($H23="Open",ISNUMBER($G23)),IF($G23&lt;Dashboard!$B$16,1,0),0))</f>
        <v/>
      </c>
      <c r="O23" s="9">
        <f>IF($A23="",0,IF(AND($H23="Open",ISNUMBER($J23)),IF($J23&gt;=Dashboard!$H$9,1,0),0))</f>
        <v/>
      </c>
      <c r="P23" s="9">
        <f>IF($M23+$N23+$O23&gt;0,1,0)</f>
        <v/>
      </c>
      <c r="Q23" s="9">
        <f>LEFT($F23,IFERROR(FIND("(",$F23)-1,LEN($F23)))</f>
        <v/>
      </c>
    </row>
    <row r="24" ht="18" customHeight="1">
      <c r="A24" s="28" t="n"/>
      <c r="B24" s="28" t="n"/>
      <c r="C24" s="28" t="n"/>
      <c r="D24" s="14" t="n"/>
      <c r="E24" s="27" t="n"/>
      <c r="F24" s="27" t="n"/>
      <c r="G24" s="14" t="n"/>
      <c r="H24" s="28" t="n"/>
      <c r="I24" s="14" t="n"/>
      <c r="J24" s="36" t="n"/>
      <c r="K24" s="22">
        <f>IF($A24="","",IF(AND($H24="Open",ISNUMBER($G24)),IF($G24&lt;Dashboard!$B$16,"△ Overdue, was due "&amp;TEXT($G24,"d mmm yyyy"),"Open, due "&amp;TEXT($G24,"d mmm yyyy")),$H24&amp;""))</f>
        <v/>
      </c>
      <c r="L24" s="22">
        <f>IF($A24="","",IF($M24=1,"△ Needs one owner and a date",IF($N24=1,"△ Overdue, was due "&amp;TEXT($G24,"d mmm yyyy"),IF($O24=1,"△ Moved "&amp;$J24&amp;" times","○ Clear"))))</f>
        <v/>
      </c>
      <c r="M24" s="9">
        <f>IF($A24="",0,IF(OR($H24="Done",$H24="Dropped"),0,IF(OR($F24="",AND($B24="Action",NOT(ISNUMBER($G24))),LEN($F24)-LEN(SUBSTITUTE($F24,"(",""))&gt;=2,ISNUMBER(SEARCH(" and ",$Q24)),ISNUMBER(FIND("/",$Q24)),ISNUMBER(FIND("&amp;",$Q24)),ISNUMBER(FIND(",",$Q24))),1,0)))</f>
        <v/>
      </c>
      <c r="N24" s="9">
        <f>IF($A24="",0,IF(AND($H24="Open",ISNUMBER($G24)),IF($G24&lt;Dashboard!$B$16,1,0),0))</f>
        <v/>
      </c>
      <c r="O24" s="9">
        <f>IF($A24="",0,IF(AND($H24="Open",ISNUMBER($J24)),IF($J24&gt;=Dashboard!$H$9,1,0),0))</f>
        <v/>
      </c>
      <c r="P24" s="9">
        <f>IF($M24+$N24+$O24&gt;0,1,0)</f>
        <v/>
      </c>
      <c r="Q24" s="9">
        <f>LEFT($F24,IFERROR(FIND("(",$F24)-1,LEN($F24)))</f>
        <v/>
      </c>
    </row>
    <row r="25" ht="18" customHeight="1">
      <c r="A25" s="28" t="n"/>
      <c r="B25" s="28" t="n"/>
      <c r="C25" s="28" t="n"/>
      <c r="D25" s="14" t="n"/>
      <c r="E25" s="27" t="n"/>
      <c r="F25" s="27" t="n"/>
      <c r="G25" s="14" t="n"/>
      <c r="H25" s="28" t="n"/>
      <c r="I25" s="14" t="n"/>
      <c r="J25" s="36" t="n"/>
      <c r="K25" s="22">
        <f>IF($A25="","",IF(AND($H25="Open",ISNUMBER($G25)),IF($G25&lt;Dashboard!$B$16,"△ Overdue, was due "&amp;TEXT($G25,"d mmm yyyy"),"Open, due "&amp;TEXT($G25,"d mmm yyyy")),$H25&amp;""))</f>
        <v/>
      </c>
      <c r="L25" s="22">
        <f>IF($A25="","",IF($M25=1,"△ Needs one owner and a date",IF($N25=1,"△ Overdue, was due "&amp;TEXT($G25,"d mmm yyyy"),IF($O25=1,"△ Moved "&amp;$J25&amp;" times","○ Clear"))))</f>
        <v/>
      </c>
      <c r="M25" s="9">
        <f>IF($A25="",0,IF(OR($H25="Done",$H25="Dropped"),0,IF(OR($F25="",AND($B25="Action",NOT(ISNUMBER($G25))),LEN($F25)-LEN(SUBSTITUTE($F25,"(",""))&gt;=2,ISNUMBER(SEARCH(" and ",$Q25)),ISNUMBER(FIND("/",$Q25)),ISNUMBER(FIND("&amp;",$Q25)),ISNUMBER(FIND(",",$Q25))),1,0)))</f>
        <v/>
      </c>
      <c r="N25" s="9">
        <f>IF($A25="",0,IF(AND($H25="Open",ISNUMBER($G25)),IF($G25&lt;Dashboard!$B$16,1,0),0))</f>
        <v/>
      </c>
      <c r="O25" s="9">
        <f>IF($A25="",0,IF(AND($H25="Open",ISNUMBER($J25)),IF($J25&gt;=Dashboard!$H$9,1,0),0))</f>
        <v/>
      </c>
      <c r="P25" s="9">
        <f>IF($M25+$N25+$O25&gt;0,1,0)</f>
        <v/>
      </c>
      <c r="Q25" s="9">
        <f>LEFT($F25,IFERROR(FIND("(",$F25)-1,LEN($F25)))</f>
        <v/>
      </c>
    </row>
    <row r="26" ht="18" customHeight="1">
      <c r="A26" s="28" t="n"/>
      <c r="B26" s="28" t="n"/>
      <c r="C26" s="28" t="n"/>
      <c r="D26" s="14" t="n"/>
      <c r="E26" s="27" t="n"/>
      <c r="F26" s="27" t="n"/>
      <c r="G26" s="14" t="n"/>
      <c r="H26" s="28" t="n"/>
      <c r="I26" s="14" t="n"/>
      <c r="J26" s="36" t="n"/>
      <c r="K26" s="22">
        <f>IF($A26="","",IF(AND($H26="Open",ISNUMBER($G26)),IF($G26&lt;Dashboard!$B$16,"△ Overdue, was due "&amp;TEXT($G26,"d mmm yyyy"),"Open, due "&amp;TEXT($G26,"d mmm yyyy")),$H26&amp;""))</f>
        <v/>
      </c>
      <c r="L26" s="22">
        <f>IF($A26="","",IF($M26=1,"△ Needs one owner and a date",IF($N26=1,"△ Overdue, was due "&amp;TEXT($G26,"d mmm yyyy"),IF($O26=1,"△ Moved "&amp;$J26&amp;" times","○ Clear"))))</f>
        <v/>
      </c>
      <c r="M26" s="9">
        <f>IF($A26="",0,IF(OR($H26="Done",$H26="Dropped"),0,IF(OR($F26="",AND($B26="Action",NOT(ISNUMBER($G26))),LEN($F26)-LEN(SUBSTITUTE($F26,"(",""))&gt;=2,ISNUMBER(SEARCH(" and ",$Q26)),ISNUMBER(FIND("/",$Q26)),ISNUMBER(FIND("&amp;",$Q26)),ISNUMBER(FIND(",",$Q26))),1,0)))</f>
        <v/>
      </c>
      <c r="N26" s="9">
        <f>IF($A26="",0,IF(AND($H26="Open",ISNUMBER($G26)),IF($G26&lt;Dashboard!$B$16,1,0),0))</f>
        <v/>
      </c>
      <c r="O26" s="9">
        <f>IF($A26="",0,IF(AND($H26="Open",ISNUMBER($J26)),IF($J26&gt;=Dashboard!$H$9,1,0),0))</f>
        <v/>
      </c>
      <c r="P26" s="9">
        <f>IF($M26+$N26+$O26&gt;0,1,0)</f>
        <v/>
      </c>
      <c r="Q26" s="9">
        <f>LEFT($F26,IFERROR(FIND("(",$F26)-1,LEN($F26)))</f>
        <v/>
      </c>
    </row>
    <row r="27" ht="18" customHeight="1">
      <c r="A27" s="28" t="n"/>
      <c r="B27" s="28" t="n"/>
      <c r="C27" s="28" t="n"/>
      <c r="D27" s="14" t="n"/>
      <c r="E27" s="27" t="n"/>
      <c r="F27" s="27" t="n"/>
      <c r="G27" s="14" t="n"/>
      <c r="H27" s="28" t="n"/>
      <c r="I27" s="14" t="n"/>
      <c r="J27" s="36" t="n"/>
      <c r="K27" s="22">
        <f>IF($A27="","",IF(AND($H27="Open",ISNUMBER($G27)),IF($G27&lt;Dashboard!$B$16,"△ Overdue, was due "&amp;TEXT($G27,"d mmm yyyy"),"Open, due "&amp;TEXT($G27,"d mmm yyyy")),$H27&amp;""))</f>
        <v/>
      </c>
      <c r="L27" s="22">
        <f>IF($A27="","",IF($M27=1,"△ Needs one owner and a date",IF($N27=1,"△ Overdue, was due "&amp;TEXT($G27,"d mmm yyyy"),IF($O27=1,"△ Moved "&amp;$J27&amp;" times","○ Clear"))))</f>
        <v/>
      </c>
      <c r="M27" s="9">
        <f>IF($A27="",0,IF(OR($H27="Done",$H27="Dropped"),0,IF(OR($F27="",AND($B27="Action",NOT(ISNUMBER($G27))),LEN($F27)-LEN(SUBSTITUTE($F27,"(",""))&gt;=2,ISNUMBER(SEARCH(" and ",$Q27)),ISNUMBER(FIND("/",$Q27)),ISNUMBER(FIND("&amp;",$Q27)),ISNUMBER(FIND(",",$Q27))),1,0)))</f>
        <v/>
      </c>
      <c r="N27" s="9">
        <f>IF($A27="",0,IF(AND($H27="Open",ISNUMBER($G27)),IF($G27&lt;Dashboard!$B$16,1,0),0))</f>
        <v/>
      </c>
      <c r="O27" s="9">
        <f>IF($A27="",0,IF(AND($H27="Open",ISNUMBER($J27)),IF($J27&gt;=Dashboard!$H$9,1,0),0))</f>
        <v/>
      </c>
      <c r="P27" s="9">
        <f>IF($M27+$N27+$O27&gt;0,1,0)</f>
        <v/>
      </c>
      <c r="Q27" s="9">
        <f>LEFT($F27,IFERROR(FIND("(",$F27)-1,LEN($F27)))</f>
        <v/>
      </c>
    </row>
    <row r="28" ht="18" customHeight="1">
      <c r="A28" s="28" t="n"/>
      <c r="B28" s="28" t="n"/>
      <c r="C28" s="28" t="n"/>
      <c r="D28" s="14" t="n"/>
      <c r="E28" s="27" t="n"/>
      <c r="F28" s="27" t="n"/>
      <c r="G28" s="14" t="n"/>
      <c r="H28" s="28" t="n"/>
      <c r="I28" s="14" t="n"/>
      <c r="J28" s="36" t="n"/>
      <c r="K28" s="22">
        <f>IF($A28="","",IF(AND($H28="Open",ISNUMBER($G28)),IF($G28&lt;Dashboard!$B$16,"△ Overdue, was due "&amp;TEXT($G28,"d mmm yyyy"),"Open, due "&amp;TEXT($G28,"d mmm yyyy")),$H28&amp;""))</f>
        <v/>
      </c>
      <c r="L28" s="22">
        <f>IF($A28="","",IF($M28=1,"△ Needs one owner and a date",IF($N28=1,"△ Overdue, was due "&amp;TEXT($G28,"d mmm yyyy"),IF($O28=1,"△ Moved "&amp;$J28&amp;" times","○ Clear"))))</f>
        <v/>
      </c>
      <c r="M28" s="9">
        <f>IF($A28="",0,IF(OR($H28="Done",$H28="Dropped"),0,IF(OR($F28="",AND($B28="Action",NOT(ISNUMBER($G28))),LEN($F28)-LEN(SUBSTITUTE($F28,"(",""))&gt;=2,ISNUMBER(SEARCH(" and ",$Q28)),ISNUMBER(FIND("/",$Q28)),ISNUMBER(FIND("&amp;",$Q28)),ISNUMBER(FIND(",",$Q28))),1,0)))</f>
        <v/>
      </c>
      <c r="N28" s="9">
        <f>IF($A28="",0,IF(AND($H28="Open",ISNUMBER($G28)),IF($G28&lt;Dashboard!$B$16,1,0),0))</f>
        <v/>
      </c>
      <c r="O28" s="9">
        <f>IF($A28="",0,IF(AND($H28="Open",ISNUMBER($J28)),IF($J28&gt;=Dashboard!$H$9,1,0),0))</f>
        <v/>
      </c>
      <c r="P28" s="9">
        <f>IF($M28+$N28+$O28&gt;0,1,0)</f>
        <v/>
      </c>
      <c r="Q28" s="9">
        <f>LEFT($F28,IFERROR(FIND("(",$F28)-1,LEN($F28)))</f>
        <v/>
      </c>
    </row>
    <row r="29" ht="18" customHeight="1">
      <c r="A29" s="28" t="n"/>
      <c r="B29" s="28" t="n"/>
      <c r="C29" s="28" t="n"/>
      <c r="D29" s="14" t="n"/>
      <c r="E29" s="27" t="n"/>
      <c r="F29" s="27" t="n"/>
      <c r="G29" s="14" t="n"/>
      <c r="H29" s="28" t="n"/>
      <c r="I29" s="14" t="n"/>
      <c r="J29" s="36" t="n"/>
      <c r="K29" s="22">
        <f>IF($A29="","",IF(AND($H29="Open",ISNUMBER($G29)),IF($G29&lt;Dashboard!$B$16,"△ Overdue, was due "&amp;TEXT($G29,"d mmm yyyy"),"Open, due "&amp;TEXT($G29,"d mmm yyyy")),$H29&amp;""))</f>
        <v/>
      </c>
      <c r="L29" s="22">
        <f>IF($A29="","",IF($M29=1,"△ Needs one owner and a date",IF($N29=1,"△ Overdue, was due "&amp;TEXT($G29,"d mmm yyyy"),IF($O29=1,"△ Moved "&amp;$J29&amp;" times","○ Clear"))))</f>
        <v/>
      </c>
      <c r="M29" s="9">
        <f>IF($A29="",0,IF(OR($H29="Done",$H29="Dropped"),0,IF(OR($F29="",AND($B29="Action",NOT(ISNUMBER($G29))),LEN($F29)-LEN(SUBSTITUTE($F29,"(",""))&gt;=2,ISNUMBER(SEARCH(" and ",$Q29)),ISNUMBER(FIND("/",$Q29)),ISNUMBER(FIND("&amp;",$Q29)),ISNUMBER(FIND(",",$Q29))),1,0)))</f>
        <v/>
      </c>
      <c r="N29" s="9">
        <f>IF($A29="",0,IF(AND($H29="Open",ISNUMBER($G29)),IF($G29&lt;Dashboard!$B$16,1,0),0))</f>
        <v/>
      </c>
      <c r="O29" s="9">
        <f>IF($A29="",0,IF(AND($H29="Open",ISNUMBER($J29)),IF($J29&gt;=Dashboard!$H$9,1,0),0))</f>
        <v/>
      </c>
      <c r="P29" s="9">
        <f>IF($M29+$N29+$O29&gt;0,1,0)</f>
        <v/>
      </c>
      <c r="Q29" s="9">
        <f>LEFT($F29,IFERROR(FIND("(",$F29)-1,LEN($F29)))</f>
        <v/>
      </c>
    </row>
    <row r="30" ht="18" customHeight="1">
      <c r="A30" s="28" t="n"/>
      <c r="B30" s="28" t="n"/>
      <c r="C30" s="28" t="n"/>
      <c r="D30" s="14" t="n"/>
      <c r="E30" s="27" t="n"/>
      <c r="F30" s="27" t="n"/>
      <c r="G30" s="14" t="n"/>
      <c r="H30" s="28" t="n"/>
      <c r="I30" s="14" t="n"/>
      <c r="J30" s="36" t="n"/>
      <c r="K30" s="22">
        <f>IF($A30="","",IF(AND($H30="Open",ISNUMBER($G30)),IF($G30&lt;Dashboard!$B$16,"△ Overdue, was due "&amp;TEXT($G30,"d mmm yyyy"),"Open, due "&amp;TEXT($G30,"d mmm yyyy")),$H30&amp;""))</f>
        <v/>
      </c>
      <c r="L30" s="22">
        <f>IF($A30="","",IF($M30=1,"△ Needs one owner and a date",IF($N30=1,"△ Overdue, was due "&amp;TEXT($G30,"d mmm yyyy"),IF($O30=1,"△ Moved "&amp;$J30&amp;" times","○ Clear"))))</f>
        <v/>
      </c>
      <c r="M30" s="9">
        <f>IF($A30="",0,IF(OR($H30="Done",$H30="Dropped"),0,IF(OR($F30="",AND($B30="Action",NOT(ISNUMBER($G30))),LEN($F30)-LEN(SUBSTITUTE($F30,"(",""))&gt;=2,ISNUMBER(SEARCH(" and ",$Q30)),ISNUMBER(FIND("/",$Q30)),ISNUMBER(FIND("&amp;",$Q30)),ISNUMBER(FIND(",",$Q30))),1,0)))</f>
        <v/>
      </c>
      <c r="N30" s="9">
        <f>IF($A30="",0,IF(AND($H30="Open",ISNUMBER($G30)),IF($G30&lt;Dashboard!$B$16,1,0),0))</f>
        <v/>
      </c>
      <c r="O30" s="9">
        <f>IF($A30="",0,IF(AND($H30="Open",ISNUMBER($J30)),IF($J30&gt;=Dashboard!$H$9,1,0),0))</f>
        <v/>
      </c>
      <c r="P30" s="9">
        <f>IF($M30+$N30+$O30&gt;0,1,0)</f>
        <v/>
      </c>
      <c r="Q30" s="9">
        <f>LEFT($F30,IFERROR(FIND("(",$F30)-1,LEN($F30)))</f>
        <v/>
      </c>
    </row>
    <row r="31" ht="18" customHeight="1">
      <c r="A31" s="28" t="n"/>
      <c r="B31" s="28" t="n"/>
      <c r="C31" s="28" t="n"/>
      <c r="D31" s="14" t="n"/>
      <c r="E31" s="27" t="n"/>
      <c r="F31" s="27" t="n"/>
      <c r="G31" s="14" t="n"/>
      <c r="H31" s="28" t="n"/>
      <c r="I31" s="14" t="n"/>
      <c r="J31" s="36" t="n"/>
      <c r="K31" s="22">
        <f>IF($A31="","",IF(AND($H31="Open",ISNUMBER($G31)),IF($G31&lt;Dashboard!$B$16,"△ Overdue, was due "&amp;TEXT($G31,"d mmm yyyy"),"Open, due "&amp;TEXT($G31,"d mmm yyyy")),$H31&amp;""))</f>
        <v/>
      </c>
      <c r="L31" s="22">
        <f>IF($A31="","",IF($M31=1,"△ Needs one owner and a date",IF($N31=1,"△ Overdue, was due "&amp;TEXT($G31,"d mmm yyyy"),IF($O31=1,"△ Moved "&amp;$J31&amp;" times","○ Clear"))))</f>
        <v/>
      </c>
      <c r="M31" s="9">
        <f>IF($A31="",0,IF(OR($H31="Done",$H31="Dropped"),0,IF(OR($F31="",AND($B31="Action",NOT(ISNUMBER($G31))),LEN($F31)-LEN(SUBSTITUTE($F31,"(",""))&gt;=2,ISNUMBER(SEARCH(" and ",$Q31)),ISNUMBER(FIND("/",$Q31)),ISNUMBER(FIND("&amp;",$Q31)),ISNUMBER(FIND(",",$Q31))),1,0)))</f>
        <v/>
      </c>
      <c r="N31" s="9">
        <f>IF($A31="",0,IF(AND($H31="Open",ISNUMBER($G31)),IF($G31&lt;Dashboard!$B$16,1,0),0))</f>
        <v/>
      </c>
      <c r="O31" s="9">
        <f>IF($A31="",0,IF(AND($H31="Open",ISNUMBER($J31)),IF($J31&gt;=Dashboard!$H$9,1,0),0))</f>
        <v/>
      </c>
      <c r="P31" s="9">
        <f>IF($M31+$N31+$O31&gt;0,1,0)</f>
        <v/>
      </c>
      <c r="Q31" s="9">
        <f>LEFT($F31,IFERROR(FIND("(",$F31)-1,LEN($F31)))</f>
        <v/>
      </c>
    </row>
    <row r="32" ht="18" customHeight="1">
      <c r="A32" s="28" t="n"/>
      <c r="B32" s="28" t="n"/>
      <c r="C32" s="28" t="n"/>
      <c r="D32" s="14" t="n"/>
      <c r="E32" s="27" t="n"/>
      <c r="F32" s="27" t="n"/>
      <c r="G32" s="14" t="n"/>
      <c r="H32" s="28" t="n"/>
      <c r="I32" s="14" t="n"/>
      <c r="J32" s="36" t="n"/>
      <c r="K32" s="22">
        <f>IF($A32="","",IF(AND($H32="Open",ISNUMBER($G32)),IF($G32&lt;Dashboard!$B$16,"△ Overdue, was due "&amp;TEXT($G32,"d mmm yyyy"),"Open, due "&amp;TEXT($G32,"d mmm yyyy")),$H32&amp;""))</f>
        <v/>
      </c>
      <c r="L32" s="22">
        <f>IF($A32="","",IF($M32=1,"△ Needs one owner and a date",IF($N32=1,"△ Overdue, was due "&amp;TEXT($G32,"d mmm yyyy"),IF($O32=1,"△ Moved "&amp;$J32&amp;" times","○ Clear"))))</f>
        <v/>
      </c>
      <c r="M32" s="9">
        <f>IF($A32="",0,IF(OR($H32="Done",$H32="Dropped"),0,IF(OR($F32="",AND($B32="Action",NOT(ISNUMBER($G32))),LEN($F32)-LEN(SUBSTITUTE($F32,"(",""))&gt;=2,ISNUMBER(SEARCH(" and ",$Q32)),ISNUMBER(FIND("/",$Q32)),ISNUMBER(FIND("&amp;",$Q32)),ISNUMBER(FIND(",",$Q32))),1,0)))</f>
        <v/>
      </c>
      <c r="N32" s="9">
        <f>IF($A32="",0,IF(AND($H32="Open",ISNUMBER($G32)),IF($G32&lt;Dashboard!$B$16,1,0),0))</f>
        <v/>
      </c>
      <c r="O32" s="9">
        <f>IF($A32="",0,IF(AND($H32="Open",ISNUMBER($J32)),IF($J32&gt;=Dashboard!$H$9,1,0),0))</f>
        <v/>
      </c>
      <c r="P32" s="9">
        <f>IF($M32+$N32+$O32&gt;0,1,0)</f>
        <v/>
      </c>
      <c r="Q32" s="9">
        <f>LEFT($F32,IFERROR(FIND("(",$F32)-1,LEN($F32)))</f>
        <v/>
      </c>
    </row>
    <row r="33" ht="18" customHeight="1">
      <c r="A33" s="28" t="n"/>
      <c r="B33" s="28" t="n"/>
      <c r="C33" s="28" t="n"/>
      <c r="D33" s="14" t="n"/>
      <c r="E33" s="27" t="n"/>
      <c r="F33" s="27" t="n"/>
      <c r="G33" s="14" t="n"/>
      <c r="H33" s="28" t="n"/>
      <c r="I33" s="14" t="n"/>
      <c r="J33" s="36" t="n"/>
      <c r="K33" s="22">
        <f>IF($A33="","",IF(AND($H33="Open",ISNUMBER($G33)),IF($G33&lt;Dashboard!$B$16,"△ Overdue, was due "&amp;TEXT($G33,"d mmm yyyy"),"Open, due "&amp;TEXT($G33,"d mmm yyyy")),$H33&amp;""))</f>
        <v/>
      </c>
      <c r="L33" s="22">
        <f>IF($A33="","",IF($M33=1,"△ Needs one owner and a date",IF($N33=1,"△ Overdue, was due "&amp;TEXT($G33,"d mmm yyyy"),IF($O33=1,"△ Moved "&amp;$J33&amp;" times","○ Clear"))))</f>
        <v/>
      </c>
      <c r="M33" s="9">
        <f>IF($A33="",0,IF(OR($H33="Done",$H33="Dropped"),0,IF(OR($F33="",AND($B33="Action",NOT(ISNUMBER($G33))),LEN($F33)-LEN(SUBSTITUTE($F33,"(",""))&gt;=2,ISNUMBER(SEARCH(" and ",$Q33)),ISNUMBER(FIND("/",$Q33)),ISNUMBER(FIND("&amp;",$Q33)),ISNUMBER(FIND(",",$Q33))),1,0)))</f>
        <v/>
      </c>
      <c r="N33" s="9">
        <f>IF($A33="",0,IF(AND($H33="Open",ISNUMBER($G33)),IF($G33&lt;Dashboard!$B$16,1,0),0))</f>
        <v/>
      </c>
      <c r="O33" s="9">
        <f>IF($A33="",0,IF(AND($H33="Open",ISNUMBER($J33)),IF($J33&gt;=Dashboard!$H$9,1,0),0))</f>
        <v/>
      </c>
      <c r="P33" s="9">
        <f>IF($M33+$N33+$O33&gt;0,1,0)</f>
        <v/>
      </c>
      <c r="Q33" s="9">
        <f>LEFT($F33,IFERROR(FIND("(",$F33)-1,LEN($F33)))</f>
        <v/>
      </c>
    </row>
    <row r="34" ht="18" customHeight="1">
      <c r="A34" s="28" t="n"/>
      <c r="B34" s="28" t="n"/>
      <c r="C34" s="28" t="n"/>
      <c r="D34" s="14" t="n"/>
      <c r="E34" s="27" t="n"/>
      <c r="F34" s="27" t="n"/>
      <c r="G34" s="14" t="n"/>
      <c r="H34" s="28" t="n"/>
      <c r="I34" s="14" t="n"/>
      <c r="J34" s="36" t="n"/>
      <c r="K34" s="22">
        <f>IF($A34="","",IF(AND($H34="Open",ISNUMBER($G34)),IF($G34&lt;Dashboard!$B$16,"△ Overdue, was due "&amp;TEXT($G34,"d mmm yyyy"),"Open, due "&amp;TEXT($G34,"d mmm yyyy")),$H34&amp;""))</f>
        <v/>
      </c>
      <c r="L34" s="22">
        <f>IF($A34="","",IF($M34=1,"△ Needs one owner and a date",IF($N34=1,"△ Overdue, was due "&amp;TEXT($G34,"d mmm yyyy"),IF($O34=1,"△ Moved "&amp;$J34&amp;" times","○ Clear"))))</f>
        <v/>
      </c>
      <c r="M34" s="9">
        <f>IF($A34="",0,IF(OR($H34="Done",$H34="Dropped"),0,IF(OR($F34="",AND($B34="Action",NOT(ISNUMBER($G34))),LEN($F34)-LEN(SUBSTITUTE($F34,"(",""))&gt;=2,ISNUMBER(SEARCH(" and ",$Q34)),ISNUMBER(FIND("/",$Q34)),ISNUMBER(FIND("&amp;",$Q34)),ISNUMBER(FIND(",",$Q34))),1,0)))</f>
        <v/>
      </c>
      <c r="N34" s="9">
        <f>IF($A34="",0,IF(AND($H34="Open",ISNUMBER($G34)),IF($G34&lt;Dashboard!$B$16,1,0),0))</f>
        <v/>
      </c>
      <c r="O34" s="9">
        <f>IF($A34="",0,IF(AND($H34="Open",ISNUMBER($J34)),IF($J34&gt;=Dashboard!$H$9,1,0),0))</f>
        <v/>
      </c>
      <c r="P34" s="9">
        <f>IF($M34+$N34+$O34&gt;0,1,0)</f>
        <v/>
      </c>
      <c r="Q34" s="9">
        <f>LEFT($F34,IFERROR(FIND("(",$F34)-1,LEN($F34)))</f>
        <v/>
      </c>
    </row>
    <row r="35" ht="18" customHeight="1">
      <c r="A35" s="28" t="n"/>
      <c r="B35" s="28" t="n"/>
      <c r="C35" s="28" t="n"/>
      <c r="D35" s="14" t="n"/>
      <c r="E35" s="27" t="n"/>
      <c r="F35" s="27" t="n"/>
      <c r="G35" s="14" t="n"/>
      <c r="H35" s="28" t="n"/>
      <c r="I35" s="14" t="n"/>
      <c r="J35" s="36" t="n"/>
      <c r="K35" s="22">
        <f>IF($A35="","",IF(AND($H35="Open",ISNUMBER($G35)),IF($G35&lt;Dashboard!$B$16,"△ Overdue, was due "&amp;TEXT($G35,"d mmm yyyy"),"Open, due "&amp;TEXT($G35,"d mmm yyyy")),$H35&amp;""))</f>
        <v/>
      </c>
      <c r="L35" s="22">
        <f>IF($A35="","",IF($M35=1,"△ Needs one owner and a date",IF($N35=1,"△ Overdue, was due "&amp;TEXT($G35,"d mmm yyyy"),IF($O35=1,"△ Moved "&amp;$J35&amp;" times","○ Clear"))))</f>
        <v/>
      </c>
      <c r="M35" s="9">
        <f>IF($A35="",0,IF(OR($H35="Done",$H35="Dropped"),0,IF(OR($F35="",AND($B35="Action",NOT(ISNUMBER($G35))),LEN($F35)-LEN(SUBSTITUTE($F35,"(",""))&gt;=2,ISNUMBER(SEARCH(" and ",$Q35)),ISNUMBER(FIND("/",$Q35)),ISNUMBER(FIND("&amp;",$Q35)),ISNUMBER(FIND(",",$Q35))),1,0)))</f>
        <v/>
      </c>
      <c r="N35" s="9">
        <f>IF($A35="",0,IF(AND($H35="Open",ISNUMBER($G35)),IF($G35&lt;Dashboard!$B$16,1,0),0))</f>
        <v/>
      </c>
      <c r="O35" s="9">
        <f>IF($A35="",0,IF(AND($H35="Open",ISNUMBER($J35)),IF($J35&gt;=Dashboard!$H$9,1,0),0))</f>
        <v/>
      </c>
      <c r="P35" s="9">
        <f>IF($M35+$N35+$O35&gt;0,1,0)</f>
        <v/>
      </c>
      <c r="Q35" s="9">
        <f>LEFT($F35,IFERROR(FIND("(",$F35)-1,LEN($F35)))</f>
        <v/>
      </c>
    </row>
    <row r="36" ht="18" customHeight="1">
      <c r="A36" s="28" t="n"/>
      <c r="B36" s="28" t="n"/>
      <c r="C36" s="28" t="n"/>
      <c r="D36" s="14" t="n"/>
      <c r="E36" s="27" t="n"/>
      <c r="F36" s="27" t="n"/>
      <c r="G36" s="14" t="n"/>
      <c r="H36" s="28" t="n"/>
      <c r="I36" s="14" t="n"/>
      <c r="J36" s="36" t="n"/>
      <c r="K36" s="22">
        <f>IF($A36="","",IF(AND($H36="Open",ISNUMBER($G36)),IF($G36&lt;Dashboard!$B$16,"△ Overdue, was due "&amp;TEXT($G36,"d mmm yyyy"),"Open, due "&amp;TEXT($G36,"d mmm yyyy")),$H36&amp;""))</f>
        <v/>
      </c>
      <c r="L36" s="22">
        <f>IF($A36="","",IF($M36=1,"△ Needs one owner and a date",IF($N36=1,"△ Overdue, was due "&amp;TEXT($G36,"d mmm yyyy"),IF($O36=1,"△ Moved "&amp;$J36&amp;" times","○ Clear"))))</f>
        <v/>
      </c>
      <c r="M36" s="9">
        <f>IF($A36="",0,IF(OR($H36="Done",$H36="Dropped"),0,IF(OR($F36="",AND($B36="Action",NOT(ISNUMBER($G36))),LEN($F36)-LEN(SUBSTITUTE($F36,"(",""))&gt;=2,ISNUMBER(SEARCH(" and ",$Q36)),ISNUMBER(FIND("/",$Q36)),ISNUMBER(FIND("&amp;",$Q36)),ISNUMBER(FIND(",",$Q36))),1,0)))</f>
        <v/>
      </c>
      <c r="N36" s="9">
        <f>IF($A36="",0,IF(AND($H36="Open",ISNUMBER($G36)),IF($G36&lt;Dashboard!$B$16,1,0),0))</f>
        <v/>
      </c>
      <c r="O36" s="9">
        <f>IF($A36="",0,IF(AND($H36="Open",ISNUMBER($J36)),IF($J36&gt;=Dashboard!$H$9,1,0),0))</f>
        <v/>
      </c>
      <c r="P36" s="9">
        <f>IF($M36+$N36+$O36&gt;0,1,0)</f>
        <v/>
      </c>
      <c r="Q36" s="9">
        <f>LEFT($F36,IFERROR(FIND("(",$F36)-1,LEN($F36)))</f>
        <v/>
      </c>
    </row>
    <row r="37" ht="18" customHeight="1">
      <c r="A37" s="28" t="n"/>
      <c r="B37" s="28" t="n"/>
      <c r="C37" s="28" t="n"/>
      <c r="D37" s="14" t="n"/>
      <c r="E37" s="27" t="n"/>
      <c r="F37" s="27" t="n"/>
      <c r="G37" s="14" t="n"/>
      <c r="H37" s="28" t="n"/>
      <c r="I37" s="14" t="n"/>
      <c r="J37" s="36" t="n"/>
      <c r="K37" s="22">
        <f>IF($A37="","",IF(AND($H37="Open",ISNUMBER($G37)),IF($G37&lt;Dashboard!$B$16,"△ Overdue, was due "&amp;TEXT($G37,"d mmm yyyy"),"Open, due "&amp;TEXT($G37,"d mmm yyyy")),$H37&amp;""))</f>
        <v/>
      </c>
      <c r="L37" s="22">
        <f>IF($A37="","",IF($M37=1,"△ Needs one owner and a date",IF($N37=1,"△ Overdue, was due "&amp;TEXT($G37,"d mmm yyyy"),IF($O37=1,"△ Moved "&amp;$J37&amp;" times","○ Clear"))))</f>
        <v/>
      </c>
      <c r="M37" s="9">
        <f>IF($A37="",0,IF(OR($H37="Done",$H37="Dropped"),0,IF(OR($F37="",AND($B37="Action",NOT(ISNUMBER($G37))),LEN($F37)-LEN(SUBSTITUTE($F37,"(",""))&gt;=2,ISNUMBER(SEARCH(" and ",$Q37)),ISNUMBER(FIND("/",$Q37)),ISNUMBER(FIND("&amp;",$Q37)),ISNUMBER(FIND(",",$Q37))),1,0)))</f>
        <v/>
      </c>
      <c r="N37" s="9">
        <f>IF($A37="",0,IF(AND($H37="Open",ISNUMBER($G37)),IF($G37&lt;Dashboard!$B$16,1,0),0))</f>
        <v/>
      </c>
      <c r="O37" s="9">
        <f>IF($A37="",0,IF(AND($H37="Open",ISNUMBER($J37)),IF($J37&gt;=Dashboard!$H$9,1,0),0))</f>
        <v/>
      </c>
      <c r="P37" s="9">
        <f>IF($M37+$N37+$O37&gt;0,1,0)</f>
        <v/>
      </c>
      <c r="Q37" s="9">
        <f>LEFT($F37,IFERROR(FIND("(",$F37)-1,LEN($F37)))</f>
        <v/>
      </c>
    </row>
    <row r="38" ht="18" customHeight="1">
      <c r="A38" s="28" t="n"/>
      <c r="B38" s="28" t="n"/>
      <c r="C38" s="28" t="n"/>
      <c r="D38" s="14" t="n"/>
      <c r="E38" s="27" t="n"/>
      <c r="F38" s="27" t="n"/>
      <c r="G38" s="14" t="n"/>
      <c r="H38" s="28" t="n"/>
      <c r="I38" s="14" t="n"/>
      <c r="J38" s="36" t="n"/>
      <c r="K38" s="22">
        <f>IF($A38="","",IF(AND($H38="Open",ISNUMBER($G38)),IF($G38&lt;Dashboard!$B$16,"△ Overdue, was due "&amp;TEXT($G38,"d mmm yyyy"),"Open, due "&amp;TEXT($G38,"d mmm yyyy")),$H38&amp;""))</f>
        <v/>
      </c>
      <c r="L38" s="22">
        <f>IF($A38="","",IF($M38=1,"△ Needs one owner and a date",IF($N38=1,"△ Overdue, was due "&amp;TEXT($G38,"d mmm yyyy"),IF($O38=1,"△ Moved "&amp;$J38&amp;" times","○ Clear"))))</f>
        <v/>
      </c>
      <c r="M38" s="9">
        <f>IF($A38="",0,IF(OR($H38="Done",$H38="Dropped"),0,IF(OR($F38="",AND($B38="Action",NOT(ISNUMBER($G38))),LEN($F38)-LEN(SUBSTITUTE($F38,"(",""))&gt;=2,ISNUMBER(SEARCH(" and ",$Q38)),ISNUMBER(FIND("/",$Q38)),ISNUMBER(FIND("&amp;",$Q38)),ISNUMBER(FIND(",",$Q38))),1,0)))</f>
        <v/>
      </c>
      <c r="N38" s="9">
        <f>IF($A38="",0,IF(AND($H38="Open",ISNUMBER($G38)),IF($G38&lt;Dashboard!$B$16,1,0),0))</f>
        <v/>
      </c>
      <c r="O38" s="9">
        <f>IF($A38="",0,IF(AND($H38="Open",ISNUMBER($J38)),IF($J38&gt;=Dashboard!$H$9,1,0),0))</f>
        <v/>
      </c>
      <c r="P38" s="9">
        <f>IF($M38+$N38+$O38&gt;0,1,0)</f>
        <v/>
      </c>
      <c r="Q38" s="9">
        <f>LEFT($F38,IFERROR(FIND("(",$F38)-1,LEN($F38)))</f>
        <v/>
      </c>
    </row>
    <row r="39" ht="18" customHeight="1">
      <c r="A39" s="28" t="n"/>
      <c r="B39" s="28" t="n"/>
      <c r="C39" s="28" t="n"/>
      <c r="D39" s="14" t="n"/>
      <c r="E39" s="27" t="n"/>
      <c r="F39" s="27" t="n"/>
      <c r="G39" s="14" t="n"/>
      <c r="H39" s="28" t="n"/>
      <c r="I39" s="14" t="n"/>
      <c r="J39" s="36" t="n"/>
      <c r="K39" s="22">
        <f>IF($A39="","",IF(AND($H39="Open",ISNUMBER($G39)),IF($G39&lt;Dashboard!$B$16,"△ Overdue, was due "&amp;TEXT($G39,"d mmm yyyy"),"Open, due "&amp;TEXT($G39,"d mmm yyyy")),$H39&amp;""))</f>
        <v/>
      </c>
      <c r="L39" s="22">
        <f>IF($A39="","",IF($M39=1,"△ Needs one owner and a date",IF($N39=1,"△ Overdue, was due "&amp;TEXT($G39,"d mmm yyyy"),IF($O39=1,"△ Moved "&amp;$J39&amp;" times","○ Clear"))))</f>
        <v/>
      </c>
      <c r="M39" s="9">
        <f>IF($A39="",0,IF(OR($H39="Done",$H39="Dropped"),0,IF(OR($F39="",AND($B39="Action",NOT(ISNUMBER($G39))),LEN($F39)-LEN(SUBSTITUTE($F39,"(",""))&gt;=2,ISNUMBER(SEARCH(" and ",$Q39)),ISNUMBER(FIND("/",$Q39)),ISNUMBER(FIND("&amp;",$Q39)),ISNUMBER(FIND(",",$Q39))),1,0)))</f>
        <v/>
      </c>
      <c r="N39" s="9">
        <f>IF($A39="",0,IF(AND($H39="Open",ISNUMBER($G39)),IF($G39&lt;Dashboard!$B$16,1,0),0))</f>
        <v/>
      </c>
      <c r="O39" s="9">
        <f>IF($A39="",0,IF(AND($H39="Open",ISNUMBER($J39)),IF($J39&gt;=Dashboard!$H$9,1,0),0))</f>
        <v/>
      </c>
      <c r="P39" s="9">
        <f>IF($M39+$N39+$O39&gt;0,1,0)</f>
        <v/>
      </c>
      <c r="Q39" s="9">
        <f>LEFT($F39,IFERROR(FIND("(",$F39)-1,LEN($F39)))</f>
        <v/>
      </c>
    </row>
    <row r="40" ht="18" customHeight="1">
      <c r="A40" s="28" t="n"/>
      <c r="B40" s="28" t="n"/>
      <c r="C40" s="28" t="n"/>
      <c r="D40" s="14" t="n"/>
      <c r="E40" s="27" t="n"/>
      <c r="F40" s="27" t="n"/>
      <c r="G40" s="14" t="n"/>
      <c r="H40" s="28" t="n"/>
      <c r="I40" s="14" t="n"/>
      <c r="J40" s="36" t="n"/>
      <c r="K40" s="22">
        <f>IF($A40="","",IF(AND($H40="Open",ISNUMBER($G40)),IF($G40&lt;Dashboard!$B$16,"△ Overdue, was due "&amp;TEXT($G40,"d mmm yyyy"),"Open, due "&amp;TEXT($G40,"d mmm yyyy")),$H40&amp;""))</f>
        <v/>
      </c>
      <c r="L40" s="22">
        <f>IF($A40="","",IF($M40=1,"△ Needs one owner and a date",IF($N40=1,"△ Overdue, was due "&amp;TEXT($G40,"d mmm yyyy"),IF($O40=1,"△ Moved "&amp;$J40&amp;" times","○ Clear"))))</f>
        <v/>
      </c>
      <c r="M40" s="9">
        <f>IF($A40="",0,IF(OR($H40="Done",$H40="Dropped"),0,IF(OR($F40="",AND($B40="Action",NOT(ISNUMBER($G40))),LEN($F40)-LEN(SUBSTITUTE($F40,"(",""))&gt;=2,ISNUMBER(SEARCH(" and ",$Q40)),ISNUMBER(FIND("/",$Q40)),ISNUMBER(FIND("&amp;",$Q40)),ISNUMBER(FIND(",",$Q40))),1,0)))</f>
        <v/>
      </c>
      <c r="N40" s="9">
        <f>IF($A40="",0,IF(AND($H40="Open",ISNUMBER($G40)),IF($G40&lt;Dashboard!$B$16,1,0),0))</f>
        <v/>
      </c>
      <c r="O40" s="9">
        <f>IF($A40="",0,IF(AND($H40="Open",ISNUMBER($J40)),IF($J40&gt;=Dashboard!$H$9,1,0),0))</f>
        <v/>
      </c>
      <c r="P40" s="9">
        <f>IF($M40+$N40+$O40&gt;0,1,0)</f>
        <v/>
      </c>
      <c r="Q40" s="9">
        <f>LEFT($F40,IFERROR(FIND("(",$F40)-1,LEN($F40)))</f>
        <v/>
      </c>
    </row>
    <row r="41" ht="18" customHeight="1">
      <c r="A41" s="28" t="n"/>
      <c r="B41" s="28" t="n"/>
      <c r="C41" s="28" t="n"/>
      <c r="D41" s="14" t="n"/>
      <c r="E41" s="27" t="n"/>
      <c r="F41" s="27" t="n"/>
      <c r="G41" s="14" t="n"/>
      <c r="H41" s="28" t="n"/>
      <c r="I41" s="14" t="n"/>
      <c r="J41" s="36" t="n"/>
      <c r="K41" s="22">
        <f>IF($A41="","",IF(AND($H41="Open",ISNUMBER($G41)),IF($G41&lt;Dashboard!$B$16,"△ Overdue, was due "&amp;TEXT($G41,"d mmm yyyy"),"Open, due "&amp;TEXT($G41,"d mmm yyyy")),$H41&amp;""))</f>
        <v/>
      </c>
      <c r="L41" s="22">
        <f>IF($A41="","",IF($M41=1,"△ Needs one owner and a date",IF($N41=1,"△ Overdue, was due "&amp;TEXT($G41,"d mmm yyyy"),IF($O41=1,"△ Moved "&amp;$J41&amp;" times","○ Clear"))))</f>
        <v/>
      </c>
      <c r="M41" s="9">
        <f>IF($A41="",0,IF(OR($H41="Done",$H41="Dropped"),0,IF(OR($F41="",AND($B41="Action",NOT(ISNUMBER($G41))),LEN($F41)-LEN(SUBSTITUTE($F41,"(",""))&gt;=2,ISNUMBER(SEARCH(" and ",$Q41)),ISNUMBER(FIND("/",$Q41)),ISNUMBER(FIND("&amp;",$Q41)),ISNUMBER(FIND(",",$Q41))),1,0)))</f>
        <v/>
      </c>
      <c r="N41" s="9">
        <f>IF($A41="",0,IF(AND($H41="Open",ISNUMBER($G41)),IF($G41&lt;Dashboard!$B$16,1,0),0))</f>
        <v/>
      </c>
      <c r="O41" s="9">
        <f>IF($A41="",0,IF(AND($H41="Open",ISNUMBER($J41)),IF($J41&gt;=Dashboard!$H$9,1,0),0))</f>
        <v/>
      </c>
      <c r="P41" s="9">
        <f>IF($M41+$N41+$O41&gt;0,1,0)</f>
        <v/>
      </c>
      <c r="Q41" s="9">
        <f>LEFT($F41,IFERROR(FIND("(",$F41)-1,LEN($F41)))</f>
        <v/>
      </c>
    </row>
    <row r="42" ht="18" customHeight="1">
      <c r="A42" s="28" t="n"/>
      <c r="B42" s="28" t="n"/>
      <c r="C42" s="28" t="n"/>
      <c r="D42" s="14" t="n"/>
      <c r="E42" s="27" t="n"/>
      <c r="F42" s="27" t="n"/>
      <c r="G42" s="14" t="n"/>
      <c r="H42" s="28" t="n"/>
      <c r="I42" s="14" t="n"/>
      <c r="J42" s="36" t="n"/>
      <c r="K42" s="22">
        <f>IF($A42="","",IF(AND($H42="Open",ISNUMBER($G42)),IF($G42&lt;Dashboard!$B$16,"△ Overdue, was due "&amp;TEXT($G42,"d mmm yyyy"),"Open, due "&amp;TEXT($G42,"d mmm yyyy")),$H42&amp;""))</f>
        <v/>
      </c>
      <c r="L42" s="22">
        <f>IF($A42="","",IF($M42=1,"△ Needs one owner and a date",IF($N42=1,"△ Overdue, was due "&amp;TEXT($G42,"d mmm yyyy"),IF($O42=1,"△ Moved "&amp;$J42&amp;" times","○ Clear"))))</f>
        <v/>
      </c>
      <c r="M42" s="9">
        <f>IF($A42="",0,IF(OR($H42="Done",$H42="Dropped"),0,IF(OR($F42="",AND($B42="Action",NOT(ISNUMBER($G42))),LEN($F42)-LEN(SUBSTITUTE($F42,"(",""))&gt;=2,ISNUMBER(SEARCH(" and ",$Q42)),ISNUMBER(FIND("/",$Q42)),ISNUMBER(FIND("&amp;",$Q42)),ISNUMBER(FIND(",",$Q42))),1,0)))</f>
        <v/>
      </c>
      <c r="N42" s="9">
        <f>IF($A42="",0,IF(AND($H42="Open",ISNUMBER($G42)),IF($G42&lt;Dashboard!$B$16,1,0),0))</f>
        <v/>
      </c>
      <c r="O42" s="9">
        <f>IF($A42="",0,IF(AND($H42="Open",ISNUMBER($J42)),IF($J42&gt;=Dashboard!$H$9,1,0),0))</f>
        <v/>
      </c>
      <c r="P42" s="9">
        <f>IF($M42+$N42+$O42&gt;0,1,0)</f>
        <v/>
      </c>
      <c r="Q42" s="9">
        <f>LEFT($F42,IFERROR(FIND("(",$F42)-1,LEN($F42)))</f>
        <v/>
      </c>
    </row>
    <row r="43" ht="18" customHeight="1">
      <c r="A43" s="28" t="n"/>
      <c r="B43" s="28" t="n"/>
      <c r="C43" s="28" t="n"/>
      <c r="D43" s="14" t="n"/>
      <c r="E43" s="27" t="n"/>
      <c r="F43" s="27" t="n"/>
      <c r="G43" s="14" t="n"/>
      <c r="H43" s="28" t="n"/>
      <c r="I43" s="14" t="n"/>
      <c r="J43" s="36" t="n"/>
      <c r="K43" s="22">
        <f>IF($A43="","",IF(AND($H43="Open",ISNUMBER($G43)),IF($G43&lt;Dashboard!$B$16,"△ Overdue, was due "&amp;TEXT($G43,"d mmm yyyy"),"Open, due "&amp;TEXT($G43,"d mmm yyyy")),$H43&amp;""))</f>
        <v/>
      </c>
      <c r="L43" s="22">
        <f>IF($A43="","",IF($M43=1,"△ Needs one owner and a date",IF($N43=1,"△ Overdue, was due "&amp;TEXT($G43,"d mmm yyyy"),IF($O43=1,"△ Moved "&amp;$J43&amp;" times","○ Clear"))))</f>
        <v/>
      </c>
      <c r="M43" s="9">
        <f>IF($A43="",0,IF(OR($H43="Done",$H43="Dropped"),0,IF(OR($F43="",AND($B43="Action",NOT(ISNUMBER($G43))),LEN($F43)-LEN(SUBSTITUTE($F43,"(",""))&gt;=2,ISNUMBER(SEARCH(" and ",$Q43)),ISNUMBER(FIND("/",$Q43)),ISNUMBER(FIND("&amp;",$Q43)),ISNUMBER(FIND(",",$Q43))),1,0)))</f>
        <v/>
      </c>
      <c r="N43" s="9">
        <f>IF($A43="",0,IF(AND($H43="Open",ISNUMBER($G43)),IF($G43&lt;Dashboard!$B$16,1,0),0))</f>
        <v/>
      </c>
      <c r="O43" s="9">
        <f>IF($A43="",0,IF(AND($H43="Open",ISNUMBER($J43)),IF($J43&gt;=Dashboard!$H$9,1,0),0))</f>
        <v/>
      </c>
      <c r="P43" s="9">
        <f>IF($M43+$N43+$O43&gt;0,1,0)</f>
        <v/>
      </c>
      <c r="Q43" s="9">
        <f>LEFT($F43,IFERROR(FIND("(",$F43)-1,LEN($F43)))</f>
        <v/>
      </c>
    </row>
    <row r="44" ht="18" customHeight="1">
      <c r="A44" s="28" t="n"/>
      <c r="B44" s="28" t="n"/>
      <c r="C44" s="28" t="n"/>
      <c r="D44" s="14" t="n"/>
      <c r="E44" s="27" t="n"/>
      <c r="F44" s="27" t="n"/>
      <c r="G44" s="14" t="n"/>
      <c r="H44" s="28" t="n"/>
      <c r="I44" s="14" t="n"/>
      <c r="J44" s="36" t="n"/>
      <c r="K44" s="22">
        <f>IF($A44="","",IF(AND($H44="Open",ISNUMBER($G44)),IF($G44&lt;Dashboard!$B$16,"△ Overdue, was due "&amp;TEXT($G44,"d mmm yyyy"),"Open, due "&amp;TEXT($G44,"d mmm yyyy")),$H44&amp;""))</f>
        <v/>
      </c>
      <c r="L44" s="22">
        <f>IF($A44="","",IF($M44=1,"△ Needs one owner and a date",IF($N44=1,"△ Overdue, was due "&amp;TEXT($G44,"d mmm yyyy"),IF($O44=1,"△ Moved "&amp;$J44&amp;" times","○ Clear"))))</f>
        <v/>
      </c>
      <c r="M44" s="9">
        <f>IF($A44="",0,IF(OR($H44="Done",$H44="Dropped"),0,IF(OR($F44="",AND($B44="Action",NOT(ISNUMBER($G44))),LEN($F44)-LEN(SUBSTITUTE($F44,"(",""))&gt;=2,ISNUMBER(SEARCH(" and ",$Q44)),ISNUMBER(FIND("/",$Q44)),ISNUMBER(FIND("&amp;",$Q44)),ISNUMBER(FIND(",",$Q44))),1,0)))</f>
        <v/>
      </c>
      <c r="N44" s="9">
        <f>IF($A44="",0,IF(AND($H44="Open",ISNUMBER($G44)),IF($G44&lt;Dashboard!$B$16,1,0),0))</f>
        <v/>
      </c>
      <c r="O44" s="9">
        <f>IF($A44="",0,IF(AND($H44="Open",ISNUMBER($J44)),IF($J44&gt;=Dashboard!$H$9,1,0),0))</f>
        <v/>
      </c>
      <c r="P44" s="9">
        <f>IF($M44+$N44+$O44&gt;0,1,0)</f>
        <v/>
      </c>
      <c r="Q44" s="9">
        <f>LEFT($F44,IFERROR(FIND("(",$F44)-1,LEN($F44)))</f>
        <v/>
      </c>
    </row>
    <row r="45" ht="18" customHeight="1">
      <c r="A45" s="28" t="n"/>
      <c r="B45" s="28" t="n"/>
      <c r="C45" s="28" t="n"/>
      <c r="D45" s="14" t="n"/>
      <c r="E45" s="27" t="n"/>
      <c r="F45" s="27" t="n"/>
      <c r="G45" s="14" t="n"/>
      <c r="H45" s="28" t="n"/>
      <c r="I45" s="14" t="n"/>
      <c r="J45" s="36" t="n"/>
      <c r="K45" s="22">
        <f>IF($A45="","",IF(AND($H45="Open",ISNUMBER($G45)),IF($G45&lt;Dashboard!$B$16,"△ Overdue, was due "&amp;TEXT($G45,"d mmm yyyy"),"Open, due "&amp;TEXT($G45,"d mmm yyyy")),$H45&amp;""))</f>
        <v/>
      </c>
      <c r="L45" s="22">
        <f>IF($A45="","",IF($M45=1,"△ Needs one owner and a date",IF($N45=1,"△ Overdue, was due "&amp;TEXT($G45,"d mmm yyyy"),IF($O45=1,"△ Moved "&amp;$J45&amp;" times","○ Clear"))))</f>
        <v/>
      </c>
      <c r="M45" s="9">
        <f>IF($A45="",0,IF(OR($H45="Done",$H45="Dropped"),0,IF(OR($F45="",AND($B45="Action",NOT(ISNUMBER($G45))),LEN($F45)-LEN(SUBSTITUTE($F45,"(",""))&gt;=2,ISNUMBER(SEARCH(" and ",$Q45)),ISNUMBER(FIND("/",$Q45)),ISNUMBER(FIND("&amp;",$Q45)),ISNUMBER(FIND(",",$Q45))),1,0)))</f>
        <v/>
      </c>
      <c r="N45" s="9">
        <f>IF($A45="",0,IF(AND($H45="Open",ISNUMBER($G45)),IF($G45&lt;Dashboard!$B$16,1,0),0))</f>
        <v/>
      </c>
      <c r="O45" s="9">
        <f>IF($A45="",0,IF(AND($H45="Open",ISNUMBER($J45)),IF($J45&gt;=Dashboard!$H$9,1,0),0))</f>
        <v/>
      </c>
      <c r="P45" s="9">
        <f>IF($M45+$N45+$O45&gt;0,1,0)</f>
        <v/>
      </c>
      <c r="Q45" s="9">
        <f>LEFT($F45,IFERROR(FIND("(",$F45)-1,LEN($F45)))</f>
        <v/>
      </c>
    </row>
    <row r="46" ht="18" customHeight="1">
      <c r="A46" s="28" t="n"/>
      <c r="B46" s="28" t="n"/>
      <c r="C46" s="28" t="n"/>
      <c r="D46" s="14" t="n"/>
      <c r="E46" s="27" t="n"/>
      <c r="F46" s="27" t="n"/>
      <c r="G46" s="14" t="n"/>
      <c r="H46" s="28" t="n"/>
      <c r="I46" s="14" t="n"/>
      <c r="J46" s="36" t="n"/>
      <c r="K46" s="22">
        <f>IF($A46="","",IF(AND($H46="Open",ISNUMBER($G46)),IF($G46&lt;Dashboard!$B$16,"△ Overdue, was due "&amp;TEXT($G46,"d mmm yyyy"),"Open, due "&amp;TEXT($G46,"d mmm yyyy")),$H46&amp;""))</f>
        <v/>
      </c>
      <c r="L46" s="22">
        <f>IF($A46="","",IF($M46=1,"△ Needs one owner and a date",IF($N46=1,"△ Overdue, was due "&amp;TEXT($G46,"d mmm yyyy"),IF($O46=1,"△ Moved "&amp;$J46&amp;" times","○ Clear"))))</f>
        <v/>
      </c>
      <c r="M46" s="9">
        <f>IF($A46="",0,IF(OR($H46="Done",$H46="Dropped"),0,IF(OR($F46="",AND($B46="Action",NOT(ISNUMBER($G46))),LEN($F46)-LEN(SUBSTITUTE($F46,"(",""))&gt;=2,ISNUMBER(SEARCH(" and ",$Q46)),ISNUMBER(FIND("/",$Q46)),ISNUMBER(FIND("&amp;",$Q46)),ISNUMBER(FIND(",",$Q46))),1,0)))</f>
        <v/>
      </c>
      <c r="N46" s="9">
        <f>IF($A46="",0,IF(AND($H46="Open",ISNUMBER($G46)),IF($G46&lt;Dashboard!$B$16,1,0),0))</f>
        <v/>
      </c>
      <c r="O46" s="9">
        <f>IF($A46="",0,IF(AND($H46="Open",ISNUMBER($J46)),IF($J46&gt;=Dashboard!$H$9,1,0),0))</f>
        <v/>
      </c>
      <c r="P46" s="9">
        <f>IF($M46+$N46+$O46&gt;0,1,0)</f>
        <v/>
      </c>
      <c r="Q46" s="9">
        <f>LEFT($F46,IFERROR(FIND("(",$F46)-1,LEN($F46)))</f>
        <v/>
      </c>
    </row>
    <row r="47" ht="18" customHeight="1">
      <c r="A47" s="28" t="n"/>
      <c r="B47" s="28" t="n"/>
      <c r="C47" s="28" t="n"/>
      <c r="D47" s="14" t="n"/>
      <c r="E47" s="27" t="n"/>
      <c r="F47" s="27" t="n"/>
      <c r="G47" s="14" t="n"/>
      <c r="H47" s="28" t="n"/>
      <c r="I47" s="14" t="n"/>
      <c r="J47" s="36" t="n"/>
      <c r="K47" s="22">
        <f>IF($A47="","",IF(AND($H47="Open",ISNUMBER($G47)),IF($G47&lt;Dashboard!$B$16,"△ Overdue, was due "&amp;TEXT($G47,"d mmm yyyy"),"Open, due "&amp;TEXT($G47,"d mmm yyyy")),$H47&amp;""))</f>
        <v/>
      </c>
      <c r="L47" s="22">
        <f>IF($A47="","",IF($M47=1,"△ Needs one owner and a date",IF($N47=1,"△ Overdue, was due "&amp;TEXT($G47,"d mmm yyyy"),IF($O47=1,"△ Moved "&amp;$J47&amp;" times","○ Clear"))))</f>
        <v/>
      </c>
      <c r="M47" s="9">
        <f>IF($A47="",0,IF(OR($H47="Done",$H47="Dropped"),0,IF(OR($F47="",AND($B47="Action",NOT(ISNUMBER($G47))),LEN($F47)-LEN(SUBSTITUTE($F47,"(",""))&gt;=2,ISNUMBER(SEARCH(" and ",$Q47)),ISNUMBER(FIND("/",$Q47)),ISNUMBER(FIND("&amp;",$Q47)),ISNUMBER(FIND(",",$Q47))),1,0)))</f>
        <v/>
      </c>
      <c r="N47" s="9">
        <f>IF($A47="",0,IF(AND($H47="Open",ISNUMBER($G47)),IF($G47&lt;Dashboard!$B$16,1,0),0))</f>
        <v/>
      </c>
      <c r="O47" s="9">
        <f>IF($A47="",0,IF(AND($H47="Open",ISNUMBER($J47)),IF($J47&gt;=Dashboard!$H$9,1,0),0))</f>
        <v/>
      </c>
      <c r="P47" s="9">
        <f>IF($M47+$N47+$O47&gt;0,1,0)</f>
        <v/>
      </c>
      <c r="Q47" s="9">
        <f>LEFT($F47,IFERROR(FIND("(",$F47)-1,LEN($F47)))</f>
        <v/>
      </c>
    </row>
    <row r="48" ht="18" customHeight="1">
      <c r="A48" s="28" t="n"/>
      <c r="B48" s="28" t="n"/>
      <c r="C48" s="28" t="n"/>
      <c r="D48" s="14" t="n"/>
      <c r="E48" s="27" t="n"/>
      <c r="F48" s="27" t="n"/>
      <c r="G48" s="14" t="n"/>
      <c r="H48" s="28" t="n"/>
      <c r="I48" s="14" t="n"/>
      <c r="J48" s="36" t="n"/>
      <c r="K48" s="22">
        <f>IF($A48="","",IF(AND($H48="Open",ISNUMBER($G48)),IF($G48&lt;Dashboard!$B$16,"△ Overdue, was due "&amp;TEXT($G48,"d mmm yyyy"),"Open, due "&amp;TEXT($G48,"d mmm yyyy")),$H48&amp;""))</f>
        <v/>
      </c>
      <c r="L48" s="22">
        <f>IF($A48="","",IF($M48=1,"△ Needs one owner and a date",IF($N48=1,"△ Overdue, was due "&amp;TEXT($G48,"d mmm yyyy"),IF($O48=1,"△ Moved "&amp;$J48&amp;" times","○ Clear"))))</f>
        <v/>
      </c>
      <c r="M48" s="9">
        <f>IF($A48="",0,IF(OR($H48="Done",$H48="Dropped"),0,IF(OR($F48="",AND($B48="Action",NOT(ISNUMBER($G48))),LEN($F48)-LEN(SUBSTITUTE($F48,"(",""))&gt;=2,ISNUMBER(SEARCH(" and ",$Q48)),ISNUMBER(FIND("/",$Q48)),ISNUMBER(FIND("&amp;",$Q48)),ISNUMBER(FIND(",",$Q48))),1,0)))</f>
        <v/>
      </c>
      <c r="N48" s="9">
        <f>IF($A48="",0,IF(AND($H48="Open",ISNUMBER($G48)),IF($G48&lt;Dashboard!$B$16,1,0),0))</f>
        <v/>
      </c>
      <c r="O48" s="9">
        <f>IF($A48="",0,IF(AND($H48="Open",ISNUMBER($J48)),IF($J48&gt;=Dashboard!$H$9,1,0),0))</f>
        <v/>
      </c>
      <c r="P48" s="9">
        <f>IF($M48+$N48+$O48&gt;0,1,0)</f>
        <v/>
      </c>
      <c r="Q48" s="9">
        <f>LEFT($F48,IFERROR(FIND("(",$F48)-1,LEN($F48)))</f>
        <v/>
      </c>
    </row>
    <row r="49" ht="18" customHeight="1">
      <c r="A49" s="28" t="n"/>
      <c r="B49" s="28" t="n"/>
      <c r="C49" s="28" t="n"/>
      <c r="D49" s="14" t="n"/>
      <c r="E49" s="27" t="n"/>
      <c r="F49" s="27" t="n"/>
      <c r="G49" s="14" t="n"/>
      <c r="H49" s="28" t="n"/>
      <c r="I49" s="14" t="n"/>
      <c r="J49" s="36" t="n"/>
      <c r="K49" s="22">
        <f>IF($A49="","",IF(AND($H49="Open",ISNUMBER($G49)),IF($G49&lt;Dashboard!$B$16,"△ Overdue, was due "&amp;TEXT($G49,"d mmm yyyy"),"Open, due "&amp;TEXT($G49,"d mmm yyyy")),$H49&amp;""))</f>
        <v/>
      </c>
      <c r="L49" s="22">
        <f>IF($A49="","",IF($M49=1,"△ Needs one owner and a date",IF($N49=1,"△ Overdue, was due "&amp;TEXT($G49,"d mmm yyyy"),IF($O49=1,"△ Moved "&amp;$J49&amp;" times","○ Clear"))))</f>
        <v/>
      </c>
      <c r="M49" s="9">
        <f>IF($A49="",0,IF(OR($H49="Done",$H49="Dropped"),0,IF(OR($F49="",AND($B49="Action",NOT(ISNUMBER($G49))),LEN($F49)-LEN(SUBSTITUTE($F49,"(",""))&gt;=2,ISNUMBER(SEARCH(" and ",$Q49)),ISNUMBER(FIND("/",$Q49)),ISNUMBER(FIND("&amp;",$Q49)),ISNUMBER(FIND(",",$Q49))),1,0)))</f>
        <v/>
      </c>
      <c r="N49" s="9">
        <f>IF($A49="",0,IF(AND($H49="Open",ISNUMBER($G49)),IF($G49&lt;Dashboard!$B$16,1,0),0))</f>
        <v/>
      </c>
      <c r="O49" s="9">
        <f>IF($A49="",0,IF(AND($H49="Open",ISNUMBER($J49)),IF($J49&gt;=Dashboard!$H$9,1,0),0))</f>
        <v/>
      </c>
      <c r="P49" s="9">
        <f>IF($M49+$N49+$O49&gt;0,1,0)</f>
        <v/>
      </c>
      <c r="Q49" s="9">
        <f>LEFT($F49,IFERROR(FIND("(",$F49)-1,LEN($F49)))</f>
        <v/>
      </c>
    </row>
    <row r="50" ht="18" customHeight="1">
      <c r="A50" s="28" t="n"/>
      <c r="B50" s="28" t="n"/>
      <c r="C50" s="28" t="n"/>
      <c r="D50" s="14" t="n"/>
      <c r="E50" s="27" t="n"/>
      <c r="F50" s="27" t="n"/>
      <c r="G50" s="14" t="n"/>
      <c r="H50" s="28" t="n"/>
      <c r="I50" s="14" t="n"/>
      <c r="J50" s="36" t="n"/>
      <c r="K50" s="22">
        <f>IF($A50="","",IF(AND($H50="Open",ISNUMBER($G50)),IF($G50&lt;Dashboard!$B$16,"△ Overdue, was due "&amp;TEXT($G50,"d mmm yyyy"),"Open, due "&amp;TEXT($G50,"d mmm yyyy")),$H50&amp;""))</f>
        <v/>
      </c>
      <c r="L50" s="22">
        <f>IF($A50="","",IF($M50=1,"△ Needs one owner and a date",IF($N50=1,"△ Overdue, was due "&amp;TEXT($G50,"d mmm yyyy"),IF($O50=1,"△ Moved "&amp;$J50&amp;" times","○ Clear"))))</f>
        <v/>
      </c>
      <c r="M50" s="9">
        <f>IF($A50="",0,IF(OR($H50="Done",$H50="Dropped"),0,IF(OR($F50="",AND($B50="Action",NOT(ISNUMBER($G50))),LEN($F50)-LEN(SUBSTITUTE($F50,"(",""))&gt;=2,ISNUMBER(SEARCH(" and ",$Q50)),ISNUMBER(FIND("/",$Q50)),ISNUMBER(FIND("&amp;",$Q50)),ISNUMBER(FIND(",",$Q50))),1,0)))</f>
        <v/>
      </c>
      <c r="N50" s="9">
        <f>IF($A50="",0,IF(AND($H50="Open",ISNUMBER($G50)),IF($G50&lt;Dashboard!$B$16,1,0),0))</f>
        <v/>
      </c>
      <c r="O50" s="9">
        <f>IF($A50="",0,IF(AND($H50="Open",ISNUMBER($J50)),IF($J50&gt;=Dashboard!$H$9,1,0),0))</f>
        <v/>
      </c>
      <c r="P50" s="9">
        <f>IF($M50+$N50+$O50&gt;0,1,0)</f>
        <v/>
      </c>
      <c r="Q50" s="9">
        <f>LEFT($F50,IFERROR(FIND("(",$F50)-1,LEN($F50)))</f>
        <v/>
      </c>
    </row>
    <row r="51" ht="18" customHeight="1">
      <c r="A51" s="28" t="n"/>
      <c r="B51" s="28" t="n"/>
      <c r="C51" s="28" t="n"/>
      <c r="D51" s="14" t="n"/>
      <c r="E51" s="27" t="n"/>
      <c r="F51" s="27" t="n"/>
      <c r="G51" s="14" t="n"/>
      <c r="H51" s="28" t="n"/>
      <c r="I51" s="14" t="n"/>
      <c r="J51" s="36" t="n"/>
      <c r="K51" s="22">
        <f>IF($A51="","",IF(AND($H51="Open",ISNUMBER($G51)),IF($G51&lt;Dashboard!$B$16,"△ Overdue, was due "&amp;TEXT($G51,"d mmm yyyy"),"Open, due "&amp;TEXT($G51,"d mmm yyyy")),$H51&amp;""))</f>
        <v/>
      </c>
      <c r="L51" s="22">
        <f>IF($A51="","",IF($M51=1,"△ Needs one owner and a date",IF($N51=1,"△ Overdue, was due "&amp;TEXT($G51,"d mmm yyyy"),IF($O51=1,"△ Moved "&amp;$J51&amp;" times","○ Clear"))))</f>
        <v/>
      </c>
      <c r="M51" s="9">
        <f>IF($A51="",0,IF(OR($H51="Done",$H51="Dropped"),0,IF(OR($F51="",AND($B51="Action",NOT(ISNUMBER($G51))),LEN($F51)-LEN(SUBSTITUTE($F51,"(",""))&gt;=2,ISNUMBER(SEARCH(" and ",$Q51)),ISNUMBER(FIND("/",$Q51)),ISNUMBER(FIND("&amp;",$Q51)),ISNUMBER(FIND(",",$Q51))),1,0)))</f>
        <v/>
      </c>
      <c r="N51" s="9">
        <f>IF($A51="",0,IF(AND($H51="Open",ISNUMBER($G51)),IF($G51&lt;Dashboard!$B$16,1,0),0))</f>
        <v/>
      </c>
      <c r="O51" s="9">
        <f>IF($A51="",0,IF(AND($H51="Open",ISNUMBER($J51)),IF($J51&gt;=Dashboard!$H$9,1,0),0))</f>
        <v/>
      </c>
      <c r="P51" s="9">
        <f>IF($M51+$N51+$O51&gt;0,1,0)</f>
        <v/>
      </c>
      <c r="Q51" s="9">
        <f>LEFT($F51,IFERROR(FIND("(",$F51)-1,LEN($F51)))</f>
        <v/>
      </c>
    </row>
    <row r="52" ht="18" customHeight="1">
      <c r="A52" s="28" t="n"/>
      <c r="B52" s="28" t="n"/>
      <c r="C52" s="28" t="n"/>
      <c r="D52" s="14" t="n"/>
      <c r="E52" s="27" t="n"/>
      <c r="F52" s="27" t="n"/>
      <c r="G52" s="14" t="n"/>
      <c r="H52" s="28" t="n"/>
      <c r="I52" s="14" t="n"/>
      <c r="J52" s="36" t="n"/>
      <c r="K52" s="22">
        <f>IF($A52="","",IF(AND($H52="Open",ISNUMBER($G52)),IF($G52&lt;Dashboard!$B$16,"△ Overdue, was due "&amp;TEXT($G52,"d mmm yyyy"),"Open, due "&amp;TEXT($G52,"d mmm yyyy")),$H52&amp;""))</f>
        <v/>
      </c>
      <c r="L52" s="22">
        <f>IF($A52="","",IF($M52=1,"△ Needs one owner and a date",IF($N52=1,"△ Overdue, was due "&amp;TEXT($G52,"d mmm yyyy"),IF($O52=1,"△ Moved "&amp;$J52&amp;" times","○ Clear"))))</f>
        <v/>
      </c>
      <c r="M52" s="9">
        <f>IF($A52="",0,IF(OR($H52="Done",$H52="Dropped"),0,IF(OR($F52="",AND($B52="Action",NOT(ISNUMBER($G52))),LEN($F52)-LEN(SUBSTITUTE($F52,"(",""))&gt;=2,ISNUMBER(SEARCH(" and ",$Q52)),ISNUMBER(FIND("/",$Q52)),ISNUMBER(FIND("&amp;",$Q52)),ISNUMBER(FIND(",",$Q52))),1,0)))</f>
        <v/>
      </c>
      <c r="N52" s="9">
        <f>IF($A52="",0,IF(AND($H52="Open",ISNUMBER($G52)),IF($G52&lt;Dashboard!$B$16,1,0),0))</f>
        <v/>
      </c>
      <c r="O52" s="9">
        <f>IF($A52="",0,IF(AND($H52="Open",ISNUMBER($J52)),IF($J52&gt;=Dashboard!$H$9,1,0),0))</f>
        <v/>
      </c>
      <c r="P52" s="9">
        <f>IF($M52+$N52+$O52&gt;0,1,0)</f>
        <v/>
      </c>
      <c r="Q52" s="9">
        <f>LEFT($F52,IFERROR(FIND("(",$F52)-1,LEN($F52)))</f>
        <v/>
      </c>
    </row>
    <row r="53" ht="18" customHeight="1">
      <c r="A53" s="28" t="n"/>
      <c r="B53" s="28" t="n"/>
      <c r="C53" s="28" t="n"/>
      <c r="D53" s="14" t="n"/>
      <c r="E53" s="27" t="n"/>
      <c r="F53" s="27" t="n"/>
      <c r="G53" s="14" t="n"/>
      <c r="H53" s="28" t="n"/>
      <c r="I53" s="14" t="n"/>
      <c r="J53" s="36" t="n"/>
      <c r="K53" s="22">
        <f>IF($A53="","",IF(AND($H53="Open",ISNUMBER($G53)),IF($G53&lt;Dashboard!$B$16,"△ Overdue, was due "&amp;TEXT($G53,"d mmm yyyy"),"Open, due "&amp;TEXT($G53,"d mmm yyyy")),$H53&amp;""))</f>
        <v/>
      </c>
      <c r="L53" s="22">
        <f>IF($A53="","",IF($M53=1,"△ Needs one owner and a date",IF($N53=1,"△ Overdue, was due "&amp;TEXT($G53,"d mmm yyyy"),IF($O53=1,"△ Moved "&amp;$J53&amp;" times","○ Clear"))))</f>
        <v/>
      </c>
      <c r="M53" s="9">
        <f>IF($A53="",0,IF(OR($H53="Done",$H53="Dropped"),0,IF(OR($F53="",AND($B53="Action",NOT(ISNUMBER($G53))),LEN($F53)-LEN(SUBSTITUTE($F53,"(",""))&gt;=2,ISNUMBER(SEARCH(" and ",$Q53)),ISNUMBER(FIND("/",$Q53)),ISNUMBER(FIND("&amp;",$Q53)),ISNUMBER(FIND(",",$Q53))),1,0)))</f>
        <v/>
      </c>
      <c r="N53" s="9">
        <f>IF($A53="",0,IF(AND($H53="Open",ISNUMBER($G53)),IF($G53&lt;Dashboard!$B$16,1,0),0))</f>
        <v/>
      </c>
      <c r="O53" s="9">
        <f>IF($A53="",0,IF(AND($H53="Open",ISNUMBER($J53)),IF($J53&gt;=Dashboard!$H$9,1,0),0))</f>
        <v/>
      </c>
      <c r="P53" s="9">
        <f>IF($M53+$N53+$O53&gt;0,1,0)</f>
        <v/>
      </c>
      <c r="Q53" s="9">
        <f>LEFT($F53,IFERROR(FIND("(",$F53)-1,LEN($F53)))</f>
        <v/>
      </c>
    </row>
    <row r="54" ht="18" customHeight="1">
      <c r="A54" s="28" t="n"/>
      <c r="B54" s="28" t="n"/>
      <c r="C54" s="28" t="n"/>
      <c r="D54" s="14" t="n"/>
      <c r="E54" s="27" t="n"/>
      <c r="F54" s="27" t="n"/>
      <c r="G54" s="14" t="n"/>
      <c r="H54" s="28" t="n"/>
      <c r="I54" s="14" t="n"/>
      <c r="J54" s="36" t="n"/>
      <c r="K54" s="22">
        <f>IF($A54="","",IF(AND($H54="Open",ISNUMBER($G54)),IF($G54&lt;Dashboard!$B$16,"△ Overdue, was due "&amp;TEXT($G54,"d mmm yyyy"),"Open, due "&amp;TEXT($G54,"d mmm yyyy")),$H54&amp;""))</f>
        <v/>
      </c>
      <c r="L54" s="22">
        <f>IF($A54="","",IF($M54=1,"△ Needs one owner and a date",IF($N54=1,"△ Overdue, was due "&amp;TEXT($G54,"d mmm yyyy"),IF($O54=1,"△ Moved "&amp;$J54&amp;" times","○ Clear"))))</f>
        <v/>
      </c>
      <c r="M54" s="9">
        <f>IF($A54="",0,IF(OR($H54="Done",$H54="Dropped"),0,IF(OR($F54="",AND($B54="Action",NOT(ISNUMBER($G54))),LEN($F54)-LEN(SUBSTITUTE($F54,"(",""))&gt;=2,ISNUMBER(SEARCH(" and ",$Q54)),ISNUMBER(FIND("/",$Q54)),ISNUMBER(FIND("&amp;",$Q54)),ISNUMBER(FIND(",",$Q54))),1,0)))</f>
        <v/>
      </c>
      <c r="N54" s="9">
        <f>IF($A54="",0,IF(AND($H54="Open",ISNUMBER($G54)),IF($G54&lt;Dashboard!$B$16,1,0),0))</f>
        <v/>
      </c>
      <c r="O54" s="9">
        <f>IF($A54="",0,IF(AND($H54="Open",ISNUMBER($J54)),IF($J54&gt;=Dashboard!$H$9,1,0),0))</f>
        <v/>
      </c>
      <c r="P54" s="9">
        <f>IF($M54+$N54+$O54&gt;0,1,0)</f>
        <v/>
      </c>
      <c r="Q54" s="9">
        <f>LEFT($F54,IFERROR(FIND("(",$F54)-1,LEN($F54)))</f>
        <v/>
      </c>
    </row>
    <row r="55" ht="18" customHeight="1">
      <c r="A55" s="28" t="n"/>
      <c r="B55" s="28" t="n"/>
      <c r="C55" s="28" t="n"/>
      <c r="D55" s="14" t="n"/>
      <c r="E55" s="27" t="n"/>
      <c r="F55" s="27" t="n"/>
      <c r="G55" s="14" t="n"/>
      <c r="H55" s="28" t="n"/>
      <c r="I55" s="14" t="n"/>
      <c r="J55" s="36" t="n"/>
      <c r="K55" s="22">
        <f>IF($A55="","",IF(AND($H55="Open",ISNUMBER($G55)),IF($G55&lt;Dashboard!$B$16,"△ Overdue, was due "&amp;TEXT($G55,"d mmm yyyy"),"Open, due "&amp;TEXT($G55,"d mmm yyyy")),$H55&amp;""))</f>
        <v/>
      </c>
      <c r="L55" s="22">
        <f>IF($A55="","",IF($M55=1,"△ Needs one owner and a date",IF($N55=1,"△ Overdue, was due "&amp;TEXT($G55,"d mmm yyyy"),IF($O55=1,"△ Moved "&amp;$J55&amp;" times","○ Clear"))))</f>
        <v/>
      </c>
      <c r="M55" s="9">
        <f>IF($A55="",0,IF(OR($H55="Done",$H55="Dropped"),0,IF(OR($F55="",AND($B55="Action",NOT(ISNUMBER($G55))),LEN($F55)-LEN(SUBSTITUTE($F55,"(",""))&gt;=2,ISNUMBER(SEARCH(" and ",$Q55)),ISNUMBER(FIND("/",$Q55)),ISNUMBER(FIND("&amp;",$Q55)),ISNUMBER(FIND(",",$Q55))),1,0)))</f>
        <v/>
      </c>
      <c r="N55" s="9">
        <f>IF($A55="",0,IF(AND($H55="Open",ISNUMBER($G55)),IF($G55&lt;Dashboard!$B$16,1,0),0))</f>
        <v/>
      </c>
      <c r="O55" s="9">
        <f>IF($A55="",0,IF(AND($H55="Open",ISNUMBER($J55)),IF($J55&gt;=Dashboard!$H$9,1,0),0))</f>
        <v/>
      </c>
      <c r="P55" s="9">
        <f>IF($M55+$N55+$O55&gt;0,1,0)</f>
        <v/>
      </c>
      <c r="Q55" s="9">
        <f>LEFT($F55,IFERROR(FIND("(",$F55)-1,LEN($F55)))</f>
        <v/>
      </c>
    </row>
    <row r="56" ht="18" customHeight="1">
      <c r="A56" s="28" t="n"/>
      <c r="B56" s="28" t="n"/>
      <c r="C56" s="28" t="n"/>
      <c r="D56" s="14" t="n"/>
      <c r="E56" s="27" t="n"/>
      <c r="F56" s="27" t="n"/>
      <c r="G56" s="14" t="n"/>
      <c r="H56" s="28" t="n"/>
      <c r="I56" s="14" t="n"/>
      <c r="J56" s="36" t="n"/>
      <c r="K56" s="22">
        <f>IF($A56="","",IF(AND($H56="Open",ISNUMBER($G56)),IF($G56&lt;Dashboard!$B$16,"△ Overdue, was due "&amp;TEXT($G56,"d mmm yyyy"),"Open, due "&amp;TEXT($G56,"d mmm yyyy")),$H56&amp;""))</f>
        <v/>
      </c>
      <c r="L56" s="22">
        <f>IF($A56="","",IF($M56=1,"△ Needs one owner and a date",IF($N56=1,"△ Overdue, was due "&amp;TEXT($G56,"d mmm yyyy"),IF($O56=1,"△ Moved "&amp;$J56&amp;" times","○ Clear"))))</f>
        <v/>
      </c>
      <c r="M56" s="9">
        <f>IF($A56="",0,IF(OR($H56="Done",$H56="Dropped"),0,IF(OR($F56="",AND($B56="Action",NOT(ISNUMBER($G56))),LEN($F56)-LEN(SUBSTITUTE($F56,"(",""))&gt;=2,ISNUMBER(SEARCH(" and ",$Q56)),ISNUMBER(FIND("/",$Q56)),ISNUMBER(FIND("&amp;",$Q56)),ISNUMBER(FIND(",",$Q56))),1,0)))</f>
        <v/>
      </c>
      <c r="N56" s="9">
        <f>IF($A56="",0,IF(AND($H56="Open",ISNUMBER($G56)),IF($G56&lt;Dashboard!$B$16,1,0),0))</f>
        <v/>
      </c>
      <c r="O56" s="9">
        <f>IF($A56="",0,IF(AND($H56="Open",ISNUMBER($J56)),IF($J56&gt;=Dashboard!$H$9,1,0),0))</f>
        <v/>
      </c>
      <c r="P56" s="9">
        <f>IF($M56+$N56+$O56&gt;0,1,0)</f>
        <v/>
      </c>
      <c r="Q56" s="9">
        <f>LEFT($F56,IFERROR(FIND("(",$F56)-1,LEN($F56)))</f>
        <v/>
      </c>
    </row>
    <row r="57" ht="18" customHeight="1">
      <c r="A57" s="28" t="n"/>
      <c r="B57" s="28" t="n"/>
      <c r="C57" s="28" t="n"/>
      <c r="D57" s="14" t="n"/>
      <c r="E57" s="27" t="n"/>
      <c r="F57" s="27" t="n"/>
      <c r="G57" s="14" t="n"/>
      <c r="H57" s="28" t="n"/>
      <c r="I57" s="14" t="n"/>
      <c r="J57" s="36" t="n"/>
      <c r="K57" s="22">
        <f>IF($A57="","",IF(AND($H57="Open",ISNUMBER($G57)),IF($G57&lt;Dashboard!$B$16,"△ Overdue, was due "&amp;TEXT($G57,"d mmm yyyy"),"Open, due "&amp;TEXT($G57,"d mmm yyyy")),$H57&amp;""))</f>
        <v/>
      </c>
      <c r="L57" s="22">
        <f>IF($A57="","",IF($M57=1,"△ Needs one owner and a date",IF($N57=1,"△ Overdue, was due "&amp;TEXT($G57,"d mmm yyyy"),IF($O57=1,"△ Moved "&amp;$J57&amp;" times","○ Clear"))))</f>
        <v/>
      </c>
      <c r="M57" s="9">
        <f>IF($A57="",0,IF(OR($H57="Done",$H57="Dropped"),0,IF(OR($F57="",AND($B57="Action",NOT(ISNUMBER($G57))),LEN($F57)-LEN(SUBSTITUTE($F57,"(",""))&gt;=2,ISNUMBER(SEARCH(" and ",$Q57)),ISNUMBER(FIND("/",$Q57)),ISNUMBER(FIND("&amp;",$Q57)),ISNUMBER(FIND(",",$Q57))),1,0)))</f>
        <v/>
      </c>
      <c r="N57" s="9">
        <f>IF($A57="",0,IF(AND($H57="Open",ISNUMBER($G57)),IF($G57&lt;Dashboard!$B$16,1,0),0))</f>
        <v/>
      </c>
      <c r="O57" s="9">
        <f>IF($A57="",0,IF(AND($H57="Open",ISNUMBER($J57)),IF($J57&gt;=Dashboard!$H$9,1,0),0))</f>
        <v/>
      </c>
      <c r="P57" s="9">
        <f>IF($M57+$N57+$O57&gt;0,1,0)</f>
        <v/>
      </c>
      <c r="Q57" s="9">
        <f>LEFT($F57,IFERROR(FIND("(",$F57)-1,LEN($F57)))</f>
        <v/>
      </c>
    </row>
    <row r="58" ht="18" customHeight="1">
      <c r="A58" s="28" t="n"/>
      <c r="B58" s="28" t="n"/>
      <c r="C58" s="28" t="n"/>
      <c r="D58" s="14" t="n"/>
      <c r="E58" s="27" t="n"/>
      <c r="F58" s="27" t="n"/>
      <c r="G58" s="14" t="n"/>
      <c r="H58" s="28" t="n"/>
      <c r="I58" s="14" t="n"/>
      <c r="J58" s="36" t="n"/>
      <c r="K58" s="22">
        <f>IF($A58="","",IF(AND($H58="Open",ISNUMBER($G58)),IF($G58&lt;Dashboard!$B$16,"△ Overdue, was due "&amp;TEXT($G58,"d mmm yyyy"),"Open, due "&amp;TEXT($G58,"d mmm yyyy")),$H58&amp;""))</f>
        <v/>
      </c>
      <c r="L58" s="22">
        <f>IF($A58="","",IF($M58=1,"△ Needs one owner and a date",IF($N58=1,"△ Overdue, was due "&amp;TEXT($G58,"d mmm yyyy"),IF($O58=1,"△ Moved "&amp;$J58&amp;" times","○ Clear"))))</f>
        <v/>
      </c>
      <c r="M58" s="9">
        <f>IF($A58="",0,IF(OR($H58="Done",$H58="Dropped"),0,IF(OR($F58="",AND($B58="Action",NOT(ISNUMBER($G58))),LEN($F58)-LEN(SUBSTITUTE($F58,"(",""))&gt;=2,ISNUMBER(SEARCH(" and ",$Q58)),ISNUMBER(FIND("/",$Q58)),ISNUMBER(FIND("&amp;",$Q58)),ISNUMBER(FIND(",",$Q58))),1,0)))</f>
        <v/>
      </c>
      <c r="N58" s="9">
        <f>IF($A58="",0,IF(AND($H58="Open",ISNUMBER($G58)),IF($G58&lt;Dashboard!$B$16,1,0),0))</f>
        <v/>
      </c>
      <c r="O58" s="9">
        <f>IF($A58="",0,IF(AND($H58="Open",ISNUMBER($J58)),IF($J58&gt;=Dashboard!$H$9,1,0),0))</f>
        <v/>
      </c>
      <c r="P58" s="9">
        <f>IF($M58+$N58+$O58&gt;0,1,0)</f>
        <v/>
      </c>
      <c r="Q58" s="9">
        <f>LEFT($F58,IFERROR(FIND("(",$F58)-1,LEN($F58)))</f>
        <v/>
      </c>
    </row>
    <row r="59" ht="18" customHeight="1">
      <c r="A59" s="28" t="n"/>
      <c r="B59" s="28" t="n"/>
      <c r="C59" s="28" t="n"/>
      <c r="D59" s="14" t="n"/>
      <c r="E59" s="27" t="n"/>
      <c r="F59" s="27" t="n"/>
      <c r="G59" s="14" t="n"/>
      <c r="H59" s="28" t="n"/>
      <c r="I59" s="14" t="n"/>
      <c r="J59" s="36" t="n"/>
      <c r="K59" s="22">
        <f>IF($A59="","",IF(AND($H59="Open",ISNUMBER($G59)),IF($G59&lt;Dashboard!$B$16,"△ Overdue, was due "&amp;TEXT($G59,"d mmm yyyy"),"Open, due "&amp;TEXT($G59,"d mmm yyyy")),$H59&amp;""))</f>
        <v/>
      </c>
      <c r="L59" s="22">
        <f>IF($A59="","",IF($M59=1,"△ Needs one owner and a date",IF($N59=1,"△ Overdue, was due "&amp;TEXT($G59,"d mmm yyyy"),IF($O59=1,"△ Moved "&amp;$J59&amp;" times","○ Clear"))))</f>
        <v/>
      </c>
      <c r="M59" s="9">
        <f>IF($A59="",0,IF(OR($H59="Done",$H59="Dropped"),0,IF(OR($F59="",AND($B59="Action",NOT(ISNUMBER($G59))),LEN($F59)-LEN(SUBSTITUTE($F59,"(",""))&gt;=2,ISNUMBER(SEARCH(" and ",$Q59)),ISNUMBER(FIND("/",$Q59)),ISNUMBER(FIND("&amp;",$Q59)),ISNUMBER(FIND(",",$Q59))),1,0)))</f>
        <v/>
      </c>
      <c r="N59" s="9">
        <f>IF($A59="",0,IF(AND($H59="Open",ISNUMBER($G59)),IF($G59&lt;Dashboard!$B$16,1,0),0))</f>
        <v/>
      </c>
      <c r="O59" s="9">
        <f>IF($A59="",0,IF(AND($H59="Open",ISNUMBER($J59)),IF($J59&gt;=Dashboard!$H$9,1,0),0))</f>
        <v/>
      </c>
      <c r="P59" s="9">
        <f>IF($M59+$N59+$O59&gt;0,1,0)</f>
        <v/>
      </c>
      <c r="Q59" s="9">
        <f>LEFT($F59,IFERROR(FIND("(",$F59)-1,LEN($F59)))</f>
        <v/>
      </c>
    </row>
    <row r="60" ht="18" customHeight="1">
      <c r="A60" s="28" t="n"/>
      <c r="B60" s="28" t="n"/>
      <c r="C60" s="28" t="n"/>
      <c r="D60" s="14" t="n"/>
      <c r="E60" s="27" t="n"/>
      <c r="F60" s="27" t="n"/>
      <c r="G60" s="14" t="n"/>
      <c r="H60" s="28" t="n"/>
      <c r="I60" s="14" t="n"/>
      <c r="J60" s="36" t="n"/>
      <c r="K60" s="22">
        <f>IF($A60="","",IF(AND($H60="Open",ISNUMBER($G60)),IF($G60&lt;Dashboard!$B$16,"△ Overdue, was due "&amp;TEXT($G60,"d mmm yyyy"),"Open, due "&amp;TEXT($G60,"d mmm yyyy")),$H60&amp;""))</f>
        <v/>
      </c>
      <c r="L60" s="22">
        <f>IF($A60="","",IF($M60=1,"△ Needs one owner and a date",IF($N60=1,"△ Overdue, was due "&amp;TEXT($G60,"d mmm yyyy"),IF($O60=1,"△ Moved "&amp;$J60&amp;" times","○ Clear"))))</f>
        <v/>
      </c>
      <c r="M60" s="9">
        <f>IF($A60="",0,IF(OR($H60="Done",$H60="Dropped"),0,IF(OR($F60="",AND($B60="Action",NOT(ISNUMBER($G60))),LEN($F60)-LEN(SUBSTITUTE($F60,"(",""))&gt;=2,ISNUMBER(SEARCH(" and ",$Q60)),ISNUMBER(FIND("/",$Q60)),ISNUMBER(FIND("&amp;",$Q60)),ISNUMBER(FIND(",",$Q60))),1,0)))</f>
        <v/>
      </c>
      <c r="N60" s="9">
        <f>IF($A60="",0,IF(AND($H60="Open",ISNUMBER($G60)),IF($G60&lt;Dashboard!$B$16,1,0),0))</f>
        <v/>
      </c>
      <c r="O60" s="9">
        <f>IF($A60="",0,IF(AND($H60="Open",ISNUMBER($J60)),IF($J60&gt;=Dashboard!$H$9,1,0),0))</f>
        <v/>
      </c>
      <c r="P60" s="9">
        <f>IF($M60+$N60+$O60&gt;0,1,0)</f>
        <v/>
      </c>
      <c r="Q60" s="9">
        <f>LEFT($F60,IFERROR(FIND("(",$F60)-1,LEN($F60)))</f>
        <v/>
      </c>
    </row>
    <row r="61" ht="18" customHeight="1">
      <c r="A61" s="28" t="n"/>
      <c r="B61" s="28" t="n"/>
      <c r="C61" s="28" t="n"/>
      <c r="D61" s="14" t="n"/>
      <c r="E61" s="27" t="n"/>
      <c r="F61" s="27" t="n"/>
      <c r="G61" s="14" t="n"/>
      <c r="H61" s="28" t="n"/>
      <c r="I61" s="14" t="n"/>
      <c r="J61" s="36" t="n"/>
      <c r="K61" s="22">
        <f>IF($A61="","",IF(AND($H61="Open",ISNUMBER($G61)),IF($G61&lt;Dashboard!$B$16,"△ Overdue, was due "&amp;TEXT($G61,"d mmm yyyy"),"Open, due "&amp;TEXT($G61,"d mmm yyyy")),$H61&amp;""))</f>
        <v/>
      </c>
      <c r="L61" s="22">
        <f>IF($A61="","",IF($M61=1,"△ Needs one owner and a date",IF($N61=1,"△ Overdue, was due "&amp;TEXT($G61,"d mmm yyyy"),IF($O61=1,"△ Moved "&amp;$J61&amp;" times","○ Clear"))))</f>
        <v/>
      </c>
      <c r="M61" s="9">
        <f>IF($A61="",0,IF(OR($H61="Done",$H61="Dropped"),0,IF(OR($F61="",AND($B61="Action",NOT(ISNUMBER($G61))),LEN($F61)-LEN(SUBSTITUTE($F61,"(",""))&gt;=2,ISNUMBER(SEARCH(" and ",$Q61)),ISNUMBER(FIND("/",$Q61)),ISNUMBER(FIND("&amp;",$Q61)),ISNUMBER(FIND(",",$Q61))),1,0)))</f>
        <v/>
      </c>
      <c r="N61" s="9">
        <f>IF($A61="",0,IF(AND($H61="Open",ISNUMBER($G61)),IF($G61&lt;Dashboard!$B$16,1,0),0))</f>
        <v/>
      </c>
      <c r="O61" s="9">
        <f>IF($A61="",0,IF(AND($H61="Open",ISNUMBER($J61)),IF($J61&gt;=Dashboard!$H$9,1,0),0))</f>
        <v/>
      </c>
      <c r="P61" s="9">
        <f>IF($M61+$N61+$O61&gt;0,1,0)</f>
        <v/>
      </c>
      <c r="Q61" s="9">
        <f>LEFT($F61,IFERROR(FIND("(",$F61)-1,LEN($F61)))</f>
        <v/>
      </c>
    </row>
    <row r="62" ht="18" customHeight="1">
      <c r="A62" s="28" t="n"/>
      <c r="B62" s="28" t="n"/>
      <c r="C62" s="28" t="n"/>
      <c r="D62" s="14" t="n"/>
      <c r="E62" s="27" t="n"/>
      <c r="F62" s="27" t="n"/>
      <c r="G62" s="14" t="n"/>
      <c r="H62" s="28" t="n"/>
      <c r="I62" s="14" t="n"/>
      <c r="J62" s="36" t="n"/>
      <c r="K62" s="22">
        <f>IF($A62="","",IF(AND($H62="Open",ISNUMBER($G62)),IF($G62&lt;Dashboard!$B$16,"△ Overdue, was due "&amp;TEXT($G62,"d mmm yyyy"),"Open, due "&amp;TEXT($G62,"d mmm yyyy")),$H62&amp;""))</f>
        <v/>
      </c>
      <c r="L62" s="22">
        <f>IF($A62="","",IF($M62=1,"△ Needs one owner and a date",IF($N62=1,"△ Overdue, was due "&amp;TEXT($G62,"d mmm yyyy"),IF($O62=1,"△ Moved "&amp;$J62&amp;" times","○ Clear"))))</f>
        <v/>
      </c>
      <c r="M62" s="9">
        <f>IF($A62="",0,IF(OR($H62="Done",$H62="Dropped"),0,IF(OR($F62="",AND($B62="Action",NOT(ISNUMBER($G62))),LEN($F62)-LEN(SUBSTITUTE($F62,"(",""))&gt;=2,ISNUMBER(SEARCH(" and ",$Q62)),ISNUMBER(FIND("/",$Q62)),ISNUMBER(FIND("&amp;",$Q62)),ISNUMBER(FIND(",",$Q62))),1,0)))</f>
        <v/>
      </c>
      <c r="N62" s="9">
        <f>IF($A62="",0,IF(AND($H62="Open",ISNUMBER($G62)),IF($G62&lt;Dashboard!$B$16,1,0),0))</f>
        <v/>
      </c>
      <c r="O62" s="9">
        <f>IF($A62="",0,IF(AND($H62="Open",ISNUMBER($J62)),IF($J62&gt;=Dashboard!$H$9,1,0),0))</f>
        <v/>
      </c>
      <c r="P62" s="9">
        <f>IF($M62+$N62+$O62&gt;0,1,0)</f>
        <v/>
      </c>
      <c r="Q62" s="9">
        <f>LEFT($F62,IFERROR(FIND("(",$F62)-1,LEN($F62)))</f>
        <v/>
      </c>
    </row>
    <row r="63" ht="18" customHeight="1">
      <c r="A63" s="28" t="n"/>
      <c r="B63" s="28" t="n"/>
      <c r="C63" s="28" t="n"/>
      <c r="D63" s="14" t="n"/>
      <c r="E63" s="27" t="n"/>
      <c r="F63" s="27" t="n"/>
      <c r="G63" s="14" t="n"/>
      <c r="H63" s="28" t="n"/>
      <c r="I63" s="14" t="n"/>
      <c r="J63" s="36" t="n"/>
      <c r="K63" s="22">
        <f>IF($A63="","",IF(AND($H63="Open",ISNUMBER($G63)),IF($G63&lt;Dashboard!$B$16,"△ Overdue, was due "&amp;TEXT($G63,"d mmm yyyy"),"Open, due "&amp;TEXT($G63,"d mmm yyyy")),$H63&amp;""))</f>
        <v/>
      </c>
      <c r="L63" s="22">
        <f>IF($A63="","",IF($M63=1,"△ Needs one owner and a date",IF($N63=1,"△ Overdue, was due "&amp;TEXT($G63,"d mmm yyyy"),IF($O63=1,"△ Moved "&amp;$J63&amp;" times","○ Clear"))))</f>
        <v/>
      </c>
      <c r="M63" s="9">
        <f>IF($A63="",0,IF(OR($H63="Done",$H63="Dropped"),0,IF(OR($F63="",AND($B63="Action",NOT(ISNUMBER($G63))),LEN($F63)-LEN(SUBSTITUTE($F63,"(",""))&gt;=2,ISNUMBER(SEARCH(" and ",$Q63)),ISNUMBER(FIND("/",$Q63)),ISNUMBER(FIND("&amp;",$Q63)),ISNUMBER(FIND(",",$Q63))),1,0)))</f>
        <v/>
      </c>
      <c r="N63" s="9">
        <f>IF($A63="",0,IF(AND($H63="Open",ISNUMBER($G63)),IF($G63&lt;Dashboard!$B$16,1,0),0))</f>
        <v/>
      </c>
      <c r="O63" s="9">
        <f>IF($A63="",0,IF(AND($H63="Open",ISNUMBER($J63)),IF($J63&gt;=Dashboard!$H$9,1,0),0))</f>
        <v/>
      </c>
      <c r="P63" s="9">
        <f>IF($M63+$N63+$O63&gt;0,1,0)</f>
        <v/>
      </c>
      <c r="Q63" s="9">
        <f>LEFT($F63,IFERROR(FIND("(",$F63)-1,LEN($F63)))</f>
        <v/>
      </c>
    </row>
    <row r="64" ht="18" customHeight="1">
      <c r="A64" s="28" t="n"/>
      <c r="B64" s="28" t="n"/>
      <c r="C64" s="28" t="n"/>
      <c r="D64" s="14" t="n"/>
      <c r="E64" s="27" t="n"/>
      <c r="F64" s="27" t="n"/>
      <c r="G64" s="14" t="n"/>
      <c r="H64" s="28" t="n"/>
      <c r="I64" s="14" t="n"/>
      <c r="J64" s="36" t="n"/>
      <c r="K64" s="22">
        <f>IF($A64="","",IF(AND($H64="Open",ISNUMBER($G64)),IF($G64&lt;Dashboard!$B$16,"△ Overdue, was due "&amp;TEXT($G64,"d mmm yyyy"),"Open, due "&amp;TEXT($G64,"d mmm yyyy")),$H64&amp;""))</f>
        <v/>
      </c>
      <c r="L64" s="22">
        <f>IF($A64="","",IF($M64=1,"△ Needs one owner and a date",IF($N64=1,"△ Overdue, was due "&amp;TEXT($G64,"d mmm yyyy"),IF($O64=1,"△ Moved "&amp;$J64&amp;" times","○ Clear"))))</f>
        <v/>
      </c>
      <c r="M64" s="9">
        <f>IF($A64="",0,IF(OR($H64="Done",$H64="Dropped"),0,IF(OR($F64="",AND($B64="Action",NOT(ISNUMBER($G64))),LEN($F64)-LEN(SUBSTITUTE($F64,"(",""))&gt;=2,ISNUMBER(SEARCH(" and ",$Q64)),ISNUMBER(FIND("/",$Q64)),ISNUMBER(FIND("&amp;",$Q64)),ISNUMBER(FIND(",",$Q64))),1,0)))</f>
        <v/>
      </c>
      <c r="N64" s="9">
        <f>IF($A64="",0,IF(AND($H64="Open",ISNUMBER($G64)),IF($G64&lt;Dashboard!$B$16,1,0),0))</f>
        <v/>
      </c>
      <c r="O64" s="9">
        <f>IF($A64="",0,IF(AND($H64="Open",ISNUMBER($J64)),IF($J64&gt;=Dashboard!$H$9,1,0),0))</f>
        <v/>
      </c>
      <c r="P64" s="9">
        <f>IF($M64+$N64+$O64&gt;0,1,0)</f>
        <v/>
      </c>
      <c r="Q64" s="9">
        <f>LEFT($F64,IFERROR(FIND("(",$F64)-1,LEN($F64)))</f>
        <v/>
      </c>
    </row>
    <row r="65" ht="18" customHeight="1">
      <c r="A65" s="28" t="n"/>
      <c r="B65" s="28" t="n"/>
      <c r="C65" s="28" t="n"/>
      <c r="D65" s="14" t="n"/>
      <c r="E65" s="27" t="n"/>
      <c r="F65" s="27" t="n"/>
      <c r="G65" s="14" t="n"/>
      <c r="H65" s="28" t="n"/>
      <c r="I65" s="14" t="n"/>
      <c r="J65" s="36" t="n"/>
      <c r="K65" s="22">
        <f>IF($A65="","",IF(AND($H65="Open",ISNUMBER($G65)),IF($G65&lt;Dashboard!$B$16,"△ Overdue, was due "&amp;TEXT($G65,"d mmm yyyy"),"Open, due "&amp;TEXT($G65,"d mmm yyyy")),$H65&amp;""))</f>
        <v/>
      </c>
      <c r="L65" s="22">
        <f>IF($A65="","",IF($M65=1,"△ Needs one owner and a date",IF($N65=1,"△ Overdue, was due "&amp;TEXT($G65,"d mmm yyyy"),IF($O65=1,"△ Moved "&amp;$J65&amp;" times","○ Clear"))))</f>
        <v/>
      </c>
      <c r="M65" s="9">
        <f>IF($A65="",0,IF(OR($H65="Done",$H65="Dropped"),0,IF(OR($F65="",AND($B65="Action",NOT(ISNUMBER($G65))),LEN($F65)-LEN(SUBSTITUTE($F65,"(",""))&gt;=2,ISNUMBER(SEARCH(" and ",$Q65)),ISNUMBER(FIND("/",$Q65)),ISNUMBER(FIND("&amp;",$Q65)),ISNUMBER(FIND(",",$Q65))),1,0)))</f>
        <v/>
      </c>
      <c r="N65" s="9">
        <f>IF($A65="",0,IF(AND($H65="Open",ISNUMBER($G65)),IF($G65&lt;Dashboard!$B$16,1,0),0))</f>
        <v/>
      </c>
      <c r="O65" s="9">
        <f>IF($A65="",0,IF(AND($H65="Open",ISNUMBER($J65)),IF($J65&gt;=Dashboard!$H$9,1,0),0))</f>
        <v/>
      </c>
      <c r="P65" s="9">
        <f>IF($M65+$N65+$O65&gt;0,1,0)</f>
        <v/>
      </c>
      <c r="Q65" s="9">
        <f>LEFT($F65,IFERROR(FIND("(",$F65)-1,LEN($F65)))</f>
        <v/>
      </c>
    </row>
    <row r="66" ht="18" customHeight="1">
      <c r="A66" s="28" t="n"/>
      <c r="B66" s="28" t="n"/>
      <c r="C66" s="28" t="n"/>
      <c r="D66" s="14" t="n"/>
      <c r="E66" s="27" t="n"/>
      <c r="F66" s="27" t="n"/>
      <c r="G66" s="14" t="n"/>
      <c r="H66" s="28" t="n"/>
      <c r="I66" s="14" t="n"/>
      <c r="J66" s="36" t="n"/>
      <c r="K66" s="22">
        <f>IF($A66="","",IF(AND($H66="Open",ISNUMBER($G66)),IF($G66&lt;Dashboard!$B$16,"△ Overdue, was due "&amp;TEXT($G66,"d mmm yyyy"),"Open, due "&amp;TEXT($G66,"d mmm yyyy")),$H66&amp;""))</f>
        <v/>
      </c>
      <c r="L66" s="22">
        <f>IF($A66="","",IF($M66=1,"△ Needs one owner and a date",IF($N66=1,"△ Overdue, was due "&amp;TEXT($G66,"d mmm yyyy"),IF($O66=1,"△ Moved "&amp;$J66&amp;" times","○ Clear"))))</f>
        <v/>
      </c>
      <c r="M66" s="9">
        <f>IF($A66="",0,IF(OR($H66="Done",$H66="Dropped"),0,IF(OR($F66="",AND($B66="Action",NOT(ISNUMBER($G66))),LEN($F66)-LEN(SUBSTITUTE($F66,"(",""))&gt;=2,ISNUMBER(SEARCH(" and ",$Q66)),ISNUMBER(FIND("/",$Q66)),ISNUMBER(FIND("&amp;",$Q66)),ISNUMBER(FIND(",",$Q66))),1,0)))</f>
        <v/>
      </c>
      <c r="N66" s="9">
        <f>IF($A66="",0,IF(AND($H66="Open",ISNUMBER($G66)),IF($G66&lt;Dashboard!$B$16,1,0),0))</f>
        <v/>
      </c>
      <c r="O66" s="9">
        <f>IF($A66="",0,IF(AND($H66="Open",ISNUMBER($J66)),IF($J66&gt;=Dashboard!$H$9,1,0),0))</f>
        <v/>
      </c>
      <c r="P66" s="9">
        <f>IF($M66+$N66+$O66&gt;0,1,0)</f>
        <v/>
      </c>
      <c r="Q66" s="9">
        <f>LEFT($F66,IFERROR(FIND("(",$F66)-1,LEN($F66)))</f>
        <v/>
      </c>
    </row>
    <row r="67" ht="18" customHeight="1">
      <c r="A67" s="28" t="n"/>
      <c r="B67" s="28" t="n"/>
      <c r="C67" s="28" t="n"/>
      <c r="D67" s="14" t="n"/>
      <c r="E67" s="27" t="n"/>
      <c r="F67" s="27" t="n"/>
      <c r="G67" s="14" t="n"/>
      <c r="H67" s="28" t="n"/>
      <c r="I67" s="14" t="n"/>
      <c r="J67" s="36" t="n"/>
      <c r="K67" s="22">
        <f>IF($A67="","",IF(AND($H67="Open",ISNUMBER($G67)),IF($G67&lt;Dashboard!$B$16,"△ Overdue, was due "&amp;TEXT($G67,"d mmm yyyy"),"Open, due "&amp;TEXT($G67,"d mmm yyyy")),$H67&amp;""))</f>
        <v/>
      </c>
      <c r="L67" s="22">
        <f>IF($A67="","",IF($M67=1,"△ Needs one owner and a date",IF($N67=1,"△ Overdue, was due "&amp;TEXT($G67,"d mmm yyyy"),IF($O67=1,"△ Moved "&amp;$J67&amp;" times","○ Clear"))))</f>
        <v/>
      </c>
      <c r="M67" s="9">
        <f>IF($A67="",0,IF(OR($H67="Done",$H67="Dropped"),0,IF(OR($F67="",AND($B67="Action",NOT(ISNUMBER($G67))),LEN($F67)-LEN(SUBSTITUTE($F67,"(",""))&gt;=2,ISNUMBER(SEARCH(" and ",$Q67)),ISNUMBER(FIND("/",$Q67)),ISNUMBER(FIND("&amp;",$Q67)),ISNUMBER(FIND(",",$Q67))),1,0)))</f>
        <v/>
      </c>
      <c r="N67" s="9">
        <f>IF($A67="",0,IF(AND($H67="Open",ISNUMBER($G67)),IF($G67&lt;Dashboard!$B$16,1,0),0))</f>
        <v/>
      </c>
      <c r="O67" s="9">
        <f>IF($A67="",0,IF(AND($H67="Open",ISNUMBER($J67)),IF($J67&gt;=Dashboard!$H$9,1,0),0))</f>
        <v/>
      </c>
      <c r="P67" s="9">
        <f>IF($M67+$N67+$O67&gt;0,1,0)</f>
        <v/>
      </c>
      <c r="Q67" s="9">
        <f>LEFT($F67,IFERROR(FIND("(",$F67)-1,LEN($F67)))</f>
        <v/>
      </c>
    </row>
    <row r="68" ht="18" customHeight="1">
      <c r="A68" s="28" t="n"/>
      <c r="B68" s="28" t="n"/>
      <c r="C68" s="28" t="n"/>
      <c r="D68" s="14" t="n"/>
      <c r="E68" s="27" t="n"/>
      <c r="F68" s="27" t="n"/>
      <c r="G68" s="14" t="n"/>
      <c r="H68" s="28" t="n"/>
      <c r="I68" s="14" t="n"/>
      <c r="J68" s="36" t="n"/>
      <c r="K68" s="22">
        <f>IF($A68="","",IF(AND($H68="Open",ISNUMBER($G68)),IF($G68&lt;Dashboard!$B$16,"△ Overdue, was due "&amp;TEXT($G68,"d mmm yyyy"),"Open, due "&amp;TEXT($G68,"d mmm yyyy")),$H68&amp;""))</f>
        <v/>
      </c>
      <c r="L68" s="22">
        <f>IF($A68="","",IF($M68=1,"△ Needs one owner and a date",IF($N68=1,"△ Overdue, was due "&amp;TEXT($G68,"d mmm yyyy"),IF($O68=1,"△ Moved "&amp;$J68&amp;" times","○ Clear"))))</f>
        <v/>
      </c>
      <c r="M68" s="9">
        <f>IF($A68="",0,IF(OR($H68="Done",$H68="Dropped"),0,IF(OR($F68="",AND($B68="Action",NOT(ISNUMBER($G68))),LEN($F68)-LEN(SUBSTITUTE($F68,"(",""))&gt;=2,ISNUMBER(SEARCH(" and ",$Q68)),ISNUMBER(FIND("/",$Q68)),ISNUMBER(FIND("&amp;",$Q68)),ISNUMBER(FIND(",",$Q68))),1,0)))</f>
        <v/>
      </c>
      <c r="N68" s="9">
        <f>IF($A68="",0,IF(AND($H68="Open",ISNUMBER($G68)),IF($G68&lt;Dashboard!$B$16,1,0),0))</f>
        <v/>
      </c>
      <c r="O68" s="9">
        <f>IF($A68="",0,IF(AND($H68="Open",ISNUMBER($J68)),IF($J68&gt;=Dashboard!$H$9,1,0),0))</f>
        <v/>
      </c>
      <c r="P68" s="9">
        <f>IF($M68+$N68+$O68&gt;0,1,0)</f>
        <v/>
      </c>
      <c r="Q68" s="9">
        <f>LEFT($F68,IFERROR(FIND("(",$F68)-1,LEN($F68)))</f>
        <v/>
      </c>
    </row>
    <row r="69" ht="18" customHeight="1">
      <c r="A69" s="28" t="n"/>
      <c r="B69" s="28" t="n"/>
      <c r="C69" s="28" t="n"/>
      <c r="D69" s="14" t="n"/>
      <c r="E69" s="27" t="n"/>
      <c r="F69" s="27" t="n"/>
      <c r="G69" s="14" t="n"/>
      <c r="H69" s="28" t="n"/>
      <c r="I69" s="14" t="n"/>
      <c r="J69" s="36" t="n"/>
      <c r="K69" s="22">
        <f>IF($A69="","",IF(AND($H69="Open",ISNUMBER($G69)),IF($G69&lt;Dashboard!$B$16,"△ Overdue, was due "&amp;TEXT($G69,"d mmm yyyy"),"Open, due "&amp;TEXT($G69,"d mmm yyyy")),$H69&amp;""))</f>
        <v/>
      </c>
      <c r="L69" s="22">
        <f>IF($A69="","",IF($M69=1,"△ Needs one owner and a date",IF($N69=1,"△ Overdue, was due "&amp;TEXT($G69,"d mmm yyyy"),IF($O69=1,"△ Moved "&amp;$J69&amp;" times","○ Clear"))))</f>
        <v/>
      </c>
      <c r="M69" s="9">
        <f>IF($A69="",0,IF(OR($H69="Done",$H69="Dropped"),0,IF(OR($F69="",AND($B69="Action",NOT(ISNUMBER($G69))),LEN($F69)-LEN(SUBSTITUTE($F69,"(",""))&gt;=2,ISNUMBER(SEARCH(" and ",$Q69)),ISNUMBER(FIND("/",$Q69)),ISNUMBER(FIND("&amp;",$Q69)),ISNUMBER(FIND(",",$Q69))),1,0)))</f>
        <v/>
      </c>
      <c r="N69" s="9">
        <f>IF($A69="",0,IF(AND($H69="Open",ISNUMBER($G69)),IF($G69&lt;Dashboard!$B$16,1,0),0))</f>
        <v/>
      </c>
      <c r="O69" s="9">
        <f>IF($A69="",0,IF(AND($H69="Open",ISNUMBER($J69)),IF($J69&gt;=Dashboard!$H$9,1,0),0))</f>
        <v/>
      </c>
      <c r="P69" s="9">
        <f>IF($M69+$N69+$O69&gt;0,1,0)</f>
        <v/>
      </c>
      <c r="Q69" s="9">
        <f>LEFT($F69,IFERROR(FIND("(",$F69)-1,LEN($F69)))</f>
        <v/>
      </c>
    </row>
    <row r="70" ht="18" customHeight="1">
      <c r="A70" s="28" t="n"/>
      <c r="B70" s="28" t="n"/>
      <c r="C70" s="28" t="n"/>
      <c r="D70" s="14" t="n"/>
      <c r="E70" s="27" t="n"/>
      <c r="F70" s="27" t="n"/>
      <c r="G70" s="14" t="n"/>
      <c r="H70" s="28" t="n"/>
      <c r="I70" s="14" t="n"/>
      <c r="J70" s="36" t="n"/>
      <c r="K70" s="22">
        <f>IF($A70="","",IF(AND($H70="Open",ISNUMBER($G70)),IF($G70&lt;Dashboard!$B$16,"△ Overdue, was due "&amp;TEXT($G70,"d mmm yyyy"),"Open, due "&amp;TEXT($G70,"d mmm yyyy")),$H70&amp;""))</f>
        <v/>
      </c>
      <c r="L70" s="22">
        <f>IF($A70="","",IF($M70=1,"△ Needs one owner and a date",IF($N70=1,"△ Overdue, was due "&amp;TEXT($G70,"d mmm yyyy"),IF($O70=1,"△ Moved "&amp;$J70&amp;" times","○ Clear"))))</f>
        <v/>
      </c>
      <c r="M70" s="9">
        <f>IF($A70="",0,IF(OR($H70="Done",$H70="Dropped"),0,IF(OR($F70="",AND($B70="Action",NOT(ISNUMBER($G70))),LEN($F70)-LEN(SUBSTITUTE($F70,"(",""))&gt;=2,ISNUMBER(SEARCH(" and ",$Q70)),ISNUMBER(FIND("/",$Q70)),ISNUMBER(FIND("&amp;",$Q70)),ISNUMBER(FIND(",",$Q70))),1,0)))</f>
        <v/>
      </c>
      <c r="N70" s="9">
        <f>IF($A70="",0,IF(AND($H70="Open",ISNUMBER($G70)),IF($G70&lt;Dashboard!$B$16,1,0),0))</f>
        <v/>
      </c>
      <c r="O70" s="9">
        <f>IF($A70="",0,IF(AND($H70="Open",ISNUMBER($J70)),IF($J70&gt;=Dashboard!$H$9,1,0),0))</f>
        <v/>
      </c>
      <c r="P70" s="9">
        <f>IF($M70+$N70+$O70&gt;0,1,0)</f>
        <v/>
      </c>
      <c r="Q70" s="9">
        <f>LEFT($F70,IFERROR(FIND("(",$F70)-1,LEN($F70)))</f>
        <v/>
      </c>
    </row>
    <row r="71" ht="18" customHeight="1">
      <c r="A71" s="28" t="n"/>
      <c r="B71" s="28" t="n"/>
      <c r="C71" s="28" t="n"/>
      <c r="D71" s="14" t="n"/>
      <c r="E71" s="27" t="n"/>
      <c r="F71" s="27" t="n"/>
      <c r="G71" s="14" t="n"/>
      <c r="H71" s="28" t="n"/>
      <c r="I71" s="14" t="n"/>
      <c r="J71" s="36" t="n"/>
      <c r="K71" s="22">
        <f>IF($A71="","",IF(AND($H71="Open",ISNUMBER($G71)),IF($G71&lt;Dashboard!$B$16,"△ Overdue, was due "&amp;TEXT($G71,"d mmm yyyy"),"Open, due "&amp;TEXT($G71,"d mmm yyyy")),$H71&amp;""))</f>
        <v/>
      </c>
      <c r="L71" s="22">
        <f>IF($A71="","",IF($M71=1,"△ Needs one owner and a date",IF($N71=1,"△ Overdue, was due "&amp;TEXT($G71,"d mmm yyyy"),IF($O71=1,"△ Moved "&amp;$J71&amp;" times","○ Clear"))))</f>
        <v/>
      </c>
      <c r="M71" s="9">
        <f>IF($A71="",0,IF(OR($H71="Done",$H71="Dropped"),0,IF(OR($F71="",AND($B71="Action",NOT(ISNUMBER($G71))),LEN($F71)-LEN(SUBSTITUTE($F71,"(",""))&gt;=2,ISNUMBER(SEARCH(" and ",$Q71)),ISNUMBER(FIND("/",$Q71)),ISNUMBER(FIND("&amp;",$Q71)),ISNUMBER(FIND(",",$Q71))),1,0)))</f>
        <v/>
      </c>
      <c r="N71" s="9">
        <f>IF($A71="",0,IF(AND($H71="Open",ISNUMBER($G71)),IF($G71&lt;Dashboard!$B$16,1,0),0))</f>
        <v/>
      </c>
      <c r="O71" s="9">
        <f>IF($A71="",0,IF(AND($H71="Open",ISNUMBER($J71)),IF($J71&gt;=Dashboard!$H$9,1,0),0))</f>
        <v/>
      </c>
      <c r="P71" s="9">
        <f>IF($M71+$N71+$O71&gt;0,1,0)</f>
        <v/>
      </c>
      <c r="Q71" s="9">
        <f>LEFT($F71,IFERROR(FIND("(",$F71)-1,LEN($F71)))</f>
        <v/>
      </c>
    </row>
    <row r="72" ht="18" customHeight="1">
      <c r="A72" s="28" t="n"/>
      <c r="B72" s="28" t="n"/>
      <c r="C72" s="28" t="n"/>
      <c r="D72" s="14" t="n"/>
      <c r="E72" s="27" t="n"/>
      <c r="F72" s="27" t="n"/>
      <c r="G72" s="14" t="n"/>
      <c r="H72" s="28" t="n"/>
      <c r="I72" s="14" t="n"/>
      <c r="J72" s="36" t="n"/>
      <c r="K72" s="22">
        <f>IF($A72="","",IF(AND($H72="Open",ISNUMBER($G72)),IF($G72&lt;Dashboard!$B$16,"△ Overdue, was due "&amp;TEXT($G72,"d mmm yyyy"),"Open, due "&amp;TEXT($G72,"d mmm yyyy")),$H72&amp;""))</f>
        <v/>
      </c>
      <c r="L72" s="22">
        <f>IF($A72="","",IF($M72=1,"△ Needs one owner and a date",IF($N72=1,"△ Overdue, was due "&amp;TEXT($G72,"d mmm yyyy"),IF($O72=1,"△ Moved "&amp;$J72&amp;" times","○ Clear"))))</f>
        <v/>
      </c>
      <c r="M72" s="9">
        <f>IF($A72="",0,IF(OR($H72="Done",$H72="Dropped"),0,IF(OR($F72="",AND($B72="Action",NOT(ISNUMBER($G72))),LEN($F72)-LEN(SUBSTITUTE($F72,"(",""))&gt;=2,ISNUMBER(SEARCH(" and ",$Q72)),ISNUMBER(FIND("/",$Q72)),ISNUMBER(FIND("&amp;",$Q72)),ISNUMBER(FIND(",",$Q72))),1,0)))</f>
        <v/>
      </c>
      <c r="N72" s="9">
        <f>IF($A72="",0,IF(AND($H72="Open",ISNUMBER($G72)),IF($G72&lt;Dashboard!$B$16,1,0),0))</f>
        <v/>
      </c>
      <c r="O72" s="9">
        <f>IF($A72="",0,IF(AND($H72="Open",ISNUMBER($J72)),IF($J72&gt;=Dashboard!$H$9,1,0),0))</f>
        <v/>
      </c>
      <c r="P72" s="9">
        <f>IF($M72+$N72+$O72&gt;0,1,0)</f>
        <v/>
      </c>
      <c r="Q72" s="9">
        <f>LEFT($F72,IFERROR(FIND("(",$F72)-1,LEN($F72)))</f>
        <v/>
      </c>
    </row>
    <row r="73" ht="18" customHeight="1">
      <c r="A73" s="28" t="n"/>
      <c r="B73" s="28" t="n"/>
      <c r="C73" s="28" t="n"/>
      <c r="D73" s="14" t="n"/>
      <c r="E73" s="27" t="n"/>
      <c r="F73" s="27" t="n"/>
      <c r="G73" s="14" t="n"/>
      <c r="H73" s="28" t="n"/>
      <c r="I73" s="14" t="n"/>
      <c r="J73" s="36" t="n"/>
      <c r="K73" s="22">
        <f>IF($A73="","",IF(AND($H73="Open",ISNUMBER($G73)),IF($G73&lt;Dashboard!$B$16,"△ Overdue, was due "&amp;TEXT($G73,"d mmm yyyy"),"Open, due "&amp;TEXT($G73,"d mmm yyyy")),$H73&amp;""))</f>
        <v/>
      </c>
      <c r="L73" s="22">
        <f>IF($A73="","",IF($M73=1,"△ Needs one owner and a date",IF($N73=1,"△ Overdue, was due "&amp;TEXT($G73,"d mmm yyyy"),IF($O73=1,"△ Moved "&amp;$J73&amp;" times","○ Clear"))))</f>
        <v/>
      </c>
      <c r="M73" s="9">
        <f>IF($A73="",0,IF(OR($H73="Done",$H73="Dropped"),0,IF(OR($F73="",AND($B73="Action",NOT(ISNUMBER($G73))),LEN($F73)-LEN(SUBSTITUTE($F73,"(",""))&gt;=2,ISNUMBER(SEARCH(" and ",$Q73)),ISNUMBER(FIND("/",$Q73)),ISNUMBER(FIND("&amp;",$Q73)),ISNUMBER(FIND(",",$Q73))),1,0)))</f>
        <v/>
      </c>
      <c r="N73" s="9">
        <f>IF($A73="",0,IF(AND($H73="Open",ISNUMBER($G73)),IF($G73&lt;Dashboard!$B$16,1,0),0))</f>
        <v/>
      </c>
      <c r="O73" s="9">
        <f>IF($A73="",0,IF(AND($H73="Open",ISNUMBER($J73)),IF($J73&gt;=Dashboard!$H$9,1,0),0))</f>
        <v/>
      </c>
      <c r="P73" s="9">
        <f>IF($M73+$N73+$O73&gt;0,1,0)</f>
        <v/>
      </c>
      <c r="Q73" s="9">
        <f>LEFT($F73,IFERROR(FIND("(",$F73)-1,LEN($F73)))</f>
        <v/>
      </c>
    </row>
    <row r="74" ht="18" customHeight="1">
      <c r="A74" s="28" t="n"/>
      <c r="B74" s="28" t="n"/>
      <c r="C74" s="28" t="n"/>
      <c r="D74" s="14" t="n"/>
      <c r="E74" s="27" t="n"/>
      <c r="F74" s="27" t="n"/>
      <c r="G74" s="14" t="n"/>
      <c r="H74" s="28" t="n"/>
      <c r="I74" s="14" t="n"/>
      <c r="J74" s="36" t="n"/>
      <c r="K74" s="22">
        <f>IF($A74="","",IF(AND($H74="Open",ISNUMBER($G74)),IF($G74&lt;Dashboard!$B$16,"△ Overdue, was due "&amp;TEXT($G74,"d mmm yyyy"),"Open, due "&amp;TEXT($G74,"d mmm yyyy")),$H74&amp;""))</f>
        <v/>
      </c>
      <c r="L74" s="22">
        <f>IF($A74="","",IF($M74=1,"△ Needs one owner and a date",IF($N74=1,"△ Overdue, was due "&amp;TEXT($G74,"d mmm yyyy"),IF($O74=1,"△ Moved "&amp;$J74&amp;" times","○ Clear"))))</f>
        <v/>
      </c>
      <c r="M74" s="9">
        <f>IF($A74="",0,IF(OR($H74="Done",$H74="Dropped"),0,IF(OR($F74="",AND($B74="Action",NOT(ISNUMBER($G74))),LEN($F74)-LEN(SUBSTITUTE($F74,"(",""))&gt;=2,ISNUMBER(SEARCH(" and ",$Q74)),ISNUMBER(FIND("/",$Q74)),ISNUMBER(FIND("&amp;",$Q74)),ISNUMBER(FIND(",",$Q74))),1,0)))</f>
        <v/>
      </c>
      <c r="N74" s="9">
        <f>IF($A74="",0,IF(AND($H74="Open",ISNUMBER($G74)),IF($G74&lt;Dashboard!$B$16,1,0),0))</f>
        <v/>
      </c>
      <c r="O74" s="9">
        <f>IF($A74="",0,IF(AND($H74="Open",ISNUMBER($J74)),IF($J74&gt;=Dashboard!$H$9,1,0),0))</f>
        <v/>
      </c>
      <c r="P74" s="9">
        <f>IF($M74+$N74+$O74&gt;0,1,0)</f>
        <v/>
      </c>
      <c r="Q74" s="9">
        <f>LEFT($F74,IFERROR(FIND("(",$F74)-1,LEN($F74)))</f>
        <v/>
      </c>
    </row>
    <row r="75" ht="18" customHeight="1">
      <c r="A75" s="28" t="n"/>
      <c r="B75" s="28" t="n"/>
      <c r="C75" s="28" t="n"/>
      <c r="D75" s="14" t="n"/>
      <c r="E75" s="27" t="n"/>
      <c r="F75" s="27" t="n"/>
      <c r="G75" s="14" t="n"/>
      <c r="H75" s="28" t="n"/>
      <c r="I75" s="14" t="n"/>
      <c r="J75" s="36" t="n"/>
      <c r="K75" s="22">
        <f>IF($A75="","",IF(AND($H75="Open",ISNUMBER($G75)),IF($G75&lt;Dashboard!$B$16,"△ Overdue, was due "&amp;TEXT($G75,"d mmm yyyy"),"Open, due "&amp;TEXT($G75,"d mmm yyyy")),$H75&amp;""))</f>
        <v/>
      </c>
      <c r="L75" s="22">
        <f>IF($A75="","",IF($M75=1,"△ Needs one owner and a date",IF($N75=1,"△ Overdue, was due "&amp;TEXT($G75,"d mmm yyyy"),IF($O75=1,"△ Moved "&amp;$J75&amp;" times","○ Clear"))))</f>
        <v/>
      </c>
      <c r="M75" s="9">
        <f>IF($A75="",0,IF(OR($H75="Done",$H75="Dropped"),0,IF(OR($F75="",AND($B75="Action",NOT(ISNUMBER($G75))),LEN($F75)-LEN(SUBSTITUTE($F75,"(",""))&gt;=2,ISNUMBER(SEARCH(" and ",$Q75)),ISNUMBER(FIND("/",$Q75)),ISNUMBER(FIND("&amp;",$Q75)),ISNUMBER(FIND(",",$Q75))),1,0)))</f>
        <v/>
      </c>
      <c r="N75" s="9">
        <f>IF($A75="",0,IF(AND($H75="Open",ISNUMBER($G75)),IF($G75&lt;Dashboard!$B$16,1,0),0))</f>
        <v/>
      </c>
      <c r="O75" s="9">
        <f>IF($A75="",0,IF(AND($H75="Open",ISNUMBER($J75)),IF($J75&gt;=Dashboard!$H$9,1,0),0))</f>
        <v/>
      </c>
      <c r="P75" s="9">
        <f>IF($M75+$N75+$O75&gt;0,1,0)</f>
        <v/>
      </c>
      <c r="Q75" s="9">
        <f>LEFT($F75,IFERROR(FIND("(",$F75)-1,LEN($F75)))</f>
        <v/>
      </c>
    </row>
    <row r="76" ht="18" customHeight="1">
      <c r="A76" s="28" t="n"/>
      <c r="B76" s="28" t="n"/>
      <c r="C76" s="28" t="n"/>
      <c r="D76" s="14" t="n"/>
      <c r="E76" s="27" t="n"/>
      <c r="F76" s="27" t="n"/>
      <c r="G76" s="14" t="n"/>
      <c r="H76" s="28" t="n"/>
      <c r="I76" s="14" t="n"/>
      <c r="J76" s="36" t="n"/>
      <c r="K76" s="22">
        <f>IF($A76="","",IF(AND($H76="Open",ISNUMBER($G76)),IF($G76&lt;Dashboard!$B$16,"△ Overdue, was due "&amp;TEXT($G76,"d mmm yyyy"),"Open, due "&amp;TEXT($G76,"d mmm yyyy")),$H76&amp;""))</f>
        <v/>
      </c>
      <c r="L76" s="22">
        <f>IF($A76="","",IF($M76=1,"△ Needs one owner and a date",IF($N76=1,"△ Overdue, was due "&amp;TEXT($G76,"d mmm yyyy"),IF($O76=1,"△ Moved "&amp;$J76&amp;" times","○ Clear"))))</f>
        <v/>
      </c>
      <c r="M76" s="9">
        <f>IF($A76="",0,IF(OR($H76="Done",$H76="Dropped"),0,IF(OR($F76="",AND($B76="Action",NOT(ISNUMBER($G76))),LEN($F76)-LEN(SUBSTITUTE($F76,"(",""))&gt;=2,ISNUMBER(SEARCH(" and ",$Q76)),ISNUMBER(FIND("/",$Q76)),ISNUMBER(FIND("&amp;",$Q76)),ISNUMBER(FIND(",",$Q76))),1,0)))</f>
        <v/>
      </c>
      <c r="N76" s="9">
        <f>IF($A76="",0,IF(AND($H76="Open",ISNUMBER($G76)),IF($G76&lt;Dashboard!$B$16,1,0),0))</f>
        <v/>
      </c>
      <c r="O76" s="9">
        <f>IF($A76="",0,IF(AND($H76="Open",ISNUMBER($J76)),IF($J76&gt;=Dashboard!$H$9,1,0),0))</f>
        <v/>
      </c>
      <c r="P76" s="9">
        <f>IF($M76+$N76+$O76&gt;0,1,0)</f>
        <v/>
      </c>
      <c r="Q76" s="9">
        <f>LEFT($F76,IFERROR(FIND("(",$F76)-1,LEN($F76)))</f>
        <v/>
      </c>
    </row>
    <row r="77" ht="18" customHeight="1">
      <c r="A77" s="28" t="n"/>
      <c r="B77" s="28" t="n"/>
      <c r="C77" s="28" t="n"/>
      <c r="D77" s="14" t="n"/>
      <c r="E77" s="27" t="n"/>
      <c r="F77" s="27" t="n"/>
      <c r="G77" s="14" t="n"/>
      <c r="H77" s="28" t="n"/>
      <c r="I77" s="14" t="n"/>
      <c r="J77" s="36" t="n"/>
      <c r="K77" s="22">
        <f>IF($A77="","",IF(AND($H77="Open",ISNUMBER($G77)),IF($G77&lt;Dashboard!$B$16,"△ Overdue, was due "&amp;TEXT($G77,"d mmm yyyy"),"Open, due "&amp;TEXT($G77,"d mmm yyyy")),$H77&amp;""))</f>
        <v/>
      </c>
      <c r="L77" s="22">
        <f>IF($A77="","",IF($M77=1,"△ Needs one owner and a date",IF($N77=1,"△ Overdue, was due "&amp;TEXT($G77,"d mmm yyyy"),IF($O77=1,"△ Moved "&amp;$J77&amp;" times","○ Clear"))))</f>
        <v/>
      </c>
      <c r="M77" s="9">
        <f>IF($A77="",0,IF(OR($H77="Done",$H77="Dropped"),0,IF(OR($F77="",AND($B77="Action",NOT(ISNUMBER($G77))),LEN($F77)-LEN(SUBSTITUTE($F77,"(",""))&gt;=2,ISNUMBER(SEARCH(" and ",$Q77)),ISNUMBER(FIND("/",$Q77)),ISNUMBER(FIND("&amp;",$Q77)),ISNUMBER(FIND(",",$Q77))),1,0)))</f>
        <v/>
      </c>
      <c r="N77" s="9">
        <f>IF($A77="",0,IF(AND($H77="Open",ISNUMBER($G77)),IF($G77&lt;Dashboard!$B$16,1,0),0))</f>
        <v/>
      </c>
      <c r="O77" s="9">
        <f>IF($A77="",0,IF(AND($H77="Open",ISNUMBER($J77)),IF($J77&gt;=Dashboard!$H$9,1,0),0))</f>
        <v/>
      </c>
      <c r="P77" s="9">
        <f>IF($M77+$N77+$O77&gt;0,1,0)</f>
        <v/>
      </c>
      <c r="Q77" s="9">
        <f>LEFT($F77,IFERROR(FIND("(",$F77)-1,LEN($F77)))</f>
        <v/>
      </c>
    </row>
    <row r="78" ht="18" customHeight="1">
      <c r="A78" s="28" t="n"/>
      <c r="B78" s="28" t="n"/>
      <c r="C78" s="28" t="n"/>
      <c r="D78" s="14" t="n"/>
      <c r="E78" s="27" t="n"/>
      <c r="F78" s="27" t="n"/>
      <c r="G78" s="14" t="n"/>
      <c r="H78" s="28" t="n"/>
      <c r="I78" s="14" t="n"/>
      <c r="J78" s="36" t="n"/>
      <c r="K78" s="22">
        <f>IF($A78="","",IF(AND($H78="Open",ISNUMBER($G78)),IF($G78&lt;Dashboard!$B$16,"△ Overdue, was due "&amp;TEXT($G78,"d mmm yyyy"),"Open, due "&amp;TEXT($G78,"d mmm yyyy")),$H78&amp;""))</f>
        <v/>
      </c>
      <c r="L78" s="22">
        <f>IF($A78="","",IF($M78=1,"△ Needs one owner and a date",IF($N78=1,"△ Overdue, was due "&amp;TEXT($G78,"d mmm yyyy"),IF($O78=1,"△ Moved "&amp;$J78&amp;" times","○ Clear"))))</f>
        <v/>
      </c>
      <c r="M78" s="9">
        <f>IF($A78="",0,IF(OR($H78="Done",$H78="Dropped"),0,IF(OR($F78="",AND($B78="Action",NOT(ISNUMBER($G78))),LEN($F78)-LEN(SUBSTITUTE($F78,"(",""))&gt;=2,ISNUMBER(SEARCH(" and ",$Q78)),ISNUMBER(FIND("/",$Q78)),ISNUMBER(FIND("&amp;",$Q78)),ISNUMBER(FIND(",",$Q78))),1,0)))</f>
        <v/>
      </c>
      <c r="N78" s="9">
        <f>IF($A78="",0,IF(AND($H78="Open",ISNUMBER($G78)),IF($G78&lt;Dashboard!$B$16,1,0),0))</f>
        <v/>
      </c>
      <c r="O78" s="9">
        <f>IF($A78="",0,IF(AND($H78="Open",ISNUMBER($J78)),IF($J78&gt;=Dashboard!$H$9,1,0),0))</f>
        <v/>
      </c>
      <c r="P78" s="9">
        <f>IF($M78+$N78+$O78&gt;0,1,0)</f>
        <v/>
      </c>
      <c r="Q78" s="9">
        <f>LEFT($F78,IFERROR(FIND("(",$F78)-1,LEN($F78)))</f>
        <v/>
      </c>
    </row>
    <row r="79" ht="18" customHeight="1">
      <c r="A79" s="28" t="n"/>
      <c r="B79" s="28" t="n"/>
      <c r="C79" s="28" t="n"/>
      <c r="D79" s="14" t="n"/>
      <c r="E79" s="27" t="n"/>
      <c r="F79" s="27" t="n"/>
      <c r="G79" s="14" t="n"/>
      <c r="H79" s="28" t="n"/>
      <c r="I79" s="14" t="n"/>
      <c r="J79" s="36" t="n"/>
      <c r="K79" s="22">
        <f>IF($A79="","",IF(AND($H79="Open",ISNUMBER($G79)),IF($G79&lt;Dashboard!$B$16,"△ Overdue, was due "&amp;TEXT($G79,"d mmm yyyy"),"Open, due "&amp;TEXT($G79,"d mmm yyyy")),$H79&amp;""))</f>
        <v/>
      </c>
      <c r="L79" s="22">
        <f>IF($A79="","",IF($M79=1,"△ Needs one owner and a date",IF($N79=1,"△ Overdue, was due "&amp;TEXT($G79,"d mmm yyyy"),IF($O79=1,"△ Moved "&amp;$J79&amp;" times","○ Clear"))))</f>
        <v/>
      </c>
      <c r="M79" s="9">
        <f>IF($A79="",0,IF(OR($H79="Done",$H79="Dropped"),0,IF(OR($F79="",AND($B79="Action",NOT(ISNUMBER($G79))),LEN($F79)-LEN(SUBSTITUTE($F79,"(",""))&gt;=2,ISNUMBER(SEARCH(" and ",$Q79)),ISNUMBER(FIND("/",$Q79)),ISNUMBER(FIND("&amp;",$Q79)),ISNUMBER(FIND(",",$Q79))),1,0)))</f>
        <v/>
      </c>
      <c r="N79" s="9">
        <f>IF($A79="",0,IF(AND($H79="Open",ISNUMBER($G79)),IF($G79&lt;Dashboard!$B$16,1,0),0))</f>
        <v/>
      </c>
      <c r="O79" s="9">
        <f>IF($A79="",0,IF(AND($H79="Open",ISNUMBER($J79)),IF($J79&gt;=Dashboard!$H$9,1,0),0))</f>
        <v/>
      </c>
      <c r="P79" s="9">
        <f>IF($M79+$N79+$O79&gt;0,1,0)</f>
        <v/>
      </c>
      <c r="Q79" s="9">
        <f>LEFT($F79,IFERROR(FIND("(",$F79)-1,LEN($F79)))</f>
        <v/>
      </c>
    </row>
    <row r="80" ht="18" customHeight="1">
      <c r="A80" s="28" t="n"/>
      <c r="B80" s="28" t="n"/>
      <c r="C80" s="28" t="n"/>
      <c r="D80" s="14" t="n"/>
      <c r="E80" s="27" t="n"/>
      <c r="F80" s="27" t="n"/>
      <c r="G80" s="14" t="n"/>
      <c r="H80" s="28" t="n"/>
      <c r="I80" s="14" t="n"/>
      <c r="J80" s="36" t="n"/>
      <c r="K80" s="22">
        <f>IF($A80="","",IF(AND($H80="Open",ISNUMBER($G80)),IF($G80&lt;Dashboard!$B$16,"△ Overdue, was due "&amp;TEXT($G80,"d mmm yyyy"),"Open, due "&amp;TEXT($G80,"d mmm yyyy")),$H80&amp;""))</f>
        <v/>
      </c>
      <c r="L80" s="22">
        <f>IF($A80="","",IF($M80=1,"△ Needs one owner and a date",IF($N80=1,"△ Overdue, was due "&amp;TEXT($G80,"d mmm yyyy"),IF($O80=1,"△ Moved "&amp;$J80&amp;" times","○ Clear"))))</f>
        <v/>
      </c>
      <c r="M80" s="9">
        <f>IF($A80="",0,IF(OR($H80="Done",$H80="Dropped"),0,IF(OR($F80="",AND($B80="Action",NOT(ISNUMBER($G80))),LEN($F80)-LEN(SUBSTITUTE($F80,"(",""))&gt;=2,ISNUMBER(SEARCH(" and ",$Q80)),ISNUMBER(FIND("/",$Q80)),ISNUMBER(FIND("&amp;",$Q80)),ISNUMBER(FIND(",",$Q80))),1,0)))</f>
        <v/>
      </c>
      <c r="N80" s="9">
        <f>IF($A80="",0,IF(AND($H80="Open",ISNUMBER($G80)),IF($G80&lt;Dashboard!$B$16,1,0),0))</f>
        <v/>
      </c>
      <c r="O80" s="9">
        <f>IF($A80="",0,IF(AND($H80="Open",ISNUMBER($J80)),IF($J80&gt;=Dashboard!$H$9,1,0),0))</f>
        <v/>
      </c>
      <c r="P80" s="9">
        <f>IF($M80+$N80+$O80&gt;0,1,0)</f>
        <v/>
      </c>
      <c r="Q80" s="9">
        <f>LEFT($F80,IFERROR(FIND("(",$F80)-1,LEN($F80)))</f>
        <v/>
      </c>
    </row>
    <row r="81" ht="18" customHeight="1">
      <c r="A81" s="28" t="n"/>
      <c r="B81" s="28" t="n"/>
      <c r="C81" s="28" t="n"/>
      <c r="D81" s="14" t="n"/>
      <c r="E81" s="27" t="n"/>
      <c r="F81" s="27" t="n"/>
      <c r="G81" s="14" t="n"/>
      <c r="H81" s="28" t="n"/>
      <c r="I81" s="14" t="n"/>
      <c r="J81" s="36" t="n"/>
      <c r="K81" s="22">
        <f>IF($A81="","",IF(AND($H81="Open",ISNUMBER($G81)),IF($G81&lt;Dashboard!$B$16,"△ Overdue, was due "&amp;TEXT($G81,"d mmm yyyy"),"Open, due "&amp;TEXT($G81,"d mmm yyyy")),$H81&amp;""))</f>
        <v/>
      </c>
      <c r="L81" s="22">
        <f>IF($A81="","",IF($M81=1,"△ Needs one owner and a date",IF($N81=1,"△ Overdue, was due "&amp;TEXT($G81,"d mmm yyyy"),IF($O81=1,"△ Moved "&amp;$J81&amp;" times","○ Clear"))))</f>
        <v/>
      </c>
      <c r="M81" s="9">
        <f>IF($A81="",0,IF(OR($H81="Done",$H81="Dropped"),0,IF(OR($F81="",AND($B81="Action",NOT(ISNUMBER($G81))),LEN($F81)-LEN(SUBSTITUTE($F81,"(",""))&gt;=2,ISNUMBER(SEARCH(" and ",$Q81)),ISNUMBER(FIND("/",$Q81)),ISNUMBER(FIND("&amp;",$Q81)),ISNUMBER(FIND(",",$Q81))),1,0)))</f>
        <v/>
      </c>
      <c r="N81" s="9">
        <f>IF($A81="",0,IF(AND($H81="Open",ISNUMBER($G81)),IF($G81&lt;Dashboard!$B$16,1,0),0))</f>
        <v/>
      </c>
      <c r="O81" s="9">
        <f>IF($A81="",0,IF(AND($H81="Open",ISNUMBER($J81)),IF($J81&gt;=Dashboard!$H$9,1,0),0))</f>
        <v/>
      </c>
      <c r="P81" s="9">
        <f>IF($M81+$N81+$O81&gt;0,1,0)</f>
        <v/>
      </c>
      <c r="Q81" s="9">
        <f>LEFT($F81,IFERROR(FIND("(",$F81)-1,LEN($F81)))</f>
        <v/>
      </c>
    </row>
    <row r="82" ht="18" customHeight="1">
      <c r="A82" s="28" t="n"/>
      <c r="B82" s="28" t="n"/>
      <c r="C82" s="28" t="n"/>
      <c r="D82" s="14" t="n"/>
      <c r="E82" s="27" t="n"/>
      <c r="F82" s="27" t="n"/>
      <c r="G82" s="14" t="n"/>
      <c r="H82" s="28" t="n"/>
      <c r="I82" s="14" t="n"/>
      <c r="J82" s="36" t="n"/>
      <c r="K82" s="22">
        <f>IF($A82="","",IF(AND($H82="Open",ISNUMBER($G82)),IF($G82&lt;Dashboard!$B$16,"△ Overdue, was due "&amp;TEXT($G82,"d mmm yyyy"),"Open, due "&amp;TEXT($G82,"d mmm yyyy")),$H82&amp;""))</f>
        <v/>
      </c>
      <c r="L82" s="22">
        <f>IF($A82="","",IF($M82=1,"△ Needs one owner and a date",IF($N82=1,"△ Overdue, was due "&amp;TEXT($G82,"d mmm yyyy"),IF($O82=1,"△ Moved "&amp;$J82&amp;" times","○ Clear"))))</f>
        <v/>
      </c>
      <c r="M82" s="9">
        <f>IF($A82="",0,IF(OR($H82="Done",$H82="Dropped"),0,IF(OR($F82="",AND($B82="Action",NOT(ISNUMBER($G82))),LEN($F82)-LEN(SUBSTITUTE($F82,"(",""))&gt;=2,ISNUMBER(SEARCH(" and ",$Q82)),ISNUMBER(FIND("/",$Q82)),ISNUMBER(FIND("&amp;",$Q82)),ISNUMBER(FIND(",",$Q82))),1,0)))</f>
        <v/>
      </c>
      <c r="N82" s="9">
        <f>IF($A82="",0,IF(AND($H82="Open",ISNUMBER($G82)),IF($G82&lt;Dashboard!$B$16,1,0),0))</f>
        <v/>
      </c>
      <c r="O82" s="9">
        <f>IF($A82="",0,IF(AND($H82="Open",ISNUMBER($J82)),IF($J82&gt;=Dashboard!$H$9,1,0),0))</f>
        <v/>
      </c>
      <c r="P82" s="9">
        <f>IF($M82+$N82+$O82&gt;0,1,0)</f>
        <v/>
      </c>
      <c r="Q82" s="9">
        <f>LEFT($F82,IFERROR(FIND("(",$F82)-1,LEN($F82)))</f>
        <v/>
      </c>
    </row>
    <row r="83" ht="18" customHeight="1">
      <c r="A83" s="28" t="n"/>
      <c r="B83" s="28" t="n"/>
      <c r="C83" s="28" t="n"/>
      <c r="D83" s="14" t="n"/>
      <c r="E83" s="27" t="n"/>
      <c r="F83" s="27" t="n"/>
      <c r="G83" s="14" t="n"/>
      <c r="H83" s="28" t="n"/>
      <c r="I83" s="14" t="n"/>
      <c r="J83" s="36" t="n"/>
      <c r="K83" s="22">
        <f>IF($A83="","",IF(AND($H83="Open",ISNUMBER($G83)),IF($G83&lt;Dashboard!$B$16,"△ Overdue, was due "&amp;TEXT($G83,"d mmm yyyy"),"Open, due "&amp;TEXT($G83,"d mmm yyyy")),$H83&amp;""))</f>
        <v/>
      </c>
      <c r="L83" s="22">
        <f>IF($A83="","",IF($M83=1,"△ Needs one owner and a date",IF($N83=1,"△ Overdue, was due "&amp;TEXT($G83,"d mmm yyyy"),IF($O83=1,"△ Moved "&amp;$J83&amp;" times","○ Clear"))))</f>
        <v/>
      </c>
      <c r="M83" s="9">
        <f>IF($A83="",0,IF(OR($H83="Done",$H83="Dropped"),0,IF(OR($F83="",AND($B83="Action",NOT(ISNUMBER($G83))),LEN($F83)-LEN(SUBSTITUTE($F83,"(",""))&gt;=2,ISNUMBER(SEARCH(" and ",$Q83)),ISNUMBER(FIND("/",$Q83)),ISNUMBER(FIND("&amp;",$Q83)),ISNUMBER(FIND(",",$Q83))),1,0)))</f>
        <v/>
      </c>
      <c r="N83" s="9">
        <f>IF($A83="",0,IF(AND($H83="Open",ISNUMBER($G83)),IF($G83&lt;Dashboard!$B$16,1,0),0))</f>
        <v/>
      </c>
      <c r="O83" s="9">
        <f>IF($A83="",0,IF(AND($H83="Open",ISNUMBER($J83)),IF($J83&gt;=Dashboard!$H$9,1,0),0))</f>
        <v/>
      </c>
      <c r="P83" s="9">
        <f>IF($M83+$N83+$O83&gt;0,1,0)</f>
        <v/>
      </c>
      <c r="Q83" s="9">
        <f>LEFT($F83,IFERROR(FIND("(",$F83)-1,LEN($F83)))</f>
        <v/>
      </c>
    </row>
    <row r="84" ht="18" customHeight="1">
      <c r="A84" s="28" t="n"/>
      <c r="B84" s="28" t="n"/>
      <c r="C84" s="28" t="n"/>
      <c r="D84" s="14" t="n"/>
      <c r="E84" s="27" t="n"/>
      <c r="F84" s="27" t="n"/>
      <c r="G84" s="14" t="n"/>
      <c r="H84" s="28" t="n"/>
      <c r="I84" s="14" t="n"/>
      <c r="J84" s="36" t="n"/>
      <c r="K84" s="22">
        <f>IF($A84="","",IF(AND($H84="Open",ISNUMBER($G84)),IF($G84&lt;Dashboard!$B$16,"△ Overdue, was due "&amp;TEXT($G84,"d mmm yyyy"),"Open, due "&amp;TEXT($G84,"d mmm yyyy")),$H84&amp;""))</f>
        <v/>
      </c>
      <c r="L84" s="22">
        <f>IF($A84="","",IF($M84=1,"△ Needs one owner and a date",IF($N84=1,"△ Overdue, was due "&amp;TEXT($G84,"d mmm yyyy"),IF($O84=1,"△ Moved "&amp;$J84&amp;" times","○ Clear"))))</f>
        <v/>
      </c>
      <c r="M84" s="9">
        <f>IF($A84="",0,IF(OR($H84="Done",$H84="Dropped"),0,IF(OR($F84="",AND($B84="Action",NOT(ISNUMBER($G84))),LEN($F84)-LEN(SUBSTITUTE($F84,"(",""))&gt;=2,ISNUMBER(SEARCH(" and ",$Q84)),ISNUMBER(FIND("/",$Q84)),ISNUMBER(FIND("&amp;",$Q84)),ISNUMBER(FIND(",",$Q84))),1,0)))</f>
        <v/>
      </c>
      <c r="N84" s="9">
        <f>IF($A84="",0,IF(AND($H84="Open",ISNUMBER($G84)),IF($G84&lt;Dashboard!$B$16,1,0),0))</f>
        <v/>
      </c>
      <c r="O84" s="9">
        <f>IF($A84="",0,IF(AND($H84="Open",ISNUMBER($J84)),IF($J84&gt;=Dashboard!$H$9,1,0),0))</f>
        <v/>
      </c>
      <c r="P84" s="9">
        <f>IF($M84+$N84+$O84&gt;0,1,0)</f>
        <v/>
      </c>
      <c r="Q84" s="9">
        <f>LEFT($F84,IFERROR(FIND("(",$F84)-1,LEN($F84)))</f>
        <v/>
      </c>
    </row>
    <row r="85" ht="18" customHeight="1">
      <c r="A85" s="28" t="n"/>
      <c r="B85" s="28" t="n"/>
      <c r="C85" s="28" t="n"/>
      <c r="D85" s="14" t="n"/>
      <c r="E85" s="27" t="n"/>
      <c r="F85" s="27" t="n"/>
      <c r="G85" s="14" t="n"/>
      <c r="H85" s="28" t="n"/>
      <c r="I85" s="14" t="n"/>
      <c r="J85" s="36" t="n"/>
      <c r="K85" s="22">
        <f>IF($A85="","",IF(AND($H85="Open",ISNUMBER($G85)),IF($G85&lt;Dashboard!$B$16,"△ Overdue, was due "&amp;TEXT($G85,"d mmm yyyy"),"Open, due "&amp;TEXT($G85,"d mmm yyyy")),$H85&amp;""))</f>
        <v/>
      </c>
      <c r="L85" s="22">
        <f>IF($A85="","",IF($M85=1,"△ Needs one owner and a date",IF($N85=1,"△ Overdue, was due "&amp;TEXT($G85,"d mmm yyyy"),IF($O85=1,"△ Moved "&amp;$J85&amp;" times","○ Clear"))))</f>
        <v/>
      </c>
      <c r="M85" s="9">
        <f>IF($A85="",0,IF(OR($H85="Done",$H85="Dropped"),0,IF(OR($F85="",AND($B85="Action",NOT(ISNUMBER($G85))),LEN($F85)-LEN(SUBSTITUTE($F85,"(",""))&gt;=2,ISNUMBER(SEARCH(" and ",$Q85)),ISNUMBER(FIND("/",$Q85)),ISNUMBER(FIND("&amp;",$Q85)),ISNUMBER(FIND(",",$Q85))),1,0)))</f>
        <v/>
      </c>
      <c r="N85" s="9">
        <f>IF($A85="",0,IF(AND($H85="Open",ISNUMBER($G85)),IF($G85&lt;Dashboard!$B$16,1,0),0))</f>
        <v/>
      </c>
      <c r="O85" s="9">
        <f>IF($A85="",0,IF(AND($H85="Open",ISNUMBER($J85)),IF($J85&gt;=Dashboard!$H$9,1,0),0))</f>
        <v/>
      </c>
      <c r="P85" s="9">
        <f>IF($M85+$N85+$O85&gt;0,1,0)</f>
        <v/>
      </c>
      <c r="Q85" s="9">
        <f>LEFT($F85,IFERROR(FIND("(",$F85)-1,LEN($F85)))</f>
        <v/>
      </c>
    </row>
    <row r="86" ht="18" customHeight="1">
      <c r="A86" s="28" t="n"/>
      <c r="B86" s="28" t="n"/>
      <c r="C86" s="28" t="n"/>
      <c r="D86" s="14" t="n"/>
      <c r="E86" s="27" t="n"/>
      <c r="F86" s="27" t="n"/>
      <c r="G86" s="14" t="n"/>
      <c r="H86" s="28" t="n"/>
      <c r="I86" s="14" t="n"/>
      <c r="J86" s="36" t="n"/>
      <c r="K86" s="22">
        <f>IF($A86="","",IF(AND($H86="Open",ISNUMBER($G86)),IF($G86&lt;Dashboard!$B$16,"△ Overdue, was due "&amp;TEXT($G86,"d mmm yyyy"),"Open, due "&amp;TEXT($G86,"d mmm yyyy")),$H86&amp;""))</f>
        <v/>
      </c>
      <c r="L86" s="22">
        <f>IF($A86="","",IF($M86=1,"△ Needs one owner and a date",IF($N86=1,"△ Overdue, was due "&amp;TEXT($G86,"d mmm yyyy"),IF($O86=1,"△ Moved "&amp;$J86&amp;" times","○ Clear"))))</f>
        <v/>
      </c>
      <c r="M86" s="9">
        <f>IF($A86="",0,IF(OR($H86="Done",$H86="Dropped"),0,IF(OR($F86="",AND($B86="Action",NOT(ISNUMBER($G86))),LEN($F86)-LEN(SUBSTITUTE($F86,"(",""))&gt;=2,ISNUMBER(SEARCH(" and ",$Q86)),ISNUMBER(FIND("/",$Q86)),ISNUMBER(FIND("&amp;",$Q86)),ISNUMBER(FIND(",",$Q86))),1,0)))</f>
        <v/>
      </c>
      <c r="N86" s="9">
        <f>IF($A86="",0,IF(AND($H86="Open",ISNUMBER($G86)),IF($G86&lt;Dashboard!$B$16,1,0),0))</f>
        <v/>
      </c>
      <c r="O86" s="9">
        <f>IF($A86="",0,IF(AND($H86="Open",ISNUMBER($J86)),IF($J86&gt;=Dashboard!$H$9,1,0),0))</f>
        <v/>
      </c>
      <c r="P86" s="9">
        <f>IF($M86+$N86+$O86&gt;0,1,0)</f>
        <v/>
      </c>
      <c r="Q86" s="9">
        <f>LEFT($F86,IFERROR(FIND("(",$F86)-1,LEN($F86)))</f>
        <v/>
      </c>
    </row>
    <row r="87" ht="18" customHeight="1">
      <c r="A87" s="28" t="n"/>
      <c r="B87" s="28" t="n"/>
      <c r="C87" s="28" t="n"/>
      <c r="D87" s="14" t="n"/>
      <c r="E87" s="27" t="n"/>
      <c r="F87" s="27" t="n"/>
      <c r="G87" s="14" t="n"/>
      <c r="H87" s="28" t="n"/>
      <c r="I87" s="14" t="n"/>
      <c r="J87" s="36" t="n"/>
      <c r="K87" s="22">
        <f>IF($A87="","",IF(AND($H87="Open",ISNUMBER($G87)),IF($G87&lt;Dashboard!$B$16,"△ Overdue, was due "&amp;TEXT($G87,"d mmm yyyy"),"Open, due "&amp;TEXT($G87,"d mmm yyyy")),$H87&amp;""))</f>
        <v/>
      </c>
      <c r="L87" s="22">
        <f>IF($A87="","",IF($M87=1,"△ Needs one owner and a date",IF($N87=1,"△ Overdue, was due "&amp;TEXT($G87,"d mmm yyyy"),IF($O87=1,"△ Moved "&amp;$J87&amp;" times","○ Clear"))))</f>
        <v/>
      </c>
      <c r="M87" s="9">
        <f>IF($A87="",0,IF(OR($H87="Done",$H87="Dropped"),0,IF(OR($F87="",AND($B87="Action",NOT(ISNUMBER($G87))),LEN($F87)-LEN(SUBSTITUTE($F87,"(",""))&gt;=2,ISNUMBER(SEARCH(" and ",$Q87)),ISNUMBER(FIND("/",$Q87)),ISNUMBER(FIND("&amp;",$Q87)),ISNUMBER(FIND(",",$Q87))),1,0)))</f>
        <v/>
      </c>
      <c r="N87" s="9">
        <f>IF($A87="",0,IF(AND($H87="Open",ISNUMBER($G87)),IF($G87&lt;Dashboard!$B$16,1,0),0))</f>
        <v/>
      </c>
      <c r="O87" s="9">
        <f>IF($A87="",0,IF(AND($H87="Open",ISNUMBER($J87)),IF($J87&gt;=Dashboard!$H$9,1,0),0))</f>
        <v/>
      </c>
      <c r="P87" s="9">
        <f>IF($M87+$N87+$O87&gt;0,1,0)</f>
        <v/>
      </c>
      <c r="Q87" s="9">
        <f>LEFT($F87,IFERROR(FIND("(",$F87)-1,LEN($F87)))</f>
        <v/>
      </c>
    </row>
    <row r="88" ht="18" customHeight="1">
      <c r="A88" s="28" t="n"/>
      <c r="B88" s="28" t="n"/>
      <c r="C88" s="28" t="n"/>
      <c r="D88" s="14" t="n"/>
      <c r="E88" s="27" t="n"/>
      <c r="F88" s="27" t="n"/>
      <c r="G88" s="14" t="n"/>
      <c r="H88" s="28" t="n"/>
      <c r="I88" s="14" t="n"/>
      <c r="J88" s="36" t="n"/>
      <c r="K88" s="22">
        <f>IF($A88="","",IF(AND($H88="Open",ISNUMBER($G88)),IF($G88&lt;Dashboard!$B$16,"△ Overdue, was due "&amp;TEXT($G88,"d mmm yyyy"),"Open, due "&amp;TEXT($G88,"d mmm yyyy")),$H88&amp;""))</f>
        <v/>
      </c>
      <c r="L88" s="22">
        <f>IF($A88="","",IF($M88=1,"△ Needs one owner and a date",IF($N88=1,"△ Overdue, was due "&amp;TEXT($G88,"d mmm yyyy"),IF($O88=1,"△ Moved "&amp;$J88&amp;" times","○ Clear"))))</f>
        <v/>
      </c>
      <c r="M88" s="9">
        <f>IF($A88="",0,IF(OR($H88="Done",$H88="Dropped"),0,IF(OR($F88="",AND($B88="Action",NOT(ISNUMBER($G88))),LEN($F88)-LEN(SUBSTITUTE($F88,"(",""))&gt;=2,ISNUMBER(SEARCH(" and ",$Q88)),ISNUMBER(FIND("/",$Q88)),ISNUMBER(FIND("&amp;",$Q88)),ISNUMBER(FIND(",",$Q88))),1,0)))</f>
        <v/>
      </c>
      <c r="N88" s="9">
        <f>IF($A88="",0,IF(AND($H88="Open",ISNUMBER($G88)),IF($G88&lt;Dashboard!$B$16,1,0),0))</f>
        <v/>
      </c>
      <c r="O88" s="9">
        <f>IF($A88="",0,IF(AND($H88="Open",ISNUMBER($J88)),IF($J88&gt;=Dashboard!$H$9,1,0),0))</f>
        <v/>
      </c>
      <c r="P88" s="9">
        <f>IF($M88+$N88+$O88&gt;0,1,0)</f>
        <v/>
      </c>
      <c r="Q88" s="9">
        <f>LEFT($F88,IFERROR(FIND("(",$F88)-1,LEN($F88)))</f>
        <v/>
      </c>
    </row>
    <row r="89" ht="18" customHeight="1">
      <c r="A89" s="28" t="n"/>
      <c r="B89" s="28" t="n"/>
      <c r="C89" s="28" t="n"/>
      <c r="D89" s="14" t="n"/>
      <c r="E89" s="27" t="n"/>
      <c r="F89" s="27" t="n"/>
      <c r="G89" s="14" t="n"/>
      <c r="H89" s="28" t="n"/>
      <c r="I89" s="14" t="n"/>
      <c r="J89" s="36" t="n"/>
      <c r="K89" s="22">
        <f>IF($A89="","",IF(AND($H89="Open",ISNUMBER($G89)),IF($G89&lt;Dashboard!$B$16,"△ Overdue, was due "&amp;TEXT($G89,"d mmm yyyy"),"Open, due "&amp;TEXT($G89,"d mmm yyyy")),$H89&amp;""))</f>
        <v/>
      </c>
      <c r="L89" s="22">
        <f>IF($A89="","",IF($M89=1,"△ Needs one owner and a date",IF($N89=1,"△ Overdue, was due "&amp;TEXT($G89,"d mmm yyyy"),IF($O89=1,"△ Moved "&amp;$J89&amp;" times","○ Clear"))))</f>
        <v/>
      </c>
      <c r="M89" s="9">
        <f>IF($A89="",0,IF(OR($H89="Done",$H89="Dropped"),0,IF(OR($F89="",AND($B89="Action",NOT(ISNUMBER($G89))),LEN($F89)-LEN(SUBSTITUTE($F89,"(",""))&gt;=2,ISNUMBER(SEARCH(" and ",$Q89)),ISNUMBER(FIND("/",$Q89)),ISNUMBER(FIND("&amp;",$Q89)),ISNUMBER(FIND(",",$Q89))),1,0)))</f>
        <v/>
      </c>
      <c r="N89" s="9">
        <f>IF($A89="",0,IF(AND($H89="Open",ISNUMBER($G89)),IF($G89&lt;Dashboard!$B$16,1,0),0))</f>
        <v/>
      </c>
      <c r="O89" s="9">
        <f>IF($A89="",0,IF(AND($H89="Open",ISNUMBER($J89)),IF($J89&gt;=Dashboard!$H$9,1,0),0))</f>
        <v/>
      </c>
      <c r="P89" s="9">
        <f>IF($M89+$N89+$O89&gt;0,1,0)</f>
        <v/>
      </c>
      <c r="Q89" s="9">
        <f>LEFT($F89,IFERROR(FIND("(",$F89)-1,LEN($F89)))</f>
        <v/>
      </c>
    </row>
    <row r="90" ht="18" customHeight="1">
      <c r="A90" s="28" t="n"/>
      <c r="B90" s="28" t="n"/>
      <c r="C90" s="28" t="n"/>
      <c r="D90" s="14" t="n"/>
      <c r="E90" s="27" t="n"/>
      <c r="F90" s="27" t="n"/>
      <c r="G90" s="14" t="n"/>
      <c r="H90" s="28" t="n"/>
      <c r="I90" s="14" t="n"/>
      <c r="J90" s="36" t="n"/>
      <c r="K90" s="22">
        <f>IF($A90="","",IF(AND($H90="Open",ISNUMBER($G90)),IF($G90&lt;Dashboard!$B$16,"△ Overdue, was due "&amp;TEXT($G90,"d mmm yyyy"),"Open, due "&amp;TEXT($G90,"d mmm yyyy")),$H90&amp;""))</f>
        <v/>
      </c>
      <c r="L90" s="22">
        <f>IF($A90="","",IF($M90=1,"△ Needs one owner and a date",IF($N90=1,"△ Overdue, was due "&amp;TEXT($G90,"d mmm yyyy"),IF($O90=1,"△ Moved "&amp;$J90&amp;" times","○ Clear"))))</f>
        <v/>
      </c>
      <c r="M90" s="9">
        <f>IF($A90="",0,IF(OR($H90="Done",$H90="Dropped"),0,IF(OR($F90="",AND($B90="Action",NOT(ISNUMBER($G90))),LEN($F90)-LEN(SUBSTITUTE($F90,"(",""))&gt;=2,ISNUMBER(SEARCH(" and ",$Q90)),ISNUMBER(FIND("/",$Q90)),ISNUMBER(FIND("&amp;",$Q90)),ISNUMBER(FIND(",",$Q90))),1,0)))</f>
        <v/>
      </c>
      <c r="N90" s="9">
        <f>IF($A90="",0,IF(AND($H90="Open",ISNUMBER($G90)),IF($G90&lt;Dashboard!$B$16,1,0),0))</f>
        <v/>
      </c>
      <c r="O90" s="9">
        <f>IF($A90="",0,IF(AND($H90="Open",ISNUMBER($J90)),IF($J90&gt;=Dashboard!$H$9,1,0),0))</f>
        <v/>
      </c>
      <c r="P90" s="9">
        <f>IF($M90+$N90+$O90&gt;0,1,0)</f>
        <v/>
      </c>
      <c r="Q90" s="9">
        <f>LEFT($F90,IFERROR(FIND("(",$F90)-1,LEN($F90)))</f>
        <v/>
      </c>
    </row>
    <row r="91" ht="18" customHeight="1">
      <c r="A91" s="28" t="n"/>
      <c r="B91" s="28" t="n"/>
      <c r="C91" s="28" t="n"/>
      <c r="D91" s="14" t="n"/>
      <c r="E91" s="27" t="n"/>
      <c r="F91" s="27" t="n"/>
      <c r="G91" s="14" t="n"/>
      <c r="H91" s="28" t="n"/>
      <c r="I91" s="14" t="n"/>
      <c r="J91" s="36" t="n"/>
      <c r="K91" s="22">
        <f>IF($A91="","",IF(AND($H91="Open",ISNUMBER($G91)),IF($G91&lt;Dashboard!$B$16,"△ Overdue, was due "&amp;TEXT($G91,"d mmm yyyy"),"Open, due "&amp;TEXT($G91,"d mmm yyyy")),$H91&amp;""))</f>
        <v/>
      </c>
      <c r="L91" s="22">
        <f>IF($A91="","",IF($M91=1,"△ Needs one owner and a date",IF($N91=1,"△ Overdue, was due "&amp;TEXT($G91,"d mmm yyyy"),IF($O91=1,"△ Moved "&amp;$J91&amp;" times","○ Clear"))))</f>
        <v/>
      </c>
      <c r="M91" s="9">
        <f>IF($A91="",0,IF(OR($H91="Done",$H91="Dropped"),0,IF(OR($F91="",AND($B91="Action",NOT(ISNUMBER($G91))),LEN($F91)-LEN(SUBSTITUTE($F91,"(",""))&gt;=2,ISNUMBER(SEARCH(" and ",$Q91)),ISNUMBER(FIND("/",$Q91)),ISNUMBER(FIND("&amp;",$Q91)),ISNUMBER(FIND(",",$Q91))),1,0)))</f>
        <v/>
      </c>
      <c r="N91" s="9">
        <f>IF($A91="",0,IF(AND($H91="Open",ISNUMBER($G91)),IF($G91&lt;Dashboard!$B$16,1,0),0))</f>
        <v/>
      </c>
      <c r="O91" s="9">
        <f>IF($A91="",0,IF(AND($H91="Open",ISNUMBER($J91)),IF($J91&gt;=Dashboard!$H$9,1,0),0))</f>
        <v/>
      </c>
      <c r="P91" s="9">
        <f>IF($M91+$N91+$O91&gt;0,1,0)</f>
        <v/>
      </c>
      <c r="Q91" s="9">
        <f>LEFT($F91,IFERROR(FIND("(",$F91)-1,LEN($F91)))</f>
        <v/>
      </c>
    </row>
    <row r="92" ht="18" customHeight="1">
      <c r="A92" s="28" t="n"/>
      <c r="B92" s="28" t="n"/>
      <c r="C92" s="28" t="n"/>
      <c r="D92" s="14" t="n"/>
      <c r="E92" s="27" t="n"/>
      <c r="F92" s="27" t="n"/>
      <c r="G92" s="14" t="n"/>
      <c r="H92" s="28" t="n"/>
      <c r="I92" s="14" t="n"/>
      <c r="J92" s="36" t="n"/>
      <c r="K92" s="22">
        <f>IF($A92="","",IF(AND($H92="Open",ISNUMBER($G92)),IF($G92&lt;Dashboard!$B$16,"△ Overdue, was due "&amp;TEXT($G92,"d mmm yyyy"),"Open, due "&amp;TEXT($G92,"d mmm yyyy")),$H92&amp;""))</f>
        <v/>
      </c>
      <c r="L92" s="22">
        <f>IF($A92="","",IF($M92=1,"△ Needs one owner and a date",IF($N92=1,"△ Overdue, was due "&amp;TEXT($G92,"d mmm yyyy"),IF($O92=1,"△ Moved "&amp;$J92&amp;" times","○ Clear"))))</f>
        <v/>
      </c>
      <c r="M92" s="9">
        <f>IF($A92="",0,IF(OR($H92="Done",$H92="Dropped"),0,IF(OR($F92="",AND($B92="Action",NOT(ISNUMBER($G92))),LEN($F92)-LEN(SUBSTITUTE($F92,"(",""))&gt;=2,ISNUMBER(SEARCH(" and ",$Q92)),ISNUMBER(FIND("/",$Q92)),ISNUMBER(FIND("&amp;",$Q92)),ISNUMBER(FIND(",",$Q92))),1,0)))</f>
        <v/>
      </c>
      <c r="N92" s="9">
        <f>IF($A92="",0,IF(AND($H92="Open",ISNUMBER($G92)),IF($G92&lt;Dashboard!$B$16,1,0),0))</f>
        <v/>
      </c>
      <c r="O92" s="9">
        <f>IF($A92="",0,IF(AND($H92="Open",ISNUMBER($J92)),IF($J92&gt;=Dashboard!$H$9,1,0),0))</f>
        <v/>
      </c>
      <c r="P92" s="9">
        <f>IF($M92+$N92+$O92&gt;0,1,0)</f>
        <v/>
      </c>
      <c r="Q92" s="9">
        <f>LEFT($F92,IFERROR(FIND("(",$F92)-1,LEN($F92)))</f>
        <v/>
      </c>
    </row>
    <row r="93" ht="18" customHeight="1">
      <c r="A93" s="28" t="n"/>
      <c r="B93" s="28" t="n"/>
      <c r="C93" s="28" t="n"/>
      <c r="D93" s="14" t="n"/>
      <c r="E93" s="27" t="n"/>
      <c r="F93" s="27" t="n"/>
      <c r="G93" s="14" t="n"/>
      <c r="H93" s="28" t="n"/>
      <c r="I93" s="14" t="n"/>
      <c r="J93" s="36" t="n"/>
      <c r="K93" s="22">
        <f>IF($A93="","",IF(AND($H93="Open",ISNUMBER($G93)),IF($G93&lt;Dashboard!$B$16,"△ Overdue, was due "&amp;TEXT($G93,"d mmm yyyy"),"Open, due "&amp;TEXT($G93,"d mmm yyyy")),$H93&amp;""))</f>
        <v/>
      </c>
      <c r="L93" s="22">
        <f>IF($A93="","",IF($M93=1,"△ Needs one owner and a date",IF($N93=1,"△ Overdue, was due "&amp;TEXT($G93,"d mmm yyyy"),IF($O93=1,"△ Moved "&amp;$J93&amp;" times","○ Clear"))))</f>
        <v/>
      </c>
      <c r="M93" s="9">
        <f>IF($A93="",0,IF(OR($H93="Done",$H93="Dropped"),0,IF(OR($F93="",AND($B93="Action",NOT(ISNUMBER($G93))),LEN($F93)-LEN(SUBSTITUTE($F93,"(",""))&gt;=2,ISNUMBER(SEARCH(" and ",$Q93)),ISNUMBER(FIND("/",$Q93)),ISNUMBER(FIND("&amp;",$Q93)),ISNUMBER(FIND(",",$Q93))),1,0)))</f>
        <v/>
      </c>
      <c r="N93" s="9">
        <f>IF($A93="",0,IF(AND($H93="Open",ISNUMBER($G93)),IF($G93&lt;Dashboard!$B$16,1,0),0))</f>
        <v/>
      </c>
      <c r="O93" s="9">
        <f>IF($A93="",0,IF(AND($H93="Open",ISNUMBER($J93)),IF($J93&gt;=Dashboard!$H$9,1,0),0))</f>
        <v/>
      </c>
      <c r="P93" s="9">
        <f>IF($M93+$N93+$O93&gt;0,1,0)</f>
        <v/>
      </c>
      <c r="Q93" s="9">
        <f>LEFT($F93,IFERROR(FIND("(",$F93)-1,LEN($F93)))</f>
        <v/>
      </c>
    </row>
    <row r="94" ht="18" customHeight="1">
      <c r="A94" s="28" t="n"/>
      <c r="B94" s="28" t="n"/>
      <c r="C94" s="28" t="n"/>
      <c r="D94" s="14" t="n"/>
      <c r="E94" s="27" t="n"/>
      <c r="F94" s="27" t="n"/>
      <c r="G94" s="14" t="n"/>
      <c r="H94" s="28" t="n"/>
      <c r="I94" s="14" t="n"/>
      <c r="J94" s="36" t="n"/>
      <c r="K94" s="22">
        <f>IF($A94="","",IF(AND($H94="Open",ISNUMBER($G94)),IF($G94&lt;Dashboard!$B$16,"△ Overdue, was due "&amp;TEXT($G94,"d mmm yyyy"),"Open, due "&amp;TEXT($G94,"d mmm yyyy")),$H94&amp;""))</f>
        <v/>
      </c>
      <c r="L94" s="22">
        <f>IF($A94="","",IF($M94=1,"△ Needs one owner and a date",IF($N94=1,"△ Overdue, was due "&amp;TEXT($G94,"d mmm yyyy"),IF($O94=1,"△ Moved "&amp;$J94&amp;" times","○ Clear"))))</f>
        <v/>
      </c>
      <c r="M94" s="9">
        <f>IF($A94="",0,IF(OR($H94="Done",$H94="Dropped"),0,IF(OR($F94="",AND($B94="Action",NOT(ISNUMBER($G94))),LEN($F94)-LEN(SUBSTITUTE($F94,"(",""))&gt;=2,ISNUMBER(SEARCH(" and ",$Q94)),ISNUMBER(FIND("/",$Q94)),ISNUMBER(FIND("&amp;",$Q94)),ISNUMBER(FIND(",",$Q94))),1,0)))</f>
        <v/>
      </c>
      <c r="N94" s="9">
        <f>IF($A94="",0,IF(AND($H94="Open",ISNUMBER($G94)),IF($G94&lt;Dashboard!$B$16,1,0),0))</f>
        <v/>
      </c>
      <c r="O94" s="9">
        <f>IF($A94="",0,IF(AND($H94="Open",ISNUMBER($J94)),IF($J94&gt;=Dashboard!$H$9,1,0),0))</f>
        <v/>
      </c>
      <c r="P94" s="9">
        <f>IF($M94+$N94+$O94&gt;0,1,0)</f>
        <v/>
      </c>
      <c r="Q94" s="9">
        <f>LEFT($F94,IFERROR(FIND("(",$F94)-1,LEN($F94)))</f>
        <v/>
      </c>
    </row>
    <row r="95" ht="18" customHeight="1">
      <c r="A95" s="28" t="n"/>
      <c r="B95" s="28" t="n"/>
      <c r="C95" s="28" t="n"/>
      <c r="D95" s="14" t="n"/>
      <c r="E95" s="27" t="n"/>
      <c r="F95" s="27" t="n"/>
      <c r="G95" s="14" t="n"/>
      <c r="H95" s="28" t="n"/>
      <c r="I95" s="14" t="n"/>
      <c r="J95" s="36" t="n"/>
      <c r="K95" s="22">
        <f>IF($A95="","",IF(AND($H95="Open",ISNUMBER($G95)),IF($G95&lt;Dashboard!$B$16,"△ Overdue, was due "&amp;TEXT($G95,"d mmm yyyy"),"Open, due "&amp;TEXT($G95,"d mmm yyyy")),$H95&amp;""))</f>
        <v/>
      </c>
      <c r="L95" s="22">
        <f>IF($A95="","",IF($M95=1,"△ Needs one owner and a date",IF($N95=1,"△ Overdue, was due "&amp;TEXT($G95,"d mmm yyyy"),IF($O95=1,"△ Moved "&amp;$J95&amp;" times","○ Clear"))))</f>
        <v/>
      </c>
      <c r="M95" s="9">
        <f>IF($A95="",0,IF(OR($H95="Done",$H95="Dropped"),0,IF(OR($F95="",AND($B95="Action",NOT(ISNUMBER($G95))),LEN($F95)-LEN(SUBSTITUTE($F95,"(",""))&gt;=2,ISNUMBER(SEARCH(" and ",$Q95)),ISNUMBER(FIND("/",$Q95)),ISNUMBER(FIND("&amp;",$Q95)),ISNUMBER(FIND(",",$Q95))),1,0)))</f>
        <v/>
      </c>
      <c r="N95" s="9">
        <f>IF($A95="",0,IF(AND($H95="Open",ISNUMBER($G95)),IF($G95&lt;Dashboard!$B$16,1,0),0))</f>
        <v/>
      </c>
      <c r="O95" s="9">
        <f>IF($A95="",0,IF(AND($H95="Open",ISNUMBER($J95)),IF($J95&gt;=Dashboard!$H$9,1,0),0))</f>
        <v/>
      </c>
      <c r="P95" s="9">
        <f>IF($M95+$N95+$O95&gt;0,1,0)</f>
        <v/>
      </c>
      <c r="Q95" s="9">
        <f>LEFT($F95,IFERROR(FIND("(",$F95)-1,LEN($F95)))</f>
        <v/>
      </c>
    </row>
    <row r="96" ht="18" customHeight="1">
      <c r="A96" s="28" t="n"/>
      <c r="B96" s="28" t="n"/>
      <c r="C96" s="28" t="n"/>
      <c r="D96" s="14" t="n"/>
      <c r="E96" s="27" t="n"/>
      <c r="F96" s="27" t="n"/>
      <c r="G96" s="14" t="n"/>
      <c r="H96" s="28" t="n"/>
      <c r="I96" s="14" t="n"/>
      <c r="J96" s="36" t="n"/>
      <c r="K96" s="22">
        <f>IF($A96="","",IF(AND($H96="Open",ISNUMBER($G96)),IF($G96&lt;Dashboard!$B$16,"△ Overdue, was due "&amp;TEXT($G96,"d mmm yyyy"),"Open, due "&amp;TEXT($G96,"d mmm yyyy")),$H96&amp;""))</f>
        <v/>
      </c>
      <c r="L96" s="22">
        <f>IF($A96="","",IF($M96=1,"△ Needs one owner and a date",IF($N96=1,"△ Overdue, was due "&amp;TEXT($G96,"d mmm yyyy"),IF($O96=1,"△ Moved "&amp;$J96&amp;" times","○ Clear"))))</f>
        <v/>
      </c>
      <c r="M96" s="9">
        <f>IF($A96="",0,IF(OR($H96="Done",$H96="Dropped"),0,IF(OR($F96="",AND($B96="Action",NOT(ISNUMBER($G96))),LEN($F96)-LEN(SUBSTITUTE($F96,"(",""))&gt;=2,ISNUMBER(SEARCH(" and ",$Q96)),ISNUMBER(FIND("/",$Q96)),ISNUMBER(FIND("&amp;",$Q96)),ISNUMBER(FIND(",",$Q96))),1,0)))</f>
        <v/>
      </c>
      <c r="N96" s="9">
        <f>IF($A96="",0,IF(AND($H96="Open",ISNUMBER($G96)),IF($G96&lt;Dashboard!$B$16,1,0),0))</f>
        <v/>
      </c>
      <c r="O96" s="9">
        <f>IF($A96="",0,IF(AND($H96="Open",ISNUMBER($J96)),IF($J96&gt;=Dashboard!$H$9,1,0),0))</f>
        <v/>
      </c>
      <c r="P96" s="9">
        <f>IF($M96+$N96+$O96&gt;0,1,0)</f>
        <v/>
      </c>
      <c r="Q96" s="9">
        <f>LEFT($F96,IFERROR(FIND("(",$F96)-1,LEN($F96)))</f>
        <v/>
      </c>
    </row>
    <row r="97" ht="18" customHeight="1">
      <c r="A97" s="28" t="n"/>
      <c r="B97" s="28" t="n"/>
      <c r="C97" s="28" t="n"/>
      <c r="D97" s="14" t="n"/>
      <c r="E97" s="27" t="n"/>
      <c r="F97" s="27" t="n"/>
      <c r="G97" s="14" t="n"/>
      <c r="H97" s="28" t="n"/>
      <c r="I97" s="14" t="n"/>
      <c r="J97" s="36" t="n"/>
      <c r="K97" s="22">
        <f>IF($A97="","",IF(AND($H97="Open",ISNUMBER($G97)),IF($G97&lt;Dashboard!$B$16,"△ Overdue, was due "&amp;TEXT($G97,"d mmm yyyy"),"Open, due "&amp;TEXT($G97,"d mmm yyyy")),$H97&amp;""))</f>
        <v/>
      </c>
      <c r="L97" s="22">
        <f>IF($A97="","",IF($M97=1,"△ Needs one owner and a date",IF($N97=1,"△ Overdue, was due "&amp;TEXT($G97,"d mmm yyyy"),IF($O97=1,"△ Moved "&amp;$J97&amp;" times","○ Clear"))))</f>
        <v/>
      </c>
      <c r="M97" s="9">
        <f>IF($A97="",0,IF(OR($H97="Done",$H97="Dropped"),0,IF(OR($F97="",AND($B97="Action",NOT(ISNUMBER($G97))),LEN($F97)-LEN(SUBSTITUTE($F97,"(",""))&gt;=2,ISNUMBER(SEARCH(" and ",$Q97)),ISNUMBER(FIND("/",$Q97)),ISNUMBER(FIND("&amp;",$Q97)),ISNUMBER(FIND(",",$Q97))),1,0)))</f>
        <v/>
      </c>
      <c r="N97" s="9">
        <f>IF($A97="",0,IF(AND($H97="Open",ISNUMBER($G97)),IF($G97&lt;Dashboard!$B$16,1,0),0))</f>
        <v/>
      </c>
      <c r="O97" s="9">
        <f>IF($A97="",0,IF(AND($H97="Open",ISNUMBER($J97)),IF($J97&gt;=Dashboard!$H$9,1,0),0))</f>
        <v/>
      </c>
      <c r="P97" s="9">
        <f>IF($M97+$N97+$O97&gt;0,1,0)</f>
        <v/>
      </c>
      <c r="Q97" s="9">
        <f>LEFT($F97,IFERROR(FIND("(",$F97)-1,LEN($F97)))</f>
        <v/>
      </c>
    </row>
    <row r="98" ht="18" customHeight="1">
      <c r="A98" s="28" t="n"/>
      <c r="B98" s="28" t="n"/>
      <c r="C98" s="28" t="n"/>
      <c r="D98" s="14" t="n"/>
      <c r="E98" s="27" t="n"/>
      <c r="F98" s="27" t="n"/>
      <c r="G98" s="14" t="n"/>
      <c r="H98" s="28" t="n"/>
      <c r="I98" s="14" t="n"/>
      <c r="J98" s="36" t="n"/>
      <c r="K98" s="22">
        <f>IF($A98="","",IF(AND($H98="Open",ISNUMBER($G98)),IF($G98&lt;Dashboard!$B$16,"△ Overdue, was due "&amp;TEXT($G98,"d mmm yyyy"),"Open, due "&amp;TEXT($G98,"d mmm yyyy")),$H98&amp;""))</f>
        <v/>
      </c>
      <c r="L98" s="22">
        <f>IF($A98="","",IF($M98=1,"△ Needs one owner and a date",IF($N98=1,"△ Overdue, was due "&amp;TEXT($G98,"d mmm yyyy"),IF($O98=1,"△ Moved "&amp;$J98&amp;" times","○ Clear"))))</f>
        <v/>
      </c>
      <c r="M98" s="9">
        <f>IF($A98="",0,IF(OR($H98="Done",$H98="Dropped"),0,IF(OR($F98="",AND($B98="Action",NOT(ISNUMBER($G98))),LEN($F98)-LEN(SUBSTITUTE($F98,"(",""))&gt;=2,ISNUMBER(SEARCH(" and ",$Q98)),ISNUMBER(FIND("/",$Q98)),ISNUMBER(FIND("&amp;",$Q98)),ISNUMBER(FIND(",",$Q98))),1,0)))</f>
        <v/>
      </c>
      <c r="N98" s="9">
        <f>IF($A98="",0,IF(AND($H98="Open",ISNUMBER($G98)),IF($G98&lt;Dashboard!$B$16,1,0),0))</f>
        <v/>
      </c>
      <c r="O98" s="9">
        <f>IF($A98="",0,IF(AND($H98="Open",ISNUMBER($J98)),IF($J98&gt;=Dashboard!$H$9,1,0),0))</f>
        <v/>
      </c>
      <c r="P98" s="9">
        <f>IF($M98+$N98+$O98&gt;0,1,0)</f>
        <v/>
      </c>
      <c r="Q98" s="9">
        <f>LEFT($F98,IFERROR(FIND("(",$F98)-1,LEN($F98)))</f>
        <v/>
      </c>
    </row>
    <row r="99" ht="18" customHeight="1">
      <c r="A99" s="28" t="n"/>
      <c r="B99" s="28" t="n"/>
      <c r="C99" s="28" t="n"/>
      <c r="D99" s="14" t="n"/>
      <c r="E99" s="27" t="n"/>
      <c r="F99" s="27" t="n"/>
      <c r="G99" s="14" t="n"/>
      <c r="H99" s="28" t="n"/>
      <c r="I99" s="14" t="n"/>
      <c r="J99" s="36" t="n"/>
      <c r="K99" s="22">
        <f>IF($A99="","",IF(AND($H99="Open",ISNUMBER($G99)),IF($G99&lt;Dashboard!$B$16,"△ Overdue, was due "&amp;TEXT($G99,"d mmm yyyy"),"Open, due "&amp;TEXT($G99,"d mmm yyyy")),$H99&amp;""))</f>
        <v/>
      </c>
      <c r="L99" s="22">
        <f>IF($A99="","",IF($M99=1,"△ Needs one owner and a date",IF($N99=1,"△ Overdue, was due "&amp;TEXT($G99,"d mmm yyyy"),IF($O99=1,"△ Moved "&amp;$J99&amp;" times","○ Clear"))))</f>
        <v/>
      </c>
      <c r="M99" s="9">
        <f>IF($A99="",0,IF(OR($H99="Done",$H99="Dropped"),0,IF(OR($F99="",AND($B99="Action",NOT(ISNUMBER($G99))),LEN($F99)-LEN(SUBSTITUTE($F99,"(",""))&gt;=2,ISNUMBER(SEARCH(" and ",$Q99)),ISNUMBER(FIND("/",$Q99)),ISNUMBER(FIND("&amp;",$Q99)),ISNUMBER(FIND(",",$Q99))),1,0)))</f>
        <v/>
      </c>
      <c r="N99" s="9">
        <f>IF($A99="",0,IF(AND($H99="Open",ISNUMBER($G99)),IF($G99&lt;Dashboard!$B$16,1,0),0))</f>
        <v/>
      </c>
      <c r="O99" s="9">
        <f>IF($A99="",0,IF(AND($H99="Open",ISNUMBER($J99)),IF($J99&gt;=Dashboard!$H$9,1,0),0))</f>
        <v/>
      </c>
      <c r="P99" s="9">
        <f>IF($M99+$N99+$O99&gt;0,1,0)</f>
        <v/>
      </c>
      <c r="Q99" s="9">
        <f>LEFT($F99,IFERROR(FIND("(",$F99)-1,LEN($F99)))</f>
        <v/>
      </c>
    </row>
    <row r="100" ht="18" customHeight="1">
      <c r="A100" s="28" t="n"/>
      <c r="B100" s="28" t="n"/>
      <c r="C100" s="28" t="n"/>
      <c r="D100" s="14" t="n"/>
      <c r="E100" s="27" t="n"/>
      <c r="F100" s="27" t="n"/>
      <c r="G100" s="14" t="n"/>
      <c r="H100" s="28" t="n"/>
      <c r="I100" s="14" t="n"/>
      <c r="J100" s="36" t="n"/>
      <c r="K100" s="22">
        <f>IF($A100="","",IF(AND($H100="Open",ISNUMBER($G100)),IF($G100&lt;Dashboard!$B$16,"△ Overdue, was due "&amp;TEXT($G100,"d mmm yyyy"),"Open, due "&amp;TEXT($G100,"d mmm yyyy")),$H100&amp;""))</f>
        <v/>
      </c>
      <c r="L100" s="22">
        <f>IF($A100="","",IF($M100=1,"△ Needs one owner and a date",IF($N100=1,"△ Overdue, was due "&amp;TEXT($G100,"d mmm yyyy"),IF($O100=1,"△ Moved "&amp;$J100&amp;" times","○ Clear"))))</f>
        <v/>
      </c>
      <c r="M100" s="9">
        <f>IF($A100="",0,IF(OR($H100="Done",$H100="Dropped"),0,IF(OR($F100="",AND($B100="Action",NOT(ISNUMBER($G100))),LEN($F100)-LEN(SUBSTITUTE($F100,"(",""))&gt;=2,ISNUMBER(SEARCH(" and ",$Q100)),ISNUMBER(FIND("/",$Q100)),ISNUMBER(FIND("&amp;",$Q100)),ISNUMBER(FIND(",",$Q100))),1,0)))</f>
        <v/>
      </c>
      <c r="N100" s="9">
        <f>IF($A100="",0,IF(AND($H100="Open",ISNUMBER($G100)),IF($G100&lt;Dashboard!$B$16,1,0),0))</f>
        <v/>
      </c>
      <c r="O100" s="9">
        <f>IF($A100="",0,IF(AND($H100="Open",ISNUMBER($J100)),IF($J100&gt;=Dashboard!$H$9,1,0),0))</f>
        <v/>
      </c>
      <c r="P100" s="9">
        <f>IF($M100+$N100+$O100&gt;0,1,0)</f>
        <v/>
      </c>
      <c r="Q100" s="9">
        <f>LEFT($F100,IFERROR(FIND("(",$F100)-1,LEN($F100)))</f>
        <v/>
      </c>
    </row>
    <row r="101" ht="18" customHeight="1">
      <c r="A101" s="28" t="n"/>
      <c r="B101" s="28" t="n"/>
      <c r="C101" s="28" t="n"/>
      <c r="D101" s="14" t="n"/>
      <c r="E101" s="27" t="n"/>
      <c r="F101" s="27" t="n"/>
      <c r="G101" s="14" t="n"/>
      <c r="H101" s="28" t="n"/>
      <c r="I101" s="14" t="n"/>
      <c r="J101" s="36" t="n"/>
      <c r="K101" s="22">
        <f>IF($A101="","",IF(AND($H101="Open",ISNUMBER($G101)),IF($G101&lt;Dashboard!$B$16,"△ Overdue, was due "&amp;TEXT($G101,"d mmm yyyy"),"Open, due "&amp;TEXT($G101,"d mmm yyyy")),$H101&amp;""))</f>
        <v/>
      </c>
      <c r="L101" s="22">
        <f>IF($A101="","",IF($M101=1,"△ Needs one owner and a date",IF($N101=1,"△ Overdue, was due "&amp;TEXT($G101,"d mmm yyyy"),IF($O101=1,"△ Moved "&amp;$J101&amp;" times","○ Clear"))))</f>
        <v/>
      </c>
      <c r="M101" s="9">
        <f>IF($A101="",0,IF(OR($H101="Done",$H101="Dropped"),0,IF(OR($F101="",AND($B101="Action",NOT(ISNUMBER($G101))),LEN($F101)-LEN(SUBSTITUTE($F101,"(",""))&gt;=2,ISNUMBER(SEARCH(" and ",$Q101)),ISNUMBER(FIND("/",$Q101)),ISNUMBER(FIND("&amp;",$Q101)),ISNUMBER(FIND(",",$Q101))),1,0)))</f>
        <v/>
      </c>
      <c r="N101" s="9">
        <f>IF($A101="",0,IF(AND($H101="Open",ISNUMBER($G101)),IF($G101&lt;Dashboard!$B$16,1,0),0))</f>
        <v/>
      </c>
      <c r="O101" s="9">
        <f>IF($A101="",0,IF(AND($H101="Open",ISNUMBER($J101)),IF($J101&gt;=Dashboard!$H$9,1,0),0))</f>
        <v/>
      </c>
      <c r="P101" s="9">
        <f>IF($M101+$N101+$O101&gt;0,1,0)</f>
        <v/>
      </c>
      <c r="Q101" s="9">
        <f>LEFT($F101,IFERROR(FIND("(",$F101)-1,LEN($F101)))</f>
        <v/>
      </c>
    </row>
    <row r="102" ht="18" customHeight="1">
      <c r="A102" s="28" t="n"/>
      <c r="B102" s="28" t="n"/>
      <c r="C102" s="28" t="n"/>
      <c r="D102" s="14" t="n"/>
      <c r="E102" s="27" t="n"/>
      <c r="F102" s="27" t="n"/>
      <c r="G102" s="14" t="n"/>
      <c r="H102" s="28" t="n"/>
      <c r="I102" s="14" t="n"/>
      <c r="J102" s="36" t="n"/>
      <c r="K102" s="22">
        <f>IF($A102="","",IF(AND($H102="Open",ISNUMBER($G102)),IF($G102&lt;Dashboard!$B$16,"△ Overdue, was due "&amp;TEXT($G102,"d mmm yyyy"),"Open, due "&amp;TEXT($G102,"d mmm yyyy")),$H102&amp;""))</f>
        <v/>
      </c>
      <c r="L102" s="22">
        <f>IF($A102="","",IF($M102=1,"△ Needs one owner and a date",IF($N102=1,"△ Overdue, was due "&amp;TEXT($G102,"d mmm yyyy"),IF($O102=1,"△ Moved "&amp;$J102&amp;" times","○ Clear"))))</f>
        <v/>
      </c>
      <c r="M102" s="9">
        <f>IF($A102="",0,IF(OR($H102="Done",$H102="Dropped"),0,IF(OR($F102="",AND($B102="Action",NOT(ISNUMBER($G102))),LEN($F102)-LEN(SUBSTITUTE($F102,"(",""))&gt;=2,ISNUMBER(SEARCH(" and ",$Q102)),ISNUMBER(FIND("/",$Q102)),ISNUMBER(FIND("&amp;",$Q102)),ISNUMBER(FIND(",",$Q102))),1,0)))</f>
        <v/>
      </c>
      <c r="N102" s="9">
        <f>IF($A102="",0,IF(AND($H102="Open",ISNUMBER($G102)),IF($G102&lt;Dashboard!$B$16,1,0),0))</f>
        <v/>
      </c>
      <c r="O102" s="9">
        <f>IF($A102="",0,IF(AND($H102="Open",ISNUMBER($J102)),IF($J102&gt;=Dashboard!$H$9,1,0),0))</f>
        <v/>
      </c>
      <c r="P102" s="9">
        <f>IF($M102+$N102+$O102&gt;0,1,0)</f>
        <v/>
      </c>
      <c r="Q102" s="9">
        <f>LEFT($F102,IFERROR(FIND("(",$F102)-1,LEN($F102)))</f>
        <v/>
      </c>
    </row>
    <row r="103" ht="18" customHeight="1">
      <c r="A103" s="28" t="n"/>
      <c r="B103" s="28" t="n"/>
      <c r="C103" s="28" t="n"/>
      <c r="D103" s="14" t="n"/>
      <c r="E103" s="27" t="n"/>
      <c r="F103" s="27" t="n"/>
      <c r="G103" s="14" t="n"/>
      <c r="H103" s="28" t="n"/>
      <c r="I103" s="14" t="n"/>
      <c r="J103" s="36" t="n"/>
      <c r="K103" s="22">
        <f>IF($A103="","",IF(AND($H103="Open",ISNUMBER($G103)),IF($G103&lt;Dashboard!$B$16,"△ Overdue, was due "&amp;TEXT($G103,"d mmm yyyy"),"Open, due "&amp;TEXT($G103,"d mmm yyyy")),$H103&amp;""))</f>
        <v/>
      </c>
      <c r="L103" s="22">
        <f>IF($A103="","",IF($M103=1,"△ Needs one owner and a date",IF($N103=1,"△ Overdue, was due "&amp;TEXT($G103,"d mmm yyyy"),IF($O103=1,"△ Moved "&amp;$J103&amp;" times","○ Clear"))))</f>
        <v/>
      </c>
      <c r="M103" s="9">
        <f>IF($A103="",0,IF(OR($H103="Done",$H103="Dropped"),0,IF(OR($F103="",AND($B103="Action",NOT(ISNUMBER($G103))),LEN($F103)-LEN(SUBSTITUTE($F103,"(",""))&gt;=2,ISNUMBER(SEARCH(" and ",$Q103)),ISNUMBER(FIND("/",$Q103)),ISNUMBER(FIND("&amp;",$Q103)),ISNUMBER(FIND(",",$Q103))),1,0)))</f>
        <v/>
      </c>
      <c r="N103" s="9">
        <f>IF($A103="",0,IF(AND($H103="Open",ISNUMBER($G103)),IF($G103&lt;Dashboard!$B$16,1,0),0))</f>
        <v/>
      </c>
      <c r="O103" s="9">
        <f>IF($A103="",0,IF(AND($H103="Open",ISNUMBER($J103)),IF($J103&gt;=Dashboard!$H$9,1,0),0))</f>
        <v/>
      </c>
      <c r="P103" s="9">
        <f>IF($M103+$N103+$O103&gt;0,1,0)</f>
        <v/>
      </c>
      <c r="Q103" s="9">
        <f>LEFT($F103,IFERROR(FIND("(",$F103)-1,LEN($F103)))</f>
        <v/>
      </c>
    </row>
    <row r="104" ht="18" customHeight="1">
      <c r="A104" s="28" t="n"/>
      <c r="B104" s="28" t="n"/>
      <c r="C104" s="28" t="n"/>
      <c r="D104" s="14" t="n"/>
      <c r="E104" s="27" t="n"/>
      <c r="F104" s="27" t="n"/>
      <c r="G104" s="14" t="n"/>
      <c r="H104" s="28" t="n"/>
      <c r="I104" s="14" t="n"/>
      <c r="J104" s="36" t="n"/>
      <c r="K104" s="22">
        <f>IF($A104="","",IF(AND($H104="Open",ISNUMBER($G104)),IF($G104&lt;Dashboard!$B$16,"△ Overdue, was due "&amp;TEXT($G104,"d mmm yyyy"),"Open, due "&amp;TEXT($G104,"d mmm yyyy")),$H104&amp;""))</f>
        <v/>
      </c>
      <c r="L104" s="22">
        <f>IF($A104="","",IF($M104=1,"△ Needs one owner and a date",IF($N104=1,"△ Overdue, was due "&amp;TEXT($G104,"d mmm yyyy"),IF($O104=1,"△ Moved "&amp;$J104&amp;" times","○ Clear"))))</f>
        <v/>
      </c>
      <c r="M104" s="9">
        <f>IF($A104="",0,IF(OR($H104="Done",$H104="Dropped"),0,IF(OR($F104="",AND($B104="Action",NOT(ISNUMBER($G104))),LEN($F104)-LEN(SUBSTITUTE($F104,"(",""))&gt;=2,ISNUMBER(SEARCH(" and ",$Q104)),ISNUMBER(FIND("/",$Q104)),ISNUMBER(FIND("&amp;",$Q104)),ISNUMBER(FIND(",",$Q104))),1,0)))</f>
        <v/>
      </c>
      <c r="N104" s="9">
        <f>IF($A104="",0,IF(AND($H104="Open",ISNUMBER($G104)),IF($G104&lt;Dashboard!$B$16,1,0),0))</f>
        <v/>
      </c>
      <c r="O104" s="9">
        <f>IF($A104="",0,IF(AND($H104="Open",ISNUMBER($J104)),IF($J104&gt;=Dashboard!$H$9,1,0),0))</f>
        <v/>
      </c>
      <c r="P104" s="9">
        <f>IF($M104+$N104+$O104&gt;0,1,0)</f>
        <v/>
      </c>
      <c r="Q104" s="9">
        <f>LEFT($F104,IFERROR(FIND("(",$F104)-1,LEN($F104)))</f>
        <v/>
      </c>
    </row>
    <row r="105" ht="18" customHeight="1">
      <c r="A105" s="28" t="n"/>
      <c r="B105" s="28" t="n"/>
      <c r="C105" s="28" t="n"/>
      <c r="D105" s="14" t="n"/>
      <c r="E105" s="27" t="n"/>
      <c r="F105" s="27" t="n"/>
      <c r="G105" s="14" t="n"/>
      <c r="H105" s="28" t="n"/>
      <c r="I105" s="14" t="n"/>
      <c r="J105" s="36" t="n"/>
      <c r="K105" s="22">
        <f>IF($A105="","",IF(AND($H105="Open",ISNUMBER($G105)),IF($G105&lt;Dashboard!$B$16,"△ Overdue, was due "&amp;TEXT($G105,"d mmm yyyy"),"Open, due "&amp;TEXT($G105,"d mmm yyyy")),$H105&amp;""))</f>
        <v/>
      </c>
      <c r="L105" s="22">
        <f>IF($A105="","",IF($M105=1,"△ Needs one owner and a date",IF($N105=1,"△ Overdue, was due "&amp;TEXT($G105,"d mmm yyyy"),IF($O105=1,"△ Moved "&amp;$J105&amp;" times","○ Clear"))))</f>
        <v/>
      </c>
      <c r="M105" s="9">
        <f>IF($A105="",0,IF(OR($H105="Done",$H105="Dropped"),0,IF(OR($F105="",AND($B105="Action",NOT(ISNUMBER($G105))),LEN($F105)-LEN(SUBSTITUTE($F105,"(",""))&gt;=2,ISNUMBER(SEARCH(" and ",$Q105)),ISNUMBER(FIND("/",$Q105)),ISNUMBER(FIND("&amp;",$Q105)),ISNUMBER(FIND(",",$Q105))),1,0)))</f>
        <v/>
      </c>
      <c r="N105" s="9">
        <f>IF($A105="",0,IF(AND($H105="Open",ISNUMBER($G105)),IF($G105&lt;Dashboard!$B$16,1,0),0))</f>
        <v/>
      </c>
      <c r="O105" s="9">
        <f>IF($A105="",0,IF(AND($H105="Open",ISNUMBER($J105)),IF($J105&gt;=Dashboard!$H$9,1,0),0))</f>
        <v/>
      </c>
      <c r="P105" s="9">
        <f>IF($M105+$N105+$O105&gt;0,1,0)</f>
        <v/>
      </c>
      <c r="Q105" s="9">
        <f>LEFT($F105,IFERROR(FIND("(",$F105)-1,LEN($F105)))</f>
        <v/>
      </c>
    </row>
    <row r="106" ht="18" customHeight="1">
      <c r="A106" s="28" t="n"/>
      <c r="B106" s="28" t="n"/>
      <c r="C106" s="28" t="n"/>
      <c r="D106" s="14" t="n"/>
      <c r="E106" s="27" t="n"/>
      <c r="F106" s="27" t="n"/>
      <c r="G106" s="14" t="n"/>
      <c r="H106" s="28" t="n"/>
      <c r="I106" s="14" t="n"/>
      <c r="J106" s="36" t="n"/>
      <c r="K106" s="22">
        <f>IF($A106="","",IF(AND($H106="Open",ISNUMBER($G106)),IF($G106&lt;Dashboard!$B$16,"△ Overdue, was due "&amp;TEXT($G106,"d mmm yyyy"),"Open, due "&amp;TEXT($G106,"d mmm yyyy")),$H106&amp;""))</f>
        <v/>
      </c>
      <c r="L106" s="22">
        <f>IF($A106="","",IF($M106=1,"△ Needs one owner and a date",IF($N106=1,"△ Overdue, was due "&amp;TEXT($G106,"d mmm yyyy"),IF($O106=1,"△ Moved "&amp;$J106&amp;" times","○ Clear"))))</f>
        <v/>
      </c>
      <c r="M106" s="9">
        <f>IF($A106="",0,IF(OR($H106="Done",$H106="Dropped"),0,IF(OR($F106="",AND($B106="Action",NOT(ISNUMBER($G106))),LEN($F106)-LEN(SUBSTITUTE($F106,"(",""))&gt;=2,ISNUMBER(SEARCH(" and ",$Q106)),ISNUMBER(FIND("/",$Q106)),ISNUMBER(FIND("&amp;",$Q106)),ISNUMBER(FIND(",",$Q106))),1,0)))</f>
        <v/>
      </c>
      <c r="N106" s="9">
        <f>IF($A106="",0,IF(AND($H106="Open",ISNUMBER($G106)),IF($G106&lt;Dashboard!$B$16,1,0),0))</f>
        <v/>
      </c>
      <c r="O106" s="9">
        <f>IF($A106="",0,IF(AND($H106="Open",ISNUMBER($J106)),IF($J106&gt;=Dashboard!$H$9,1,0),0))</f>
        <v/>
      </c>
      <c r="P106" s="9">
        <f>IF($M106+$N106+$O106&gt;0,1,0)</f>
        <v/>
      </c>
      <c r="Q106" s="9">
        <f>LEFT($F106,IFERROR(FIND("(",$F106)-1,LEN($F106)))</f>
        <v/>
      </c>
    </row>
    <row r="107" ht="18" customHeight="1">
      <c r="A107" s="28" t="n"/>
      <c r="B107" s="28" t="n"/>
      <c r="C107" s="28" t="n"/>
      <c r="D107" s="14" t="n"/>
      <c r="E107" s="27" t="n"/>
      <c r="F107" s="27" t="n"/>
      <c r="G107" s="14" t="n"/>
      <c r="H107" s="28" t="n"/>
      <c r="I107" s="14" t="n"/>
      <c r="J107" s="36" t="n"/>
      <c r="K107" s="22">
        <f>IF($A107="","",IF(AND($H107="Open",ISNUMBER($G107)),IF($G107&lt;Dashboard!$B$16,"△ Overdue, was due "&amp;TEXT($G107,"d mmm yyyy"),"Open, due "&amp;TEXT($G107,"d mmm yyyy")),$H107&amp;""))</f>
        <v/>
      </c>
      <c r="L107" s="22">
        <f>IF($A107="","",IF($M107=1,"△ Needs one owner and a date",IF($N107=1,"△ Overdue, was due "&amp;TEXT($G107,"d mmm yyyy"),IF($O107=1,"△ Moved "&amp;$J107&amp;" times","○ Clear"))))</f>
        <v/>
      </c>
      <c r="M107" s="9">
        <f>IF($A107="",0,IF(OR($H107="Done",$H107="Dropped"),0,IF(OR($F107="",AND($B107="Action",NOT(ISNUMBER($G107))),LEN($F107)-LEN(SUBSTITUTE($F107,"(",""))&gt;=2,ISNUMBER(SEARCH(" and ",$Q107)),ISNUMBER(FIND("/",$Q107)),ISNUMBER(FIND("&amp;",$Q107)),ISNUMBER(FIND(",",$Q107))),1,0)))</f>
        <v/>
      </c>
      <c r="N107" s="9">
        <f>IF($A107="",0,IF(AND($H107="Open",ISNUMBER($G107)),IF($G107&lt;Dashboard!$B$16,1,0),0))</f>
        <v/>
      </c>
      <c r="O107" s="9">
        <f>IF($A107="",0,IF(AND($H107="Open",ISNUMBER($J107)),IF($J107&gt;=Dashboard!$H$9,1,0),0))</f>
        <v/>
      </c>
      <c r="P107" s="9">
        <f>IF($M107+$N107+$O107&gt;0,1,0)</f>
        <v/>
      </c>
      <c r="Q107" s="9">
        <f>LEFT($F107,IFERROR(FIND("(",$F107)-1,LEN($F107)))</f>
        <v/>
      </c>
    </row>
    <row r="108" ht="18" customHeight="1">
      <c r="A108" s="28" t="n"/>
      <c r="B108" s="28" t="n"/>
      <c r="C108" s="28" t="n"/>
      <c r="D108" s="14" t="n"/>
      <c r="E108" s="27" t="n"/>
      <c r="F108" s="27" t="n"/>
      <c r="G108" s="14" t="n"/>
      <c r="H108" s="28" t="n"/>
      <c r="I108" s="14" t="n"/>
      <c r="J108" s="36" t="n"/>
      <c r="K108" s="22">
        <f>IF($A108="","",IF(AND($H108="Open",ISNUMBER($G108)),IF($G108&lt;Dashboard!$B$16,"△ Overdue, was due "&amp;TEXT($G108,"d mmm yyyy"),"Open, due "&amp;TEXT($G108,"d mmm yyyy")),$H108&amp;""))</f>
        <v/>
      </c>
      <c r="L108" s="22">
        <f>IF($A108="","",IF($M108=1,"△ Needs one owner and a date",IF($N108=1,"△ Overdue, was due "&amp;TEXT($G108,"d mmm yyyy"),IF($O108=1,"△ Moved "&amp;$J108&amp;" times","○ Clear"))))</f>
        <v/>
      </c>
      <c r="M108" s="9">
        <f>IF($A108="",0,IF(OR($H108="Done",$H108="Dropped"),0,IF(OR($F108="",AND($B108="Action",NOT(ISNUMBER($G108))),LEN($F108)-LEN(SUBSTITUTE($F108,"(",""))&gt;=2,ISNUMBER(SEARCH(" and ",$Q108)),ISNUMBER(FIND("/",$Q108)),ISNUMBER(FIND("&amp;",$Q108)),ISNUMBER(FIND(",",$Q108))),1,0)))</f>
        <v/>
      </c>
      <c r="N108" s="9">
        <f>IF($A108="",0,IF(AND($H108="Open",ISNUMBER($G108)),IF($G108&lt;Dashboard!$B$16,1,0),0))</f>
        <v/>
      </c>
      <c r="O108" s="9">
        <f>IF($A108="",0,IF(AND($H108="Open",ISNUMBER($J108)),IF($J108&gt;=Dashboard!$H$9,1,0),0))</f>
        <v/>
      </c>
      <c r="P108" s="9">
        <f>IF($M108+$N108+$O108&gt;0,1,0)</f>
        <v/>
      </c>
      <c r="Q108" s="9">
        <f>LEFT($F108,IFERROR(FIND("(",$F108)-1,LEN($F108)))</f>
        <v/>
      </c>
    </row>
    <row r="109" ht="18" customHeight="1">
      <c r="A109" s="28" t="n"/>
      <c r="B109" s="28" t="n"/>
      <c r="C109" s="28" t="n"/>
      <c r="D109" s="14" t="n"/>
      <c r="E109" s="27" t="n"/>
      <c r="F109" s="27" t="n"/>
      <c r="G109" s="14" t="n"/>
      <c r="H109" s="28" t="n"/>
      <c r="I109" s="14" t="n"/>
      <c r="J109" s="36" t="n"/>
      <c r="K109" s="22">
        <f>IF($A109="","",IF(AND($H109="Open",ISNUMBER($G109)),IF($G109&lt;Dashboard!$B$16,"△ Overdue, was due "&amp;TEXT($G109,"d mmm yyyy"),"Open, due "&amp;TEXT($G109,"d mmm yyyy")),$H109&amp;""))</f>
        <v/>
      </c>
      <c r="L109" s="22">
        <f>IF($A109="","",IF($M109=1,"△ Needs one owner and a date",IF($N109=1,"△ Overdue, was due "&amp;TEXT($G109,"d mmm yyyy"),IF($O109=1,"△ Moved "&amp;$J109&amp;" times","○ Clear"))))</f>
        <v/>
      </c>
      <c r="M109" s="9">
        <f>IF($A109="",0,IF(OR($H109="Done",$H109="Dropped"),0,IF(OR($F109="",AND($B109="Action",NOT(ISNUMBER($G109))),LEN($F109)-LEN(SUBSTITUTE($F109,"(",""))&gt;=2,ISNUMBER(SEARCH(" and ",$Q109)),ISNUMBER(FIND("/",$Q109)),ISNUMBER(FIND("&amp;",$Q109)),ISNUMBER(FIND(",",$Q109))),1,0)))</f>
        <v/>
      </c>
      <c r="N109" s="9">
        <f>IF($A109="",0,IF(AND($H109="Open",ISNUMBER($G109)),IF($G109&lt;Dashboard!$B$16,1,0),0))</f>
        <v/>
      </c>
      <c r="O109" s="9">
        <f>IF($A109="",0,IF(AND($H109="Open",ISNUMBER($J109)),IF($J109&gt;=Dashboard!$H$9,1,0),0))</f>
        <v/>
      </c>
      <c r="P109" s="9">
        <f>IF($M109+$N109+$O109&gt;0,1,0)</f>
        <v/>
      </c>
      <c r="Q109" s="9">
        <f>LEFT($F109,IFERROR(FIND("(",$F109)-1,LEN($F109)))</f>
        <v/>
      </c>
    </row>
    <row r="110" ht="18" customHeight="1">
      <c r="A110" s="28" t="n"/>
      <c r="B110" s="28" t="n"/>
      <c r="C110" s="28" t="n"/>
      <c r="D110" s="14" t="n"/>
      <c r="E110" s="27" t="n"/>
      <c r="F110" s="27" t="n"/>
      <c r="G110" s="14" t="n"/>
      <c r="H110" s="28" t="n"/>
      <c r="I110" s="14" t="n"/>
      <c r="J110" s="36" t="n"/>
      <c r="K110" s="22">
        <f>IF($A110="","",IF(AND($H110="Open",ISNUMBER($G110)),IF($G110&lt;Dashboard!$B$16,"△ Overdue, was due "&amp;TEXT($G110,"d mmm yyyy"),"Open, due "&amp;TEXT($G110,"d mmm yyyy")),$H110&amp;""))</f>
        <v/>
      </c>
      <c r="L110" s="22">
        <f>IF($A110="","",IF($M110=1,"△ Needs one owner and a date",IF($N110=1,"△ Overdue, was due "&amp;TEXT($G110,"d mmm yyyy"),IF($O110=1,"△ Moved "&amp;$J110&amp;" times","○ Clear"))))</f>
        <v/>
      </c>
      <c r="M110" s="9">
        <f>IF($A110="",0,IF(OR($H110="Done",$H110="Dropped"),0,IF(OR($F110="",AND($B110="Action",NOT(ISNUMBER($G110))),LEN($F110)-LEN(SUBSTITUTE($F110,"(",""))&gt;=2,ISNUMBER(SEARCH(" and ",$Q110)),ISNUMBER(FIND("/",$Q110)),ISNUMBER(FIND("&amp;",$Q110)),ISNUMBER(FIND(",",$Q110))),1,0)))</f>
        <v/>
      </c>
      <c r="N110" s="9">
        <f>IF($A110="",0,IF(AND($H110="Open",ISNUMBER($G110)),IF($G110&lt;Dashboard!$B$16,1,0),0))</f>
        <v/>
      </c>
      <c r="O110" s="9">
        <f>IF($A110="",0,IF(AND($H110="Open",ISNUMBER($J110)),IF($J110&gt;=Dashboard!$H$9,1,0),0))</f>
        <v/>
      </c>
      <c r="P110" s="9">
        <f>IF($M110+$N110+$O110&gt;0,1,0)</f>
        <v/>
      </c>
      <c r="Q110" s="9">
        <f>LEFT($F110,IFERROR(FIND("(",$F110)-1,LEN($F110)))</f>
        <v/>
      </c>
    </row>
    <row r="111" ht="18" customHeight="1">
      <c r="A111" s="28" t="n"/>
      <c r="B111" s="28" t="n"/>
      <c r="C111" s="28" t="n"/>
      <c r="D111" s="14" t="n"/>
      <c r="E111" s="27" t="n"/>
      <c r="F111" s="27" t="n"/>
      <c r="G111" s="14" t="n"/>
      <c r="H111" s="28" t="n"/>
      <c r="I111" s="14" t="n"/>
      <c r="J111" s="36" t="n"/>
      <c r="K111" s="22">
        <f>IF($A111="","",IF(AND($H111="Open",ISNUMBER($G111)),IF($G111&lt;Dashboard!$B$16,"△ Overdue, was due "&amp;TEXT($G111,"d mmm yyyy"),"Open, due "&amp;TEXT($G111,"d mmm yyyy")),$H111&amp;""))</f>
        <v/>
      </c>
      <c r="L111" s="22">
        <f>IF($A111="","",IF($M111=1,"△ Needs one owner and a date",IF($N111=1,"△ Overdue, was due "&amp;TEXT($G111,"d mmm yyyy"),IF($O111=1,"△ Moved "&amp;$J111&amp;" times","○ Clear"))))</f>
        <v/>
      </c>
      <c r="M111" s="9">
        <f>IF($A111="",0,IF(OR($H111="Done",$H111="Dropped"),0,IF(OR($F111="",AND($B111="Action",NOT(ISNUMBER($G111))),LEN($F111)-LEN(SUBSTITUTE($F111,"(",""))&gt;=2,ISNUMBER(SEARCH(" and ",$Q111)),ISNUMBER(FIND("/",$Q111)),ISNUMBER(FIND("&amp;",$Q111)),ISNUMBER(FIND(",",$Q111))),1,0)))</f>
        <v/>
      </c>
      <c r="N111" s="9">
        <f>IF($A111="",0,IF(AND($H111="Open",ISNUMBER($G111)),IF($G111&lt;Dashboard!$B$16,1,0),0))</f>
        <v/>
      </c>
      <c r="O111" s="9">
        <f>IF($A111="",0,IF(AND($H111="Open",ISNUMBER($J111)),IF($J111&gt;=Dashboard!$H$9,1,0),0))</f>
        <v/>
      </c>
      <c r="P111" s="9">
        <f>IF($M111+$N111+$O111&gt;0,1,0)</f>
        <v/>
      </c>
      <c r="Q111" s="9">
        <f>LEFT($F111,IFERROR(FIND("(",$F111)-1,LEN($F111)))</f>
        <v/>
      </c>
    </row>
    <row r="112" ht="18" customHeight="1">
      <c r="A112" s="28" t="n"/>
      <c r="B112" s="28" t="n"/>
      <c r="C112" s="28" t="n"/>
      <c r="D112" s="14" t="n"/>
      <c r="E112" s="27" t="n"/>
      <c r="F112" s="27" t="n"/>
      <c r="G112" s="14" t="n"/>
      <c r="H112" s="28" t="n"/>
      <c r="I112" s="14" t="n"/>
      <c r="J112" s="36" t="n"/>
      <c r="K112" s="22">
        <f>IF($A112="","",IF(AND($H112="Open",ISNUMBER($G112)),IF($G112&lt;Dashboard!$B$16,"△ Overdue, was due "&amp;TEXT($G112,"d mmm yyyy"),"Open, due "&amp;TEXT($G112,"d mmm yyyy")),$H112&amp;""))</f>
        <v/>
      </c>
      <c r="L112" s="22">
        <f>IF($A112="","",IF($M112=1,"△ Needs one owner and a date",IF($N112=1,"△ Overdue, was due "&amp;TEXT($G112,"d mmm yyyy"),IF($O112=1,"△ Moved "&amp;$J112&amp;" times","○ Clear"))))</f>
        <v/>
      </c>
      <c r="M112" s="9">
        <f>IF($A112="",0,IF(OR($H112="Done",$H112="Dropped"),0,IF(OR($F112="",AND($B112="Action",NOT(ISNUMBER($G112))),LEN($F112)-LEN(SUBSTITUTE($F112,"(",""))&gt;=2,ISNUMBER(SEARCH(" and ",$Q112)),ISNUMBER(FIND("/",$Q112)),ISNUMBER(FIND("&amp;",$Q112)),ISNUMBER(FIND(",",$Q112))),1,0)))</f>
        <v/>
      </c>
      <c r="N112" s="9">
        <f>IF($A112="",0,IF(AND($H112="Open",ISNUMBER($G112)),IF($G112&lt;Dashboard!$B$16,1,0),0))</f>
        <v/>
      </c>
      <c r="O112" s="9">
        <f>IF($A112="",0,IF(AND($H112="Open",ISNUMBER($J112)),IF($J112&gt;=Dashboard!$H$9,1,0),0))</f>
        <v/>
      </c>
      <c r="P112" s="9">
        <f>IF($M112+$N112+$O112&gt;0,1,0)</f>
        <v/>
      </c>
      <c r="Q112" s="9">
        <f>LEFT($F112,IFERROR(FIND("(",$F112)-1,LEN($F112)))</f>
        <v/>
      </c>
    </row>
    <row r="113" ht="18" customHeight="1">
      <c r="A113" s="28" t="n"/>
      <c r="B113" s="28" t="n"/>
      <c r="C113" s="28" t="n"/>
      <c r="D113" s="14" t="n"/>
      <c r="E113" s="27" t="n"/>
      <c r="F113" s="27" t="n"/>
      <c r="G113" s="14" t="n"/>
      <c r="H113" s="28" t="n"/>
      <c r="I113" s="14" t="n"/>
      <c r="J113" s="36" t="n"/>
      <c r="K113" s="22">
        <f>IF($A113="","",IF(AND($H113="Open",ISNUMBER($G113)),IF($G113&lt;Dashboard!$B$16,"△ Overdue, was due "&amp;TEXT($G113,"d mmm yyyy"),"Open, due "&amp;TEXT($G113,"d mmm yyyy")),$H113&amp;""))</f>
        <v/>
      </c>
      <c r="L113" s="22">
        <f>IF($A113="","",IF($M113=1,"△ Needs one owner and a date",IF($N113=1,"△ Overdue, was due "&amp;TEXT($G113,"d mmm yyyy"),IF($O113=1,"△ Moved "&amp;$J113&amp;" times","○ Clear"))))</f>
        <v/>
      </c>
      <c r="M113" s="9">
        <f>IF($A113="",0,IF(OR($H113="Done",$H113="Dropped"),0,IF(OR($F113="",AND($B113="Action",NOT(ISNUMBER($G113))),LEN($F113)-LEN(SUBSTITUTE($F113,"(",""))&gt;=2,ISNUMBER(SEARCH(" and ",$Q113)),ISNUMBER(FIND("/",$Q113)),ISNUMBER(FIND("&amp;",$Q113)),ISNUMBER(FIND(",",$Q113))),1,0)))</f>
        <v/>
      </c>
      <c r="N113" s="9">
        <f>IF($A113="",0,IF(AND($H113="Open",ISNUMBER($G113)),IF($G113&lt;Dashboard!$B$16,1,0),0))</f>
        <v/>
      </c>
      <c r="O113" s="9">
        <f>IF($A113="",0,IF(AND($H113="Open",ISNUMBER($J113)),IF($J113&gt;=Dashboard!$H$9,1,0),0))</f>
        <v/>
      </c>
      <c r="P113" s="9">
        <f>IF($M113+$N113+$O113&gt;0,1,0)</f>
        <v/>
      </c>
      <c r="Q113" s="9">
        <f>LEFT($F113,IFERROR(FIND("(",$F113)-1,LEN($F113)))</f>
        <v/>
      </c>
    </row>
    <row r="114" ht="18" customHeight="1">
      <c r="A114" s="28" t="n"/>
      <c r="B114" s="28" t="n"/>
      <c r="C114" s="28" t="n"/>
      <c r="D114" s="14" t="n"/>
      <c r="E114" s="27" t="n"/>
      <c r="F114" s="27" t="n"/>
      <c r="G114" s="14" t="n"/>
      <c r="H114" s="28" t="n"/>
      <c r="I114" s="14" t="n"/>
      <c r="J114" s="36" t="n"/>
      <c r="K114" s="22">
        <f>IF($A114="","",IF(AND($H114="Open",ISNUMBER($G114)),IF($G114&lt;Dashboard!$B$16,"△ Overdue, was due "&amp;TEXT($G114,"d mmm yyyy"),"Open, due "&amp;TEXT($G114,"d mmm yyyy")),$H114&amp;""))</f>
        <v/>
      </c>
      <c r="L114" s="22">
        <f>IF($A114="","",IF($M114=1,"△ Needs one owner and a date",IF($N114=1,"△ Overdue, was due "&amp;TEXT($G114,"d mmm yyyy"),IF($O114=1,"△ Moved "&amp;$J114&amp;" times","○ Clear"))))</f>
        <v/>
      </c>
      <c r="M114" s="9">
        <f>IF($A114="",0,IF(OR($H114="Done",$H114="Dropped"),0,IF(OR($F114="",AND($B114="Action",NOT(ISNUMBER($G114))),LEN($F114)-LEN(SUBSTITUTE($F114,"(",""))&gt;=2,ISNUMBER(SEARCH(" and ",$Q114)),ISNUMBER(FIND("/",$Q114)),ISNUMBER(FIND("&amp;",$Q114)),ISNUMBER(FIND(",",$Q114))),1,0)))</f>
        <v/>
      </c>
      <c r="N114" s="9">
        <f>IF($A114="",0,IF(AND($H114="Open",ISNUMBER($G114)),IF($G114&lt;Dashboard!$B$16,1,0),0))</f>
        <v/>
      </c>
      <c r="O114" s="9">
        <f>IF($A114="",0,IF(AND($H114="Open",ISNUMBER($J114)),IF($J114&gt;=Dashboard!$H$9,1,0),0))</f>
        <v/>
      </c>
      <c r="P114" s="9">
        <f>IF($M114+$N114+$O114&gt;0,1,0)</f>
        <v/>
      </c>
      <c r="Q114" s="9">
        <f>LEFT($F114,IFERROR(FIND("(",$F114)-1,LEN($F114)))</f>
        <v/>
      </c>
    </row>
    <row r="115" ht="18" customHeight="1">
      <c r="A115" s="28" t="n"/>
      <c r="B115" s="28" t="n"/>
      <c r="C115" s="28" t="n"/>
      <c r="D115" s="14" t="n"/>
      <c r="E115" s="27" t="n"/>
      <c r="F115" s="27" t="n"/>
      <c r="G115" s="14" t="n"/>
      <c r="H115" s="28" t="n"/>
      <c r="I115" s="14" t="n"/>
      <c r="J115" s="36" t="n"/>
      <c r="K115" s="22">
        <f>IF($A115="","",IF(AND($H115="Open",ISNUMBER($G115)),IF($G115&lt;Dashboard!$B$16,"△ Overdue, was due "&amp;TEXT($G115,"d mmm yyyy"),"Open, due "&amp;TEXT($G115,"d mmm yyyy")),$H115&amp;""))</f>
        <v/>
      </c>
      <c r="L115" s="22">
        <f>IF($A115="","",IF($M115=1,"△ Needs one owner and a date",IF($N115=1,"△ Overdue, was due "&amp;TEXT($G115,"d mmm yyyy"),IF($O115=1,"△ Moved "&amp;$J115&amp;" times","○ Clear"))))</f>
        <v/>
      </c>
      <c r="M115" s="9">
        <f>IF($A115="",0,IF(OR($H115="Done",$H115="Dropped"),0,IF(OR($F115="",AND($B115="Action",NOT(ISNUMBER($G115))),LEN($F115)-LEN(SUBSTITUTE($F115,"(",""))&gt;=2,ISNUMBER(SEARCH(" and ",$Q115)),ISNUMBER(FIND("/",$Q115)),ISNUMBER(FIND("&amp;",$Q115)),ISNUMBER(FIND(",",$Q115))),1,0)))</f>
        <v/>
      </c>
      <c r="N115" s="9">
        <f>IF($A115="",0,IF(AND($H115="Open",ISNUMBER($G115)),IF($G115&lt;Dashboard!$B$16,1,0),0))</f>
        <v/>
      </c>
      <c r="O115" s="9">
        <f>IF($A115="",0,IF(AND($H115="Open",ISNUMBER($J115)),IF($J115&gt;=Dashboard!$H$9,1,0),0))</f>
        <v/>
      </c>
      <c r="P115" s="9">
        <f>IF($M115+$N115+$O115&gt;0,1,0)</f>
        <v/>
      </c>
      <c r="Q115" s="9">
        <f>LEFT($F115,IFERROR(FIND("(",$F115)-1,LEN($F115)))</f>
        <v/>
      </c>
    </row>
    <row r="116" ht="18" customHeight="1">
      <c r="A116" s="28" t="n"/>
      <c r="B116" s="28" t="n"/>
      <c r="C116" s="28" t="n"/>
      <c r="D116" s="14" t="n"/>
      <c r="E116" s="27" t="n"/>
      <c r="F116" s="27" t="n"/>
      <c r="G116" s="14" t="n"/>
      <c r="H116" s="28" t="n"/>
      <c r="I116" s="14" t="n"/>
      <c r="J116" s="36" t="n"/>
      <c r="K116" s="22">
        <f>IF($A116="","",IF(AND($H116="Open",ISNUMBER($G116)),IF($G116&lt;Dashboard!$B$16,"△ Overdue, was due "&amp;TEXT($G116,"d mmm yyyy"),"Open, due "&amp;TEXT($G116,"d mmm yyyy")),$H116&amp;""))</f>
        <v/>
      </c>
      <c r="L116" s="22">
        <f>IF($A116="","",IF($M116=1,"△ Needs one owner and a date",IF($N116=1,"△ Overdue, was due "&amp;TEXT($G116,"d mmm yyyy"),IF($O116=1,"△ Moved "&amp;$J116&amp;" times","○ Clear"))))</f>
        <v/>
      </c>
      <c r="M116" s="9">
        <f>IF($A116="",0,IF(OR($H116="Done",$H116="Dropped"),0,IF(OR($F116="",AND($B116="Action",NOT(ISNUMBER($G116))),LEN($F116)-LEN(SUBSTITUTE($F116,"(",""))&gt;=2,ISNUMBER(SEARCH(" and ",$Q116)),ISNUMBER(FIND("/",$Q116)),ISNUMBER(FIND("&amp;",$Q116)),ISNUMBER(FIND(",",$Q116))),1,0)))</f>
        <v/>
      </c>
      <c r="N116" s="9">
        <f>IF($A116="",0,IF(AND($H116="Open",ISNUMBER($G116)),IF($G116&lt;Dashboard!$B$16,1,0),0))</f>
        <v/>
      </c>
      <c r="O116" s="9">
        <f>IF($A116="",0,IF(AND($H116="Open",ISNUMBER($J116)),IF($J116&gt;=Dashboard!$H$9,1,0),0))</f>
        <v/>
      </c>
      <c r="P116" s="9">
        <f>IF($M116+$N116+$O116&gt;0,1,0)</f>
        <v/>
      </c>
      <c r="Q116" s="9">
        <f>LEFT($F116,IFERROR(FIND("(",$F116)-1,LEN($F116)))</f>
        <v/>
      </c>
    </row>
    <row r="117" ht="18" customHeight="1">
      <c r="A117" s="28" t="n"/>
      <c r="B117" s="28" t="n"/>
      <c r="C117" s="28" t="n"/>
      <c r="D117" s="14" t="n"/>
      <c r="E117" s="27" t="n"/>
      <c r="F117" s="27" t="n"/>
      <c r="G117" s="14" t="n"/>
      <c r="H117" s="28" t="n"/>
      <c r="I117" s="14" t="n"/>
      <c r="J117" s="36" t="n"/>
      <c r="K117" s="22">
        <f>IF($A117="","",IF(AND($H117="Open",ISNUMBER($G117)),IF($G117&lt;Dashboard!$B$16,"△ Overdue, was due "&amp;TEXT($G117,"d mmm yyyy"),"Open, due "&amp;TEXT($G117,"d mmm yyyy")),$H117&amp;""))</f>
        <v/>
      </c>
      <c r="L117" s="22">
        <f>IF($A117="","",IF($M117=1,"△ Needs one owner and a date",IF($N117=1,"△ Overdue, was due "&amp;TEXT($G117,"d mmm yyyy"),IF($O117=1,"△ Moved "&amp;$J117&amp;" times","○ Clear"))))</f>
        <v/>
      </c>
      <c r="M117" s="9">
        <f>IF($A117="",0,IF(OR($H117="Done",$H117="Dropped"),0,IF(OR($F117="",AND($B117="Action",NOT(ISNUMBER($G117))),LEN($F117)-LEN(SUBSTITUTE($F117,"(",""))&gt;=2,ISNUMBER(SEARCH(" and ",$Q117)),ISNUMBER(FIND("/",$Q117)),ISNUMBER(FIND("&amp;",$Q117)),ISNUMBER(FIND(",",$Q117))),1,0)))</f>
        <v/>
      </c>
      <c r="N117" s="9">
        <f>IF($A117="",0,IF(AND($H117="Open",ISNUMBER($G117)),IF($G117&lt;Dashboard!$B$16,1,0),0))</f>
        <v/>
      </c>
      <c r="O117" s="9">
        <f>IF($A117="",0,IF(AND($H117="Open",ISNUMBER($J117)),IF($J117&gt;=Dashboard!$H$9,1,0),0))</f>
        <v/>
      </c>
      <c r="P117" s="9">
        <f>IF($M117+$N117+$O117&gt;0,1,0)</f>
        <v/>
      </c>
      <c r="Q117" s="9">
        <f>LEFT($F117,IFERROR(FIND("(",$F117)-1,LEN($F117)))</f>
        <v/>
      </c>
    </row>
    <row r="118" ht="18" customHeight="1">
      <c r="A118" s="28" t="n"/>
      <c r="B118" s="28" t="n"/>
      <c r="C118" s="28" t="n"/>
      <c r="D118" s="14" t="n"/>
      <c r="E118" s="27" t="n"/>
      <c r="F118" s="27" t="n"/>
      <c r="G118" s="14" t="n"/>
      <c r="H118" s="28" t="n"/>
      <c r="I118" s="14" t="n"/>
      <c r="J118" s="36" t="n"/>
      <c r="K118" s="22">
        <f>IF($A118="","",IF(AND($H118="Open",ISNUMBER($G118)),IF($G118&lt;Dashboard!$B$16,"△ Overdue, was due "&amp;TEXT($G118,"d mmm yyyy"),"Open, due "&amp;TEXT($G118,"d mmm yyyy")),$H118&amp;""))</f>
        <v/>
      </c>
      <c r="L118" s="22">
        <f>IF($A118="","",IF($M118=1,"△ Needs one owner and a date",IF($N118=1,"△ Overdue, was due "&amp;TEXT($G118,"d mmm yyyy"),IF($O118=1,"△ Moved "&amp;$J118&amp;" times","○ Clear"))))</f>
        <v/>
      </c>
      <c r="M118" s="9">
        <f>IF($A118="",0,IF(OR($H118="Done",$H118="Dropped"),0,IF(OR($F118="",AND($B118="Action",NOT(ISNUMBER($G118))),LEN($F118)-LEN(SUBSTITUTE($F118,"(",""))&gt;=2,ISNUMBER(SEARCH(" and ",$Q118)),ISNUMBER(FIND("/",$Q118)),ISNUMBER(FIND("&amp;",$Q118)),ISNUMBER(FIND(",",$Q118))),1,0)))</f>
        <v/>
      </c>
      <c r="N118" s="9">
        <f>IF($A118="",0,IF(AND($H118="Open",ISNUMBER($G118)),IF($G118&lt;Dashboard!$B$16,1,0),0))</f>
        <v/>
      </c>
      <c r="O118" s="9">
        <f>IF($A118="",0,IF(AND($H118="Open",ISNUMBER($J118)),IF($J118&gt;=Dashboard!$H$9,1,0),0))</f>
        <v/>
      </c>
      <c r="P118" s="9">
        <f>IF($M118+$N118+$O118&gt;0,1,0)</f>
        <v/>
      </c>
      <c r="Q118" s="9">
        <f>LEFT($F118,IFERROR(FIND("(",$F118)-1,LEN($F118)))</f>
        <v/>
      </c>
    </row>
    <row r="119" ht="18" customHeight="1">
      <c r="A119" s="28" t="n"/>
      <c r="B119" s="28" t="n"/>
      <c r="C119" s="28" t="n"/>
      <c r="D119" s="14" t="n"/>
      <c r="E119" s="27" t="n"/>
      <c r="F119" s="27" t="n"/>
      <c r="G119" s="14" t="n"/>
      <c r="H119" s="28" t="n"/>
      <c r="I119" s="14" t="n"/>
      <c r="J119" s="36" t="n"/>
      <c r="K119" s="22">
        <f>IF($A119="","",IF(AND($H119="Open",ISNUMBER($G119)),IF($G119&lt;Dashboard!$B$16,"△ Overdue, was due "&amp;TEXT($G119,"d mmm yyyy"),"Open, due "&amp;TEXT($G119,"d mmm yyyy")),$H119&amp;""))</f>
        <v/>
      </c>
      <c r="L119" s="22">
        <f>IF($A119="","",IF($M119=1,"△ Needs one owner and a date",IF($N119=1,"△ Overdue, was due "&amp;TEXT($G119,"d mmm yyyy"),IF($O119=1,"△ Moved "&amp;$J119&amp;" times","○ Clear"))))</f>
        <v/>
      </c>
      <c r="M119" s="9">
        <f>IF($A119="",0,IF(OR($H119="Done",$H119="Dropped"),0,IF(OR($F119="",AND($B119="Action",NOT(ISNUMBER($G119))),LEN($F119)-LEN(SUBSTITUTE($F119,"(",""))&gt;=2,ISNUMBER(SEARCH(" and ",$Q119)),ISNUMBER(FIND("/",$Q119)),ISNUMBER(FIND("&amp;",$Q119)),ISNUMBER(FIND(",",$Q119))),1,0)))</f>
        <v/>
      </c>
      <c r="N119" s="9">
        <f>IF($A119="",0,IF(AND($H119="Open",ISNUMBER($G119)),IF($G119&lt;Dashboard!$B$16,1,0),0))</f>
        <v/>
      </c>
      <c r="O119" s="9">
        <f>IF($A119="",0,IF(AND($H119="Open",ISNUMBER($J119)),IF($J119&gt;=Dashboard!$H$9,1,0),0))</f>
        <v/>
      </c>
      <c r="P119" s="9">
        <f>IF($M119+$N119+$O119&gt;0,1,0)</f>
        <v/>
      </c>
      <c r="Q119" s="9">
        <f>LEFT($F119,IFERROR(FIND("(",$F119)-1,LEN($F119)))</f>
        <v/>
      </c>
    </row>
    <row r="120" ht="18" customHeight="1">
      <c r="A120" s="28" t="n"/>
      <c r="B120" s="28" t="n"/>
      <c r="C120" s="28" t="n"/>
      <c r="D120" s="14" t="n"/>
      <c r="E120" s="27" t="n"/>
      <c r="F120" s="27" t="n"/>
      <c r="G120" s="14" t="n"/>
      <c r="H120" s="28" t="n"/>
      <c r="I120" s="14" t="n"/>
      <c r="J120" s="36" t="n"/>
      <c r="K120" s="22">
        <f>IF($A120="","",IF(AND($H120="Open",ISNUMBER($G120)),IF($G120&lt;Dashboard!$B$16,"△ Overdue, was due "&amp;TEXT($G120,"d mmm yyyy"),"Open, due "&amp;TEXT($G120,"d mmm yyyy")),$H120&amp;""))</f>
        <v/>
      </c>
      <c r="L120" s="22">
        <f>IF($A120="","",IF($M120=1,"△ Needs one owner and a date",IF($N120=1,"△ Overdue, was due "&amp;TEXT($G120,"d mmm yyyy"),IF($O120=1,"△ Moved "&amp;$J120&amp;" times","○ Clear"))))</f>
        <v/>
      </c>
      <c r="M120" s="9">
        <f>IF($A120="",0,IF(OR($H120="Done",$H120="Dropped"),0,IF(OR($F120="",AND($B120="Action",NOT(ISNUMBER($G120))),LEN($F120)-LEN(SUBSTITUTE($F120,"(",""))&gt;=2,ISNUMBER(SEARCH(" and ",$Q120)),ISNUMBER(FIND("/",$Q120)),ISNUMBER(FIND("&amp;",$Q120)),ISNUMBER(FIND(",",$Q120))),1,0)))</f>
        <v/>
      </c>
      <c r="N120" s="9">
        <f>IF($A120="",0,IF(AND($H120="Open",ISNUMBER($G120)),IF($G120&lt;Dashboard!$B$16,1,0),0))</f>
        <v/>
      </c>
      <c r="O120" s="9">
        <f>IF($A120="",0,IF(AND($H120="Open",ISNUMBER($J120)),IF($J120&gt;=Dashboard!$H$9,1,0),0))</f>
        <v/>
      </c>
      <c r="P120" s="9">
        <f>IF($M120+$N120+$O120&gt;0,1,0)</f>
        <v/>
      </c>
      <c r="Q120" s="9">
        <f>LEFT($F120,IFERROR(FIND("(",$F120)-1,LEN($F120)))</f>
        <v/>
      </c>
    </row>
    <row r="121" ht="18" customHeight="1">
      <c r="A121" s="28" t="n"/>
      <c r="B121" s="28" t="n"/>
      <c r="C121" s="28" t="n"/>
      <c r="D121" s="14" t="n"/>
      <c r="E121" s="27" t="n"/>
      <c r="F121" s="27" t="n"/>
      <c r="G121" s="14" t="n"/>
      <c r="H121" s="28" t="n"/>
      <c r="I121" s="14" t="n"/>
      <c r="J121" s="36" t="n"/>
      <c r="K121" s="22">
        <f>IF($A121="","",IF(AND($H121="Open",ISNUMBER($G121)),IF($G121&lt;Dashboard!$B$16,"△ Overdue, was due "&amp;TEXT($G121,"d mmm yyyy"),"Open, due "&amp;TEXT($G121,"d mmm yyyy")),$H121&amp;""))</f>
        <v/>
      </c>
      <c r="L121" s="22">
        <f>IF($A121="","",IF($M121=1,"△ Needs one owner and a date",IF($N121=1,"△ Overdue, was due "&amp;TEXT($G121,"d mmm yyyy"),IF($O121=1,"△ Moved "&amp;$J121&amp;" times","○ Clear"))))</f>
        <v/>
      </c>
      <c r="M121" s="9">
        <f>IF($A121="",0,IF(OR($H121="Done",$H121="Dropped"),0,IF(OR($F121="",AND($B121="Action",NOT(ISNUMBER($G121))),LEN($F121)-LEN(SUBSTITUTE($F121,"(",""))&gt;=2,ISNUMBER(SEARCH(" and ",$Q121)),ISNUMBER(FIND("/",$Q121)),ISNUMBER(FIND("&amp;",$Q121)),ISNUMBER(FIND(",",$Q121))),1,0)))</f>
        <v/>
      </c>
      <c r="N121" s="9">
        <f>IF($A121="",0,IF(AND($H121="Open",ISNUMBER($G121)),IF($G121&lt;Dashboard!$B$16,1,0),0))</f>
        <v/>
      </c>
      <c r="O121" s="9">
        <f>IF($A121="",0,IF(AND($H121="Open",ISNUMBER($J121)),IF($J121&gt;=Dashboard!$H$9,1,0),0))</f>
        <v/>
      </c>
      <c r="P121" s="9">
        <f>IF($M121+$N121+$O121&gt;0,1,0)</f>
        <v/>
      </c>
      <c r="Q121" s="9">
        <f>LEFT($F121,IFERROR(FIND("(",$F121)-1,LEN($F121)))</f>
        <v/>
      </c>
    </row>
    <row r="122" ht="18" customHeight="1">
      <c r="A122" s="28" t="n"/>
      <c r="B122" s="28" t="n"/>
      <c r="C122" s="28" t="n"/>
      <c r="D122" s="14" t="n"/>
      <c r="E122" s="27" t="n"/>
      <c r="F122" s="27" t="n"/>
      <c r="G122" s="14" t="n"/>
      <c r="H122" s="28" t="n"/>
      <c r="I122" s="14" t="n"/>
      <c r="J122" s="36" t="n"/>
      <c r="K122" s="22">
        <f>IF($A122="","",IF(AND($H122="Open",ISNUMBER($G122)),IF($G122&lt;Dashboard!$B$16,"△ Overdue, was due "&amp;TEXT($G122,"d mmm yyyy"),"Open, due "&amp;TEXT($G122,"d mmm yyyy")),$H122&amp;""))</f>
        <v/>
      </c>
      <c r="L122" s="22">
        <f>IF($A122="","",IF($M122=1,"△ Needs one owner and a date",IF($N122=1,"△ Overdue, was due "&amp;TEXT($G122,"d mmm yyyy"),IF($O122=1,"△ Moved "&amp;$J122&amp;" times","○ Clear"))))</f>
        <v/>
      </c>
      <c r="M122" s="9">
        <f>IF($A122="",0,IF(OR($H122="Done",$H122="Dropped"),0,IF(OR($F122="",AND($B122="Action",NOT(ISNUMBER($G122))),LEN($F122)-LEN(SUBSTITUTE($F122,"(",""))&gt;=2,ISNUMBER(SEARCH(" and ",$Q122)),ISNUMBER(FIND("/",$Q122)),ISNUMBER(FIND("&amp;",$Q122)),ISNUMBER(FIND(",",$Q122))),1,0)))</f>
        <v/>
      </c>
      <c r="N122" s="9">
        <f>IF($A122="",0,IF(AND($H122="Open",ISNUMBER($G122)),IF($G122&lt;Dashboard!$B$16,1,0),0))</f>
        <v/>
      </c>
      <c r="O122" s="9">
        <f>IF($A122="",0,IF(AND($H122="Open",ISNUMBER($J122)),IF($J122&gt;=Dashboard!$H$9,1,0),0))</f>
        <v/>
      </c>
      <c r="P122" s="9">
        <f>IF($M122+$N122+$O122&gt;0,1,0)</f>
        <v/>
      </c>
      <c r="Q122" s="9">
        <f>LEFT($F122,IFERROR(FIND("(",$F122)-1,LEN($F122)))</f>
        <v/>
      </c>
    </row>
    <row r="123" ht="18" customHeight="1">
      <c r="A123" s="28" t="n"/>
      <c r="B123" s="28" t="n"/>
      <c r="C123" s="28" t="n"/>
      <c r="D123" s="14" t="n"/>
      <c r="E123" s="27" t="n"/>
      <c r="F123" s="27" t="n"/>
      <c r="G123" s="14" t="n"/>
      <c r="H123" s="28" t="n"/>
      <c r="I123" s="14" t="n"/>
      <c r="J123" s="36" t="n"/>
      <c r="K123" s="22">
        <f>IF($A123="","",IF(AND($H123="Open",ISNUMBER($G123)),IF($G123&lt;Dashboard!$B$16,"△ Overdue, was due "&amp;TEXT($G123,"d mmm yyyy"),"Open, due "&amp;TEXT($G123,"d mmm yyyy")),$H123&amp;""))</f>
        <v/>
      </c>
      <c r="L123" s="22">
        <f>IF($A123="","",IF($M123=1,"△ Needs one owner and a date",IF($N123=1,"△ Overdue, was due "&amp;TEXT($G123,"d mmm yyyy"),IF($O123=1,"△ Moved "&amp;$J123&amp;" times","○ Clear"))))</f>
        <v/>
      </c>
      <c r="M123" s="9">
        <f>IF($A123="",0,IF(OR($H123="Done",$H123="Dropped"),0,IF(OR($F123="",AND($B123="Action",NOT(ISNUMBER($G123))),LEN($F123)-LEN(SUBSTITUTE($F123,"(",""))&gt;=2,ISNUMBER(SEARCH(" and ",$Q123)),ISNUMBER(FIND("/",$Q123)),ISNUMBER(FIND("&amp;",$Q123)),ISNUMBER(FIND(",",$Q123))),1,0)))</f>
        <v/>
      </c>
      <c r="N123" s="9">
        <f>IF($A123="",0,IF(AND($H123="Open",ISNUMBER($G123)),IF($G123&lt;Dashboard!$B$16,1,0),0))</f>
        <v/>
      </c>
      <c r="O123" s="9">
        <f>IF($A123="",0,IF(AND($H123="Open",ISNUMBER($J123)),IF($J123&gt;=Dashboard!$H$9,1,0),0))</f>
        <v/>
      </c>
      <c r="P123" s="9">
        <f>IF($M123+$N123+$O123&gt;0,1,0)</f>
        <v/>
      </c>
      <c r="Q123" s="9">
        <f>LEFT($F123,IFERROR(FIND("(",$F123)-1,LEN($F123)))</f>
        <v/>
      </c>
    </row>
    <row r="124" ht="18" customHeight="1">
      <c r="A124" s="28" t="n"/>
      <c r="B124" s="28" t="n"/>
      <c r="C124" s="28" t="n"/>
      <c r="D124" s="14" t="n"/>
      <c r="E124" s="27" t="n"/>
      <c r="F124" s="27" t="n"/>
      <c r="G124" s="14" t="n"/>
      <c r="H124" s="28" t="n"/>
      <c r="I124" s="14" t="n"/>
      <c r="J124" s="36" t="n"/>
      <c r="K124" s="22">
        <f>IF($A124="","",IF(AND($H124="Open",ISNUMBER($G124)),IF($G124&lt;Dashboard!$B$16,"△ Overdue, was due "&amp;TEXT($G124,"d mmm yyyy"),"Open, due "&amp;TEXT($G124,"d mmm yyyy")),$H124&amp;""))</f>
        <v/>
      </c>
      <c r="L124" s="22">
        <f>IF($A124="","",IF($M124=1,"△ Needs one owner and a date",IF($N124=1,"△ Overdue, was due "&amp;TEXT($G124,"d mmm yyyy"),IF($O124=1,"△ Moved "&amp;$J124&amp;" times","○ Clear"))))</f>
        <v/>
      </c>
      <c r="M124" s="9">
        <f>IF($A124="",0,IF(OR($H124="Done",$H124="Dropped"),0,IF(OR($F124="",AND($B124="Action",NOT(ISNUMBER($G124))),LEN($F124)-LEN(SUBSTITUTE($F124,"(",""))&gt;=2,ISNUMBER(SEARCH(" and ",$Q124)),ISNUMBER(FIND("/",$Q124)),ISNUMBER(FIND("&amp;",$Q124)),ISNUMBER(FIND(",",$Q124))),1,0)))</f>
        <v/>
      </c>
      <c r="N124" s="9">
        <f>IF($A124="",0,IF(AND($H124="Open",ISNUMBER($G124)),IF($G124&lt;Dashboard!$B$16,1,0),0))</f>
        <v/>
      </c>
      <c r="O124" s="9">
        <f>IF($A124="",0,IF(AND($H124="Open",ISNUMBER($J124)),IF($J124&gt;=Dashboard!$H$9,1,0),0))</f>
        <v/>
      </c>
      <c r="P124" s="9">
        <f>IF($M124+$N124+$O124&gt;0,1,0)</f>
        <v/>
      </c>
      <c r="Q124" s="9">
        <f>LEFT($F124,IFERROR(FIND("(",$F124)-1,LEN($F124)))</f>
        <v/>
      </c>
    </row>
    <row r="125" ht="18" customHeight="1">
      <c r="A125" s="28" t="n"/>
      <c r="B125" s="28" t="n"/>
      <c r="C125" s="28" t="n"/>
      <c r="D125" s="14" t="n"/>
      <c r="E125" s="27" t="n"/>
      <c r="F125" s="27" t="n"/>
      <c r="G125" s="14" t="n"/>
      <c r="H125" s="28" t="n"/>
      <c r="I125" s="14" t="n"/>
      <c r="J125" s="36" t="n"/>
      <c r="K125" s="22">
        <f>IF($A125="","",IF(AND($H125="Open",ISNUMBER($G125)),IF($G125&lt;Dashboard!$B$16,"△ Overdue, was due "&amp;TEXT($G125,"d mmm yyyy"),"Open, due "&amp;TEXT($G125,"d mmm yyyy")),$H125&amp;""))</f>
        <v/>
      </c>
      <c r="L125" s="22">
        <f>IF($A125="","",IF($M125=1,"△ Needs one owner and a date",IF($N125=1,"△ Overdue, was due "&amp;TEXT($G125,"d mmm yyyy"),IF($O125=1,"△ Moved "&amp;$J125&amp;" times","○ Clear"))))</f>
        <v/>
      </c>
      <c r="M125" s="9">
        <f>IF($A125="",0,IF(OR($H125="Done",$H125="Dropped"),0,IF(OR($F125="",AND($B125="Action",NOT(ISNUMBER($G125))),LEN($F125)-LEN(SUBSTITUTE($F125,"(",""))&gt;=2,ISNUMBER(SEARCH(" and ",$Q125)),ISNUMBER(FIND("/",$Q125)),ISNUMBER(FIND("&amp;",$Q125)),ISNUMBER(FIND(",",$Q125))),1,0)))</f>
        <v/>
      </c>
      <c r="N125" s="9">
        <f>IF($A125="",0,IF(AND($H125="Open",ISNUMBER($G125)),IF($G125&lt;Dashboard!$B$16,1,0),0))</f>
        <v/>
      </c>
      <c r="O125" s="9">
        <f>IF($A125="",0,IF(AND($H125="Open",ISNUMBER($J125)),IF($J125&gt;=Dashboard!$H$9,1,0),0))</f>
        <v/>
      </c>
      <c r="P125" s="9">
        <f>IF($M125+$N125+$O125&gt;0,1,0)</f>
        <v/>
      </c>
      <c r="Q125" s="9">
        <f>LEFT($F125,IFERROR(FIND("(",$F125)-1,LEN($F125)))</f>
        <v/>
      </c>
    </row>
    <row r="126" ht="18" customHeight="1">
      <c r="A126" s="28" t="n"/>
      <c r="B126" s="28" t="n"/>
      <c r="C126" s="28" t="n"/>
      <c r="D126" s="14" t="n"/>
      <c r="E126" s="27" t="n"/>
      <c r="F126" s="27" t="n"/>
      <c r="G126" s="14" t="n"/>
      <c r="H126" s="28" t="n"/>
      <c r="I126" s="14" t="n"/>
      <c r="J126" s="36" t="n"/>
      <c r="K126" s="22">
        <f>IF($A126="","",IF(AND($H126="Open",ISNUMBER($G126)),IF($G126&lt;Dashboard!$B$16,"△ Overdue, was due "&amp;TEXT($G126,"d mmm yyyy"),"Open, due "&amp;TEXT($G126,"d mmm yyyy")),$H126&amp;""))</f>
        <v/>
      </c>
      <c r="L126" s="22">
        <f>IF($A126="","",IF($M126=1,"△ Needs one owner and a date",IF($N126=1,"△ Overdue, was due "&amp;TEXT($G126,"d mmm yyyy"),IF($O126=1,"△ Moved "&amp;$J126&amp;" times","○ Clear"))))</f>
        <v/>
      </c>
      <c r="M126" s="9">
        <f>IF($A126="",0,IF(OR($H126="Done",$H126="Dropped"),0,IF(OR($F126="",AND($B126="Action",NOT(ISNUMBER($G126))),LEN($F126)-LEN(SUBSTITUTE($F126,"(",""))&gt;=2,ISNUMBER(SEARCH(" and ",$Q126)),ISNUMBER(FIND("/",$Q126)),ISNUMBER(FIND("&amp;",$Q126)),ISNUMBER(FIND(",",$Q126))),1,0)))</f>
        <v/>
      </c>
      <c r="N126" s="9">
        <f>IF($A126="",0,IF(AND($H126="Open",ISNUMBER($G126)),IF($G126&lt;Dashboard!$B$16,1,0),0))</f>
        <v/>
      </c>
      <c r="O126" s="9">
        <f>IF($A126="",0,IF(AND($H126="Open",ISNUMBER($J126)),IF($J126&gt;=Dashboard!$H$9,1,0),0))</f>
        <v/>
      </c>
      <c r="P126" s="9">
        <f>IF($M126+$N126+$O126&gt;0,1,0)</f>
        <v/>
      </c>
      <c r="Q126" s="9">
        <f>LEFT($F126,IFERROR(FIND("(",$F126)-1,LEN($F126)))</f>
        <v/>
      </c>
    </row>
    <row r="127" ht="18" customHeight="1">
      <c r="A127" s="28" t="n"/>
      <c r="B127" s="28" t="n"/>
      <c r="C127" s="28" t="n"/>
      <c r="D127" s="14" t="n"/>
      <c r="E127" s="27" t="n"/>
      <c r="F127" s="27" t="n"/>
      <c r="G127" s="14" t="n"/>
      <c r="H127" s="28" t="n"/>
      <c r="I127" s="14" t="n"/>
      <c r="J127" s="36" t="n"/>
      <c r="K127" s="22">
        <f>IF($A127="","",IF(AND($H127="Open",ISNUMBER($G127)),IF($G127&lt;Dashboard!$B$16,"△ Overdue, was due "&amp;TEXT($G127,"d mmm yyyy"),"Open, due "&amp;TEXT($G127,"d mmm yyyy")),$H127&amp;""))</f>
        <v/>
      </c>
      <c r="L127" s="22">
        <f>IF($A127="","",IF($M127=1,"△ Needs one owner and a date",IF($N127=1,"△ Overdue, was due "&amp;TEXT($G127,"d mmm yyyy"),IF($O127=1,"△ Moved "&amp;$J127&amp;" times","○ Clear"))))</f>
        <v/>
      </c>
      <c r="M127" s="9">
        <f>IF($A127="",0,IF(OR($H127="Done",$H127="Dropped"),0,IF(OR($F127="",AND($B127="Action",NOT(ISNUMBER($G127))),LEN($F127)-LEN(SUBSTITUTE($F127,"(",""))&gt;=2,ISNUMBER(SEARCH(" and ",$Q127)),ISNUMBER(FIND("/",$Q127)),ISNUMBER(FIND("&amp;",$Q127)),ISNUMBER(FIND(",",$Q127))),1,0)))</f>
        <v/>
      </c>
      <c r="N127" s="9">
        <f>IF($A127="",0,IF(AND($H127="Open",ISNUMBER($G127)),IF($G127&lt;Dashboard!$B$16,1,0),0))</f>
        <v/>
      </c>
      <c r="O127" s="9">
        <f>IF($A127="",0,IF(AND($H127="Open",ISNUMBER($J127)),IF($J127&gt;=Dashboard!$H$9,1,0),0))</f>
        <v/>
      </c>
      <c r="P127" s="9">
        <f>IF($M127+$N127+$O127&gt;0,1,0)</f>
        <v/>
      </c>
      <c r="Q127" s="9">
        <f>LEFT($F127,IFERROR(FIND("(",$F127)-1,LEN($F127)))</f>
        <v/>
      </c>
    </row>
    <row r="128" ht="18" customHeight="1">
      <c r="A128" s="28" t="n"/>
      <c r="B128" s="28" t="n"/>
      <c r="C128" s="28" t="n"/>
      <c r="D128" s="14" t="n"/>
      <c r="E128" s="27" t="n"/>
      <c r="F128" s="27" t="n"/>
      <c r="G128" s="14" t="n"/>
      <c r="H128" s="28" t="n"/>
      <c r="I128" s="14" t="n"/>
      <c r="J128" s="36" t="n"/>
      <c r="K128" s="22">
        <f>IF($A128="","",IF(AND($H128="Open",ISNUMBER($G128)),IF($G128&lt;Dashboard!$B$16,"△ Overdue, was due "&amp;TEXT($G128,"d mmm yyyy"),"Open, due "&amp;TEXT($G128,"d mmm yyyy")),$H128&amp;""))</f>
        <v/>
      </c>
      <c r="L128" s="22">
        <f>IF($A128="","",IF($M128=1,"△ Needs one owner and a date",IF($N128=1,"△ Overdue, was due "&amp;TEXT($G128,"d mmm yyyy"),IF($O128=1,"△ Moved "&amp;$J128&amp;" times","○ Clear"))))</f>
        <v/>
      </c>
      <c r="M128" s="9">
        <f>IF($A128="",0,IF(OR($H128="Done",$H128="Dropped"),0,IF(OR($F128="",AND($B128="Action",NOT(ISNUMBER($G128))),LEN($F128)-LEN(SUBSTITUTE($F128,"(",""))&gt;=2,ISNUMBER(SEARCH(" and ",$Q128)),ISNUMBER(FIND("/",$Q128)),ISNUMBER(FIND("&amp;",$Q128)),ISNUMBER(FIND(",",$Q128))),1,0)))</f>
        <v/>
      </c>
      <c r="N128" s="9">
        <f>IF($A128="",0,IF(AND($H128="Open",ISNUMBER($G128)),IF($G128&lt;Dashboard!$B$16,1,0),0))</f>
        <v/>
      </c>
      <c r="O128" s="9">
        <f>IF($A128="",0,IF(AND($H128="Open",ISNUMBER($J128)),IF($J128&gt;=Dashboard!$H$9,1,0),0))</f>
        <v/>
      </c>
      <c r="P128" s="9">
        <f>IF($M128+$N128+$O128&gt;0,1,0)</f>
        <v/>
      </c>
      <c r="Q128" s="9">
        <f>LEFT($F128,IFERROR(FIND("(",$F128)-1,LEN($F128)))</f>
        <v/>
      </c>
    </row>
    <row r="129" ht="18" customHeight="1">
      <c r="A129" s="28" t="n"/>
      <c r="B129" s="28" t="n"/>
      <c r="C129" s="28" t="n"/>
      <c r="D129" s="14" t="n"/>
      <c r="E129" s="27" t="n"/>
      <c r="F129" s="27" t="n"/>
      <c r="G129" s="14" t="n"/>
      <c r="H129" s="28" t="n"/>
      <c r="I129" s="14" t="n"/>
      <c r="J129" s="36" t="n"/>
      <c r="K129" s="22">
        <f>IF($A129="","",IF(AND($H129="Open",ISNUMBER($G129)),IF($G129&lt;Dashboard!$B$16,"△ Overdue, was due "&amp;TEXT($G129,"d mmm yyyy"),"Open, due "&amp;TEXT($G129,"d mmm yyyy")),$H129&amp;""))</f>
        <v/>
      </c>
      <c r="L129" s="22">
        <f>IF($A129="","",IF($M129=1,"△ Needs one owner and a date",IF($N129=1,"△ Overdue, was due "&amp;TEXT($G129,"d mmm yyyy"),IF($O129=1,"△ Moved "&amp;$J129&amp;" times","○ Clear"))))</f>
        <v/>
      </c>
      <c r="M129" s="9">
        <f>IF($A129="",0,IF(OR($H129="Done",$H129="Dropped"),0,IF(OR($F129="",AND($B129="Action",NOT(ISNUMBER($G129))),LEN($F129)-LEN(SUBSTITUTE($F129,"(",""))&gt;=2,ISNUMBER(SEARCH(" and ",$Q129)),ISNUMBER(FIND("/",$Q129)),ISNUMBER(FIND("&amp;",$Q129)),ISNUMBER(FIND(",",$Q129))),1,0)))</f>
        <v/>
      </c>
      <c r="N129" s="9">
        <f>IF($A129="",0,IF(AND($H129="Open",ISNUMBER($G129)),IF($G129&lt;Dashboard!$B$16,1,0),0))</f>
        <v/>
      </c>
      <c r="O129" s="9">
        <f>IF($A129="",0,IF(AND($H129="Open",ISNUMBER($J129)),IF($J129&gt;=Dashboard!$H$9,1,0),0))</f>
        <v/>
      </c>
      <c r="P129" s="9">
        <f>IF($M129+$N129+$O129&gt;0,1,0)</f>
        <v/>
      </c>
      <c r="Q129" s="9">
        <f>LEFT($F129,IFERROR(FIND("(",$F129)-1,LEN($F129)))</f>
        <v/>
      </c>
    </row>
    <row r="130" ht="18" customHeight="1">
      <c r="A130" s="28" t="n"/>
      <c r="B130" s="28" t="n"/>
      <c r="C130" s="28" t="n"/>
      <c r="D130" s="14" t="n"/>
      <c r="E130" s="27" t="n"/>
      <c r="F130" s="27" t="n"/>
      <c r="G130" s="14" t="n"/>
      <c r="H130" s="28" t="n"/>
      <c r="I130" s="14" t="n"/>
      <c r="J130" s="36" t="n"/>
      <c r="K130" s="22">
        <f>IF($A130="","",IF(AND($H130="Open",ISNUMBER($G130)),IF($G130&lt;Dashboard!$B$16,"△ Overdue, was due "&amp;TEXT($G130,"d mmm yyyy"),"Open, due "&amp;TEXT($G130,"d mmm yyyy")),$H130&amp;""))</f>
        <v/>
      </c>
      <c r="L130" s="22">
        <f>IF($A130="","",IF($M130=1,"△ Needs one owner and a date",IF($N130=1,"△ Overdue, was due "&amp;TEXT($G130,"d mmm yyyy"),IF($O130=1,"△ Moved "&amp;$J130&amp;" times","○ Clear"))))</f>
        <v/>
      </c>
      <c r="M130" s="9">
        <f>IF($A130="",0,IF(OR($H130="Done",$H130="Dropped"),0,IF(OR($F130="",AND($B130="Action",NOT(ISNUMBER($G130))),LEN($F130)-LEN(SUBSTITUTE($F130,"(",""))&gt;=2,ISNUMBER(SEARCH(" and ",$Q130)),ISNUMBER(FIND("/",$Q130)),ISNUMBER(FIND("&amp;",$Q130)),ISNUMBER(FIND(",",$Q130))),1,0)))</f>
        <v/>
      </c>
      <c r="N130" s="9">
        <f>IF($A130="",0,IF(AND($H130="Open",ISNUMBER($G130)),IF($G130&lt;Dashboard!$B$16,1,0),0))</f>
        <v/>
      </c>
      <c r="O130" s="9">
        <f>IF($A130="",0,IF(AND($H130="Open",ISNUMBER($J130)),IF($J130&gt;=Dashboard!$H$9,1,0),0))</f>
        <v/>
      </c>
      <c r="P130" s="9">
        <f>IF($M130+$N130+$O130&gt;0,1,0)</f>
        <v/>
      </c>
      <c r="Q130" s="9">
        <f>LEFT($F130,IFERROR(FIND("(",$F130)-1,LEN($F130)))</f>
        <v/>
      </c>
    </row>
    <row r="131" ht="18" customHeight="1">
      <c r="A131" s="28" t="n"/>
      <c r="B131" s="28" t="n"/>
      <c r="C131" s="28" t="n"/>
      <c r="D131" s="14" t="n"/>
      <c r="E131" s="27" t="n"/>
      <c r="F131" s="27" t="n"/>
      <c r="G131" s="14" t="n"/>
      <c r="H131" s="28" t="n"/>
      <c r="I131" s="14" t="n"/>
      <c r="J131" s="36" t="n"/>
      <c r="K131" s="22">
        <f>IF($A131="","",IF(AND($H131="Open",ISNUMBER($G131)),IF($G131&lt;Dashboard!$B$16,"△ Overdue, was due "&amp;TEXT($G131,"d mmm yyyy"),"Open, due "&amp;TEXT($G131,"d mmm yyyy")),$H131&amp;""))</f>
        <v/>
      </c>
      <c r="L131" s="22">
        <f>IF($A131="","",IF($M131=1,"△ Needs one owner and a date",IF($N131=1,"△ Overdue, was due "&amp;TEXT($G131,"d mmm yyyy"),IF($O131=1,"△ Moved "&amp;$J131&amp;" times","○ Clear"))))</f>
        <v/>
      </c>
      <c r="M131" s="9">
        <f>IF($A131="",0,IF(OR($H131="Done",$H131="Dropped"),0,IF(OR($F131="",AND($B131="Action",NOT(ISNUMBER($G131))),LEN($F131)-LEN(SUBSTITUTE($F131,"(",""))&gt;=2,ISNUMBER(SEARCH(" and ",$Q131)),ISNUMBER(FIND("/",$Q131)),ISNUMBER(FIND("&amp;",$Q131)),ISNUMBER(FIND(",",$Q131))),1,0)))</f>
        <v/>
      </c>
      <c r="N131" s="9">
        <f>IF($A131="",0,IF(AND($H131="Open",ISNUMBER($G131)),IF($G131&lt;Dashboard!$B$16,1,0),0))</f>
        <v/>
      </c>
      <c r="O131" s="9">
        <f>IF($A131="",0,IF(AND($H131="Open",ISNUMBER($J131)),IF($J131&gt;=Dashboard!$H$9,1,0),0))</f>
        <v/>
      </c>
      <c r="P131" s="9">
        <f>IF($M131+$N131+$O131&gt;0,1,0)</f>
        <v/>
      </c>
      <c r="Q131" s="9">
        <f>LEFT($F131,IFERROR(FIND("(",$F131)-1,LEN($F131)))</f>
        <v/>
      </c>
    </row>
    <row r="132" ht="18" customHeight="1">
      <c r="A132" s="28" t="n"/>
      <c r="B132" s="28" t="n"/>
      <c r="C132" s="28" t="n"/>
      <c r="D132" s="14" t="n"/>
      <c r="E132" s="27" t="n"/>
      <c r="F132" s="27" t="n"/>
      <c r="G132" s="14" t="n"/>
      <c r="H132" s="28" t="n"/>
      <c r="I132" s="14" t="n"/>
      <c r="J132" s="36" t="n"/>
      <c r="K132" s="22">
        <f>IF($A132="","",IF(AND($H132="Open",ISNUMBER($G132)),IF($G132&lt;Dashboard!$B$16,"△ Overdue, was due "&amp;TEXT($G132,"d mmm yyyy"),"Open, due "&amp;TEXT($G132,"d mmm yyyy")),$H132&amp;""))</f>
        <v/>
      </c>
      <c r="L132" s="22">
        <f>IF($A132="","",IF($M132=1,"△ Needs one owner and a date",IF($N132=1,"△ Overdue, was due "&amp;TEXT($G132,"d mmm yyyy"),IF($O132=1,"△ Moved "&amp;$J132&amp;" times","○ Clear"))))</f>
        <v/>
      </c>
      <c r="M132" s="9">
        <f>IF($A132="",0,IF(OR($H132="Done",$H132="Dropped"),0,IF(OR($F132="",AND($B132="Action",NOT(ISNUMBER($G132))),LEN($F132)-LEN(SUBSTITUTE($F132,"(",""))&gt;=2,ISNUMBER(SEARCH(" and ",$Q132)),ISNUMBER(FIND("/",$Q132)),ISNUMBER(FIND("&amp;",$Q132)),ISNUMBER(FIND(",",$Q132))),1,0)))</f>
        <v/>
      </c>
      <c r="N132" s="9">
        <f>IF($A132="",0,IF(AND($H132="Open",ISNUMBER($G132)),IF($G132&lt;Dashboard!$B$16,1,0),0))</f>
        <v/>
      </c>
      <c r="O132" s="9">
        <f>IF($A132="",0,IF(AND($H132="Open",ISNUMBER($J132)),IF($J132&gt;=Dashboard!$H$9,1,0),0))</f>
        <v/>
      </c>
      <c r="P132" s="9">
        <f>IF($M132+$N132+$O132&gt;0,1,0)</f>
        <v/>
      </c>
      <c r="Q132" s="9">
        <f>LEFT($F132,IFERROR(FIND("(",$F132)-1,LEN($F132)))</f>
        <v/>
      </c>
    </row>
    <row r="133" ht="18" customHeight="1">
      <c r="A133" s="28" t="n"/>
      <c r="B133" s="28" t="n"/>
      <c r="C133" s="28" t="n"/>
      <c r="D133" s="14" t="n"/>
      <c r="E133" s="27" t="n"/>
      <c r="F133" s="27" t="n"/>
      <c r="G133" s="14" t="n"/>
      <c r="H133" s="28" t="n"/>
      <c r="I133" s="14" t="n"/>
      <c r="J133" s="36" t="n"/>
      <c r="K133" s="22">
        <f>IF($A133="","",IF(AND($H133="Open",ISNUMBER($G133)),IF($G133&lt;Dashboard!$B$16,"△ Overdue, was due "&amp;TEXT($G133,"d mmm yyyy"),"Open, due "&amp;TEXT($G133,"d mmm yyyy")),$H133&amp;""))</f>
        <v/>
      </c>
      <c r="L133" s="22">
        <f>IF($A133="","",IF($M133=1,"△ Needs one owner and a date",IF($N133=1,"△ Overdue, was due "&amp;TEXT($G133,"d mmm yyyy"),IF($O133=1,"△ Moved "&amp;$J133&amp;" times","○ Clear"))))</f>
        <v/>
      </c>
      <c r="M133" s="9">
        <f>IF($A133="",0,IF(OR($H133="Done",$H133="Dropped"),0,IF(OR($F133="",AND($B133="Action",NOT(ISNUMBER($G133))),LEN($F133)-LEN(SUBSTITUTE($F133,"(",""))&gt;=2,ISNUMBER(SEARCH(" and ",$Q133)),ISNUMBER(FIND("/",$Q133)),ISNUMBER(FIND("&amp;",$Q133)),ISNUMBER(FIND(",",$Q133))),1,0)))</f>
        <v/>
      </c>
      <c r="N133" s="9">
        <f>IF($A133="",0,IF(AND($H133="Open",ISNUMBER($G133)),IF($G133&lt;Dashboard!$B$16,1,0),0))</f>
        <v/>
      </c>
      <c r="O133" s="9">
        <f>IF($A133="",0,IF(AND($H133="Open",ISNUMBER($J133)),IF($J133&gt;=Dashboard!$H$9,1,0),0))</f>
        <v/>
      </c>
      <c r="P133" s="9">
        <f>IF($M133+$N133+$O133&gt;0,1,0)</f>
        <v/>
      </c>
      <c r="Q133" s="9">
        <f>LEFT($F133,IFERROR(FIND("(",$F133)-1,LEN($F133)))</f>
        <v/>
      </c>
    </row>
    <row r="134" ht="18" customHeight="1">
      <c r="A134" s="28" t="n"/>
      <c r="B134" s="28" t="n"/>
      <c r="C134" s="28" t="n"/>
      <c r="D134" s="14" t="n"/>
      <c r="E134" s="27" t="n"/>
      <c r="F134" s="27" t="n"/>
      <c r="G134" s="14" t="n"/>
      <c r="H134" s="28" t="n"/>
      <c r="I134" s="14" t="n"/>
      <c r="J134" s="36" t="n"/>
      <c r="K134" s="22">
        <f>IF($A134="","",IF(AND($H134="Open",ISNUMBER($G134)),IF($G134&lt;Dashboard!$B$16,"△ Overdue, was due "&amp;TEXT($G134,"d mmm yyyy"),"Open, due "&amp;TEXT($G134,"d mmm yyyy")),$H134&amp;""))</f>
        <v/>
      </c>
      <c r="L134" s="22">
        <f>IF($A134="","",IF($M134=1,"△ Needs one owner and a date",IF($N134=1,"△ Overdue, was due "&amp;TEXT($G134,"d mmm yyyy"),IF($O134=1,"△ Moved "&amp;$J134&amp;" times","○ Clear"))))</f>
        <v/>
      </c>
      <c r="M134" s="9">
        <f>IF($A134="",0,IF(OR($H134="Done",$H134="Dropped"),0,IF(OR($F134="",AND($B134="Action",NOT(ISNUMBER($G134))),LEN($F134)-LEN(SUBSTITUTE($F134,"(",""))&gt;=2,ISNUMBER(SEARCH(" and ",$Q134)),ISNUMBER(FIND("/",$Q134)),ISNUMBER(FIND("&amp;",$Q134)),ISNUMBER(FIND(",",$Q134))),1,0)))</f>
        <v/>
      </c>
      <c r="N134" s="9">
        <f>IF($A134="",0,IF(AND($H134="Open",ISNUMBER($G134)),IF($G134&lt;Dashboard!$B$16,1,0),0))</f>
        <v/>
      </c>
      <c r="O134" s="9">
        <f>IF($A134="",0,IF(AND($H134="Open",ISNUMBER($J134)),IF($J134&gt;=Dashboard!$H$9,1,0),0))</f>
        <v/>
      </c>
      <c r="P134" s="9">
        <f>IF($M134+$N134+$O134&gt;0,1,0)</f>
        <v/>
      </c>
      <c r="Q134" s="9">
        <f>LEFT($F134,IFERROR(FIND("(",$F134)-1,LEN($F134)))</f>
        <v/>
      </c>
    </row>
    <row r="135" ht="18" customHeight="1">
      <c r="A135" s="28" t="n"/>
      <c r="B135" s="28" t="n"/>
      <c r="C135" s="28" t="n"/>
      <c r="D135" s="14" t="n"/>
      <c r="E135" s="27" t="n"/>
      <c r="F135" s="27" t="n"/>
      <c r="G135" s="14" t="n"/>
      <c r="H135" s="28" t="n"/>
      <c r="I135" s="14" t="n"/>
      <c r="J135" s="36" t="n"/>
      <c r="K135" s="22">
        <f>IF($A135="","",IF(AND($H135="Open",ISNUMBER($G135)),IF($G135&lt;Dashboard!$B$16,"△ Overdue, was due "&amp;TEXT($G135,"d mmm yyyy"),"Open, due "&amp;TEXT($G135,"d mmm yyyy")),$H135&amp;""))</f>
        <v/>
      </c>
      <c r="L135" s="22">
        <f>IF($A135="","",IF($M135=1,"△ Needs one owner and a date",IF($N135=1,"△ Overdue, was due "&amp;TEXT($G135,"d mmm yyyy"),IF($O135=1,"△ Moved "&amp;$J135&amp;" times","○ Clear"))))</f>
        <v/>
      </c>
      <c r="M135" s="9">
        <f>IF($A135="",0,IF(OR($H135="Done",$H135="Dropped"),0,IF(OR($F135="",AND($B135="Action",NOT(ISNUMBER($G135))),LEN($F135)-LEN(SUBSTITUTE($F135,"(",""))&gt;=2,ISNUMBER(SEARCH(" and ",$Q135)),ISNUMBER(FIND("/",$Q135)),ISNUMBER(FIND("&amp;",$Q135)),ISNUMBER(FIND(",",$Q135))),1,0)))</f>
        <v/>
      </c>
      <c r="N135" s="9">
        <f>IF($A135="",0,IF(AND($H135="Open",ISNUMBER($G135)),IF($G135&lt;Dashboard!$B$16,1,0),0))</f>
        <v/>
      </c>
      <c r="O135" s="9">
        <f>IF($A135="",0,IF(AND($H135="Open",ISNUMBER($J135)),IF($J135&gt;=Dashboard!$H$9,1,0),0))</f>
        <v/>
      </c>
      <c r="P135" s="9">
        <f>IF($M135+$N135+$O135&gt;0,1,0)</f>
        <v/>
      </c>
      <c r="Q135" s="9">
        <f>LEFT($F135,IFERROR(FIND("(",$F135)-1,LEN($F135)))</f>
        <v/>
      </c>
    </row>
    <row r="136" ht="18" customHeight="1">
      <c r="A136" s="28" t="n"/>
      <c r="B136" s="28" t="n"/>
      <c r="C136" s="28" t="n"/>
      <c r="D136" s="14" t="n"/>
      <c r="E136" s="27" t="n"/>
      <c r="F136" s="27" t="n"/>
      <c r="G136" s="14" t="n"/>
      <c r="H136" s="28" t="n"/>
      <c r="I136" s="14" t="n"/>
      <c r="J136" s="36" t="n"/>
      <c r="K136" s="22">
        <f>IF($A136="","",IF(AND($H136="Open",ISNUMBER($G136)),IF($G136&lt;Dashboard!$B$16,"△ Overdue, was due "&amp;TEXT($G136,"d mmm yyyy"),"Open, due "&amp;TEXT($G136,"d mmm yyyy")),$H136&amp;""))</f>
        <v/>
      </c>
      <c r="L136" s="22">
        <f>IF($A136="","",IF($M136=1,"△ Needs one owner and a date",IF($N136=1,"△ Overdue, was due "&amp;TEXT($G136,"d mmm yyyy"),IF($O136=1,"△ Moved "&amp;$J136&amp;" times","○ Clear"))))</f>
        <v/>
      </c>
      <c r="M136" s="9">
        <f>IF($A136="",0,IF(OR($H136="Done",$H136="Dropped"),0,IF(OR($F136="",AND($B136="Action",NOT(ISNUMBER($G136))),LEN($F136)-LEN(SUBSTITUTE($F136,"(",""))&gt;=2,ISNUMBER(SEARCH(" and ",$Q136)),ISNUMBER(FIND("/",$Q136)),ISNUMBER(FIND("&amp;",$Q136)),ISNUMBER(FIND(",",$Q136))),1,0)))</f>
        <v/>
      </c>
      <c r="N136" s="9">
        <f>IF($A136="",0,IF(AND($H136="Open",ISNUMBER($G136)),IF($G136&lt;Dashboard!$B$16,1,0),0))</f>
        <v/>
      </c>
      <c r="O136" s="9">
        <f>IF($A136="",0,IF(AND($H136="Open",ISNUMBER($J136)),IF($J136&gt;=Dashboard!$H$9,1,0),0))</f>
        <v/>
      </c>
      <c r="P136" s="9">
        <f>IF($M136+$N136+$O136&gt;0,1,0)</f>
        <v/>
      </c>
      <c r="Q136" s="9">
        <f>LEFT($F136,IFERROR(FIND("(",$F136)-1,LEN($F136)))</f>
        <v/>
      </c>
    </row>
    <row r="137" ht="18" customHeight="1">
      <c r="A137" s="28" t="n"/>
      <c r="B137" s="28" t="n"/>
      <c r="C137" s="28" t="n"/>
      <c r="D137" s="14" t="n"/>
      <c r="E137" s="27" t="n"/>
      <c r="F137" s="27" t="n"/>
      <c r="G137" s="14" t="n"/>
      <c r="H137" s="28" t="n"/>
      <c r="I137" s="14" t="n"/>
      <c r="J137" s="36" t="n"/>
      <c r="K137" s="22">
        <f>IF($A137="","",IF(AND($H137="Open",ISNUMBER($G137)),IF($G137&lt;Dashboard!$B$16,"△ Overdue, was due "&amp;TEXT($G137,"d mmm yyyy"),"Open, due "&amp;TEXT($G137,"d mmm yyyy")),$H137&amp;""))</f>
        <v/>
      </c>
      <c r="L137" s="22">
        <f>IF($A137="","",IF($M137=1,"△ Needs one owner and a date",IF($N137=1,"△ Overdue, was due "&amp;TEXT($G137,"d mmm yyyy"),IF($O137=1,"△ Moved "&amp;$J137&amp;" times","○ Clear"))))</f>
        <v/>
      </c>
      <c r="M137" s="9">
        <f>IF($A137="",0,IF(OR($H137="Done",$H137="Dropped"),0,IF(OR($F137="",AND($B137="Action",NOT(ISNUMBER($G137))),LEN($F137)-LEN(SUBSTITUTE($F137,"(",""))&gt;=2,ISNUMBER(SEARCH(" and ",$Q137)),ISNUMBER(FIND("/",$Q137)),ISNUMBER(FIND("&amp;",$Q137)),ISNUMBER(FIND(",",$Q137))),1,0)))</f>
        <v/>
      </c>
      <c r="N137" s="9">
        <f>IF($A137="",0,IF(AND($H137="Open",ISNUMBER($G137)),IF($G137&lt;Dashboard!$B$16,1,0),0))</f>
        <v/>
      </c>
      <c r="O137" s="9">
        <f>IF($A137="",0,IF(AND($H137="Open",ISNUMBER($J137)),IF($J137&gt;=Dashboard!$H$9,1,0),0))</f>
        <v/>
      </c>
      <c r="P137" s="9">
        <f>IF($M137+$N137+$O137&gt;0,1,0)</f>
        <v/>
      </c>
      <c r="Q137" s="9">
        <f>LEFT($F137,IFERROR(FIND("(",$F137)-1,LEN($F137)))</f>
        <v/>
      </c>
    </row>
    <row r="138" ht="18" customHeight="1">
      <c r="A138" s="28" t="n"/>
      <c r="B138" s="28" t="n"/>
      <c r="C138" s="28" t="n"/>
      <c r="D138" s="14" t="n"/>
      <c r="E138" s="27" t="n"/>
      <c r="F138" s="27" t="n"/>
      <c r="G138" s="14" t="n"/>
      <c r="H138" s="28" t="n"/>
      <c r="I138" s="14" t="n"/>
      <c r="J138" s="36" t="n"/>
      <c r="K138" s="22">
        <f>IF($A138="","",IF(AND($H138="Open",ISNUMBER($G138)),IF($G138&lt;Dashboard!$B$16,"△ Overdue, was due "&amp;TEXT($G138,"d mmm yyyy"),"Open, due "&amp;TEXT($G138,"d mmm yyyy")),$H138&amp;""))</f>
        <v/>
      </c>
      <c r="L138" s="22">
        <f>IF($A138="","",IF($M138=1,"△ Needs one owner and a date",IF($N138=1,"△ Overdue, was due "&amp;TEXT($G138,"d mmm yyyy"),IF($O138=1,"△ Moved "&amp;$J138&amp;" times","○ Clear"))))</f>
        <v/>
      </c>
      <c r="M138" s="9">
        <f>IF($A138="",0,IF(OR($H138="Done",$H138="Dropped"),0,IF(OR($F138="",AND($B138="Action",NOT(ISNUMBER($G138))),LEN($F138)-LEN(SUBSTITUTE($F138,"(",""))&gt;=2,ISNUMBER(SEARCH(" and ",$Q138)),ISNUMBER(FIND("/",$Q138)),ISNUMBER(FIND("&amp;",$Q138)),ISNUMBER(FIND(",",$Q138))),1,0)))</f>
        <v/>
      </c>
      <c r="N138" s="9">
        <f>IF($A138="",0,IF(AND($H138="Open",ISNUMBER($G138)),IF($G138&lt;Dashboard!$B$16,1,0),0))</f>
        <v/>
      </c>
      <c r="O138" s="9">
        <f>IF($A138="",0,IF(AND($H138="Open",ISNUMBER($J138)),IF($J138&gt;=Dashboard!$H$9,1,0),0))</f>
        <v/>
      </c>
      <c r="P138" s="9">
        <f>IF($M138+$N138+$O138&gt;0,1,0)</f>
        <v/>
      </c>
      <c r="Q138" s="9">
        <f>LEFT($F138,IFERROR(FIND("(",$F138)-1,LEN($F138)))</f>
        <v/>
      </c>
    </row>
    <row r="139" ht="18" customHeight="1">
      <c r="A139" s="28" t="n"/>
      <c r="B139" s="28" t="n"/>
      <c r="C139" s="28" t="n"/>
      <c r="D139" s="14" t="n"/>
      <c r="E139" s="27" t="n"/>
      <c r="F139" s="27" t="n"/>
      <c r="G139" s="14" t="n"/>
      <c r="H139" s="28" t="n"/>
      <c r="I139" s="14" t="n"/>
      <c r="J139" s="36" t="n"/>
      <c r="K139" s="22">
        <f>IF($A139="","",IF(AND($H139="Open",ISNUMBER($G139)),IF($G139&lt;Dashboard!$B$16,"△ Overdue, was due "&amp;TEXT($G139,"d mmm yyyy"),"Open, due "&amp;TEXT($G139,"d mmm yyyy")),$H139&amp;""))</f>
        <v/>
      </c>
      <c r="L139" s="22">
        <f>IF($A139="","",IF($M139=1,"△ Needs one owner and a date",IF($N139=1,"△ Overdue, was due "&amp;TEXT($G139,"d mmm yyyy"),IF($O139=1,"△ Moved "&amp;$J139&amp;" times","○ Clear"))))</f>
        <v/>
      </c>
      <c r="M139" s="9">
        <f>IF($A139="",0,IF(OR($H139="Done",$H139="Dropped"),0,IF(OR($F139="",AND($B139="Action",NOT(ISNUMBER($G139))),LEN($F139)-LEN(SUBSTITUTE($F139,"(",""))&gt;=2,ISNUMBER(SEARCH(" and ",$Q139)),ISNUMBER(FIND("/",$Q139)),ISNUMBER(FIND("&amp;",$Q139)),ISNUMBER(FIND(",",$Q139))),1,0)))</f>
        <v/>
      </c>
      <c r="N139" s="9">
        <f>IF($A139="",0,IF(AND($H139="Open",ISNUMBER($G139)),IF($G139&lt;Dashboard!$B$16,1,0),0))</f>
        <v/>
      </c>
      <c r="O139" s="9">
        <f>IF($A139="",0,IF(AND($H139="Open",ISNUMBER($J139)),IF($J139&gt;=Dashboard!$H$9,1,0),0))</f>
        <v/>
      </c>
      <c r="P139" s="9">
        <f>IF($M139+$N139+$O139&gt;0,1,0)</f>
        <v/>
      </c>
      <c r="Q139" s="9">
        <f>LEFT($F139,IFERROR(FIND("(",$F139)-1,LEN($F139)))</f>
        <v/>
      </c>
    </row>
    <row r="140" ht="18" customHeight="1">
      <c r="A140" s="28" t="n"/>
      <c r="B140" s="28" t="n"/>
      <c r="C140" s="28" t="n"/>
      <c r="D140" s="14" t="n"/>
      <c r="E140" s="27" t="n"/>
      <c r="F140" s="27" t="n"/>
      <c r="G140" s="14" t="n"/>
      <c r="H140" s="28" t="n"/>
      <c r="I140" s="14" t="n"/>
      <c r="J140" s="36" t="n"/>
      <c r="K140" s="22">
        <f>IF($A140="","",IF(AND($H140="Open",ISNUMBER($G140)),IF($G140&lt;Dashboard!$B$16,"△ Overdue, was due "&amp;TEXT($G140,"d mmm yyyy"),"Open, due "&amp;TEXT($G140,"d mmm yyyy")),$H140&amp;""))</f>
        <v/>
      </c>
      <c r="L140" s="22">
        <f>IF($A140="","",IF($M140=1,"△ Needs one owner and a date",IF($N140=1,"△ Overdue, was due "&amp;TEXT($G140,"d mmm yyyy"),IF($O140=1,"△ Moved "&amp;$J140&amp;" times","○ Clear"))))</f>
        <v/>
      </c>
      <c r="M140" s="9">
        <f>IF($A140="",0,IF(OR($H140="Done",$H140="Dropped"),0,IF(OR($F140="",AND($B140="Action",NOT(ISNUMBER($G140))),LEN($F140)-LEN(SUBSTITUTE($F140,"(",""))&gt;=2,ISNUMBER(SEARCH(" and ",$Q140)),ISNUMBER(FIND("/",$Q140)),ISNUMBER(FIND("&amp;",$Q140)),ISNUMBER(FIND(",",$Q140))),1,0)))</f>
        <v/>
      </c>
      <c r="N140" s="9">
        <f>IF($A140="",0,IF(AND($H140="Open",ISNUMBER($G140)),IF($G140&lt;Dashboard!$B$16,1,0),0))</f>
        <v/>
      </c>
      <c r="O140" s="9">
        <f>IF($A140="",0,IF(AND($H140="Open",ISNUMBER($J140)),IF($J140&gt;=Dashboard!$H$9,1,0),0))</f>
        <v/>
      </c>
      <c r="P140" s="9">
        <f>IF($M140+$N140+$O140&gt;0,1,0)</f>
        <v/>
      </c>
      <c r="Q140" s="9">
        <f>LEFT($F140,IFERROR(FIND("(",$F140)-1,LEN($F140)))</f>
        <v/>
      </c>
    </row>
    <row r="141" ht="18" customHeight="1">
      <c r="A141" s="28" t="n"/>
      <c r="B141" s="28" t="n"/>
      <c r="C141" s="28" t="n"/>
      <c r="D141" s="14" t="n"/>
      <c r="E141" s="27" t="n"/>
      <c r="F141" s="27" t="n"/>
      <c r="G141" s="14" t="n"/>
      <c r="H141" s="28" t="n"/>
      <c r="I141" s="14" t="n"/>
      <c r="J141" s="36" t="n"/>
      <c r="K141" s="22">
        <f>IF($A141="","",IF(AND($H141="Open",ISNUMBER($G141)),IF($G141&lt;Dashboard!$B$16,"△ Overdue, was due "&amp;TEXT($G141,"d mmm yyyy"),"Open, due "&amp;TEXT($G141,"d mmm yyyy")),$H141&amp;""))</f>
        <v/>
      </c>
      <c r="L141" s="22">
        <f>IF($A141="","",IF($M141=1,"△ Needs one owner and a date",IF($N141=1,"△ Overdue, was due "&amp;TEXT($G141,"d mmm yyyy"),IF($O141=1,"△ Moved "&amp;$J141&amp;" times","○ Clear"))))</f>
        <v/>
      </c>
      <c r="M141" s="9">
        <f>IF($A141="",0,IF(OR($H141="Done",$H141="Dropped"),0,IF(OR($F141="",AND($B141="Action",NOT(ISNUMBER($G141))),LEN($F141)-LEN(SUBSTITUTE($F141,"(",""))&gt;=2,ISNUMBER(SEARCH(" and ",$Q141)),ISNUMBER(FIND("/",$Q141)),ISNUMBER(FIND("&amp;",$Q141)),ISNUMBER(FIND(",",$Q141))),1,0)))</f>
        <v/>
      </c>
      <c r="N141" s="9">
        <f>IF($A141="",0,IF(AND($H141="Open",ISNUMBER($G141)),IF($G141&lt;Dashboard!$B$16,1,0),0))</f>
        <v/>
      </c>
      <c r="O141" s="9">
        <f>IF($A141="",0,IF(AND($H141="Open",ISNUMBER($J141)),IF($J141&gt;=Dashboard!$H$9,1,0),0))</f>
        <v/>
      </c>
      <c r="P141" s="9">
        <f>IF($M141+$N141+$O141&gt;0,1,0)</f>
        <v/>
      </c>
      <c r="Q141" s="9">
        <f>LEFT($F141,IFERROR(FIND("(",$F141)-1,LEN($F141)))</f>
        <v/>
      </c>
    </row>
    <row r="142" ht="18" customHeight="1">
      <c r="A142" s="28" t="n"/>
      <c r="B142" s="28" t="n"/>
      <c r="C142" s="28" t="n"/>
      <c r="D142" s="14" t="n"/>
      <c r="E142" s="27" t="n"/>
      <c r="F142" s="27" t="n"/>
      <c r="G142" s="14" t="n"/>
      <c r="H142" s="28" t="n"/>
      <c r="I142" s="14" t="n"/>
      <c r="J142" s="36" t="n"/>
      <c r="K142" s="22">
        <f>IF($A142="","",IF(AND($H142="Open",ISNUMBER($G142)),IF($G142&lt;Dashboard!$B$16,"△ Overdue, was due "&amp;TEXT($G142,"d mmm yyyy"),"Open, due "&amp;TEXT($G142,"d mmm yyyy")),$H142&amp;""))</f>
        <v/>
      </c>
      <c r="L142" s="22">
        <f>IF($A142="","",IF($M142=1,"△ Needs one owner and a date",IF($N142=1,"△ Overdue, was due "&amp;TEXT($G142,"d mmm yyyy"),IF($O142=1,"△ Moved "&amp;$J142&amp;" times","○ Clear"))))</f>
        <v/>
      </c>
      <c r="M142" s="9">
        <f>IF($A142="",0,IF(OR($H142="Done",$H142="Dropped"),0,IF(OR($F142="",AND($B142="Action",NOT(ISNUMBER($G142))),LEN($F142)-LEN(SUBSTITUTE($F142,"(",""))&gt;=2,ISNUMBER(SEARCH(" and ",$Q142)),ISNUMBER(FIND("/",$Q142)),ISNUMBER(FIND("&amp;",$Q142)),ISNUMBER(FIND(",",$Q142))),1,0)))</f>
        <v/>
      </c>
      <c r="N142" s="9">
        <f>IF($A142="",0,IF(AND($H142="Open",ISNUMBER($G142)),IF($G142&lt;Dashboard!$B$16,1,0),0))</f>
        <v/>
      </c>
      <c r="O142" s="9">
        <f>IF($A142="",0,IF(AND($H142="Open",ISNUMBER($J142)),IF($J142&gt;=Dashboard!$H$9,1,0),0))</f>
        <v/>
      </c>
      <c r="P142" s="9">
        <f>IF($M142+$N142+$O142&gt;0,1,0)</f>
        <v/>
      </c>
      <c r="Q142" s="9">
        <f>LEFT($F142,IFERROR(FIND("(",$F142)-1,LEN($F142)))</f>
        <v/>
      </c>
    </row>
    <row r="143" ht="18" customHeight="1">
      <c r="A143" s="28" t="n"/>
      <c r="B143" s="28" t="n"/>
      <c r="C143" s="28" t="n"/>
      <c r="D143" s="14" t="n"/>
      <c r="E143" s="27" t="n"/>
      <c r="F143" s="27" t="n"/>
      <c r="G143" s="14" t="n"/>
      <c r="H143" s="28" t="n"/>
      <c r="I143" s="14" t="n"/>
      <c r="J143" s="36" t="n"/>
      <c r="K143" s="22">
        <f>IF($A143="","",IF(AND($H143="Open",ISNUMBER($G143)),IF($G143&lt;Dashboard!$B$16,"△ Overdue, was due "&amp;TEXT($G143,"d mmm yyyy"),"Open, due "&amp;TEXT($G143,"d mmm yyyy")),$H143&amp;""))</f>
        <v/>
      </c>
      <c r="L143" s="22">
        <f>IF($A143="","",IF($M143=1,"△ Needs one owner and a date",IF($N143=1,"△ Overdue, was due "&amp;TEXT($G143,"d mmm yyyy"),IF($O143=1,"△ Moved "&amp;$J143&amp;" times","○ Clear"))))</f>
        <v/>
      </c>
      <c r="M143" s="9">
        <f>IF($A143="",0,IF(OR($H143="Done",$H143="Dropped"),0,IF(OR($F143="",AND($B143="Action",NOT(ISNUMBER($G143))),LEN($F143)-LEN(SUBSTITUTE($F143,"(",""))&gt;=2,ISNUMBER(SEARCH(" and ",$Q143)),ISNUMBER(FIND("/",$Q143)),ISNUMBER(FIND("&amp;",$Q143)),ISNUMBER(FIND(",",$Q143))),1,0)))</f>
        <v/>
      </c>
      <c r="N143" s="9">
        <f>IF($A143="",0,IF(AND($H143="Open",ISNUMBER($G143)),IF($G143&lt;Dashboard!$B$16,1,0),0))</f>
        <v/>
      </c>
      <c r="O143" s="9">
        <f>IF($A143="",0,IF(AND($H143="Open",ISNUMBER($J143)),IF($J143&gt;=Dashboard!$H$9,1,0),0))</f>
        <v/>
      </c>
      <c r="P143" s="9">
        <f>IF($M143+$N143+$O143&gt;0,1,0)</f>
        <v/>
      </c>
      <c r="Q143" s="9">
        <f>LEFT($F143,IFERROR(FIND("(",$F143)-1,LEN($F143)))</f>
        <v/>
      </c>
    </row>
    <row r="144" ht="18" customHeight="1">
      <c r="A144" s="28" t="n"/>
      <c r="B144" s="28" t="n"/>
      <c r="C144" s="28" t="n"/>
      <c r="D144" s="14" t="n"/>
      <c r="E144" s="27" t="n"/>
      <c r="F144" s="27" t="n"/>
      <c r="G144" s="14" t="n"/>
      <c r="H144" s="28" t="n"/>
      <c r="I144" s="14" t="n"/>
      <c r="J144" s="36" t="n"/>
      <c r="K144" s="22">
        <f>IF($A144="","",IF(AND($H144="Open",ISNUMBER($G144)),IF($G144&lt;Dashboard!$B$16,"△ Overdue, was due "&amp;TEXT($G144,"d mmm yyyy"),"Open, due "&amp;TEXT($G144,"d mmm yyyy")),$H144&amp;""))</f>
        <v/>
      </c>
      <c r="L144" s="22">
        <f>IF($A144="","",IF($M144=1,"△ Needs one owner and a date",IF($N144=1,"△ Overdue, was due "&amp;TEXT($G144,"d mmm yyyy"),IF($O144=1,"△ Moved "&amp;$J144&amp;" times","○ Clear"))))</f>
        <v/>
      </c>
      <c r="M144" s="9">
        <f>IF($A144="",0,IF(OR($H144="Done",$H144="Dropped"),0,IF(OR($F144="",AND($B144="Action",NOT(ISNUMBER($G144))),LEN($F144)-LEN(SUBSTITUTE($F144,"(",""))&gt;=2,ISNUMBER(SEARCH(" and ",$Q144)),ISNUMBER(FIND("/",$Q144)),ISNUMBER(FIND("&amp;",$Q144)),ISNUMBER(FIND(",",$Q144))),1,0)))</f>
        <v/>
      </c>
      <c r="N144" s="9">
        <f>IF($A144="",0,IF(AND($H144="Open",ISNUMBER($G144)),IF($G144&lt;Dashboard!$B$16,1,0),0))</f>
        <v/>
      </c>
      <c r="O144" s="9">
        <f>IF($A144="",0,IF(AND($H144="Open",ISNUMBER($J144)),IF($J144&gt;=Dashboard!$H$9,1,0),0))</f>
        <v/>
      </c>
      <c r="P144" s="9">
        <f>IF($M144+$N144+$O144&gt;0,1,0)</f>
        <v/>
      </c>
      <c r="Q144" s="9">
        <f>LEFT($F144,IFERROR(FIND("(",$F144)-1,LEN($F144)))</f>
        <v/>
      </c>
    </row>
    <row r="145" ht="18" customHeight="1">
      <c r="A145" s="28" t="n"/>
      <c r="B145" s="28" t="n"/>
      <c r="C145" s="28" t="n"/>
      <c r="D145" s="14" t="n"/>
      <c r="E145" s="27" t="n"/>
      <c r="F145" s="27" t="n"/>
      <c r="G145" s="14" t="n"/>
      <c r="H145" s="28" t="n"/>
      <c r="I145" s="14" t="n"/>
      <c r="J145" s="36" t="n"/>
      <c r="K145" s="22">
        <f>IF($A145="","",IF(AND($H145="Open",ISNUMBER($G145)),IF($G145&lt;Dashboard!$B$16,"△ Overdue, was due "&amp;TEXT($G145,"d mmm yyyy"),"Open, due "&amp;TEXT($G145,"d mmm yyyy")),$H145&amp;""))</f>
        <v/>
      </c>
      <c r="L145" s="22">
        <f>IF($A145="","",IF($M145=1,"△ Needs one owner and a date",IF($N145=1,"△ Overdue, was due "&amp;TEXT($G145,"d mmm yyyy"),IF($O145=1,"△ Moved "&amp;$J145&amp;" times","○ Clear"))))</f>
        <v/>
      </c>
      <c r="M145" s="9">
        <f>IF($A145="",0,IF(OR($H145="Done",$H145="Dropped"),0,IF(OR($F145="",AND($B145="Action",NOT(ISNUMBER($G145))),LEN($F145)-LEN(SUBSTITUTE($F145,"(",""))&gt;=2,ISNUMBER(SEARCH(" and ",$Q145)),ISNUMBER(FIND("/",$Q145)),ISNUMBER(FIND("&amp;",$Q145)),ISNUMBER(FIND(",",$Q145))),1,0)))</f>
        <v/>
      </c>
      <c r="N145" s="9">
        <f>IF($A145="",0,IF(AND($H145="Open",ISNUMBER($G145)),IF($G145&lt;Dashboard!$B$16,1,0),0))</f>
        <v/>
      </c>
      <c r="O145" s="9">
        <f>IF($A145="",0,IF(AND($H145="Open",ISNUMBER($J145)),IF($J145&gt;=Dashboard!$H$9,1,0),0))</f>
        <v/>
      </c>
      <c r="P145" s="9">
        <f>IF($M145+$N145+$O145&gt;0,1,0)</f>
        <v/>
      </c>
      <c r="Q145" s="9">
        <f>LEFT($F145,IFERROR(FIND("(",$F145)-1,LEN($F145)))</f>
        <v/>
      </c>
    </row>
    <row r="146" ht="18" customHeight="1">
      <c r="A146" s="28" t="n"/>
      <c r="B146" s="28" t="n"/>
      <c r="C146" s="28" t="n"/>
      <c r="D146" s="14" t="n"/>
      <c r="E146" s="27" t="n"/>
      <c r="F146" s="27" t="n"/>
      <c r="G146" s="14" t="n"/>
      <c r="H146" s="28" t="n"/>
      <c r="I146" s="14" t="n"/>
      <c r="J146" s="36" t="n"/>
      <c r="K146" s="22">
        <f>IF($A146="","",IF(AND($H146="Open",ISNUMBER($G146)),IF($G146&lt;Dashboard!$B$16,"△ Overdue, was due "&amp;TEXT($G146,"d mmm yyyy"),"Open, due "&amp;TEXT($G146,"d mmm yyyy")),$H146&amp;""))</f>
        <v/>
      </c>
      <c r="L146" s="22">
        <f>IF($A146="","",IF($M146=1,"△ Needs one owner and a date",IF($N146=1,"△ Overdue, was due "&amp;TEXT($G146,"d mmm yyyy"),IF($O146=1,"△ Moved "&amp;$J146&amp;" times","○ Clear"))))</f>
        <v/>
      </c>
      <c r="M146" s="9">
        <f>IF($A146="",0,IF(OR($H146="Done",$H146="Dropped"),0,IF(OR($F146="",AND($B146="Action",NOT(ISNUMBER($G146))),LEN($F146)-LEN(SUBSTITUTE($F146,"(",""))&gt;=2,ISNUMBER(SEARCH(" and ",$Q146)),ISNUMBER(FIND("/",$Q146)),ISNUMBER(FIND("&amp;",$Q146)),ISNUMBER(FIND(",",$Q146))),1,0)))</f>
        <v/>
      </c>
      <c r="N146" s="9">
        <f>IF($A146="",0,IF(AND($H146="Open",ISNUMBER($G146)),IF($G146&lt;Dashboard!$B$16,1,0),0))</f>
        <v/>
      </c>
      <c r="O146" s="9">
        <f>IF($A146="",0,IF(AND($H146="Open",ISNUMBER($J146)),IF($J146&gt;=Dashboard!$H$9,1,0),0))</f>
        <v/>
      </c>
      <c r="P146" s="9">
        <f>IF($M146+$N146+$O146&gt;0,1,0)</f>
        <v/>
      </c>
      <c r="Q146" s="9">
        <f>LEFT($F146,IFERROR(FIND("(",$F146)-1,LEN($F146)))</f>
        <v/>
      </c>
    </row>
    <row r="147" ht="18" customHeight="1">
      <c r="A147" s="28" t="n"/>
      <c r="B147" s="28" t="n"/>
      <c r="C147" s="28" t="n"/>
      <c r="D147" s="14" t="n"/>
      <c r="E147" s="27" t="n"/>
      <c r="F147" s="27" t="n"/>
      <c r="G147" s="14" t="n"/>
      <c r="H147" s="28" t="n"/>
      <c r="I147" s="14" t="n"/>
      <c r="J147" s="36" t="n"/>
      <c r="K147" s="22">
        <f>IF($A147="","",IF(AND($H147="Open",ISNUMBER($G147)),IF($G147&lt;Dashboard!$B$16,"△ Overdue, was due "&amp;TEXT($G147,"d mmm yyyy"),"Open, due "&amp;TEXT($G147,"d mmm yyyy")),$H147&amp;""))</f>
        <v/>
      </c>
      <c r="L147" s="22">
        <f>IF($A147="","",IF($M147=1,"△ Needs one owner and a date",IF($N147=1,"△ Overdue, was due "&amp;TEXT($G147,"d mmm yyyy"),IF($O147=1,"△ Moved "&amp;$J147&amp;" times","○ Clear"))))</f>
        <v/>
      </c>
      <c r="M147" s="9">
        <f>IF($A147="",0,IF(OR($H147="Done",$H147="Dropped"),0,IF(OR($F147="",AND($B147="Action",NOT(ISNUMBER($G147))),LEN($F147)-LEN(SUBSTITUTE($F147,"(",""))&gt;=2,ISNUMBER(SEARCH(" and ",$Q147)),ISNUMBER(FIND("/",$Q147)),ISNUMBER(FIND("&amp;",$Q147)),ISNUMBER(FIND(",",$Q147))),1,0)))</f>
        <v/>
      </c>
      <c r="N147" s="9">
        <f>IF($A147="",0,IF(AND($H147="Open",ISNUMBER($G147)),IF($G147&lt;Dashboard!$B$16,1,0),0))</f>
        <v/>
      </c>
      <c r="O147" s="9">
        <f>IF($A147="",0,IF(AND($H147="Open",ISNUMBER($J147)),IF($J147&gt;=Dashboard!$H$9,1,0),0))</f>
        <v/>
      </c>
      <c r="P147" s="9">
        <f>IF($M147+$N147+$O147&gt;0,1,0)</f>
        <v/>
      </c>
      <c r="Q147" s="9">
        <f>LEFT($F147,IFERROR(FIND("(",$F147)-1,LEN($F147)))</f>
        <v/>
      </c>
    </row>
    <row r="148" ht="18" customHeight="1">
      <c r="A148" s="28" t="n"/>
      <c r="B148" s="28" t="n"/>
      <c r="C148" s="28" t="n"/>
      <c r="D148" s="14" t="n"/>
      <c r="E148" s="27" t="n"/>
      <c r="F148" s="27" t="n"/>
      <c r="G148" s="14" t="n"/>
      <c r="H148" s="28" t="n"/>
      <c r="I148" s="14" t="n"/>
      <c r="J148" s="36" t="n"/>
      <c r="K148" s="22">
        <f>IF($A148="","",IF(AND($H148="Open",ISNUMBER($G148)),IF($G148&lt;Dashboard!$B$16,"△ Overdue, was due "&amp;TEXT($G148,"d mmm yyyy"),"Open, due "&amp;TEXT($G148,"d mmm yyyy")),$H148&amp;""))</f>
        <v/>
      </c>
      <c r="L148" s="22">
        <f>IF($A148="","",IF($M148=1,"△ Needs one owner and a date",IF($N148=1,"△ Overdue, was due "&amp;TEXT($G148,"d mmm yyyy"),IF($O148=1,"△ Moved "&amp;$J148&amp;" times","○ Clear"))))</f>
        <v/>
      </c>
      <c r="M148" s="9">
        <f>IF($A148="",0,IF(OR($H148="Done",$H148="Dropped"),0,IF(OR($F148="",AND($B148="Action",NOT(ISNUMBER($G148))),LEN($F148)-LEN(SUBSTITUTE($F148,"(",""))&gt;=2,ISNUMBER(SEARCH(" and ",$Q148)),ISNUMBER(FIND("/",$Q148)),ISNUMBER(FIND("&amp;",$Q148)),ISNUMBER(FIND(",",$Q148))),1,0)))</f>
        <v/>
      </c>
      <c r="N148" s="9">
        <f>IF($A148="",0,IF(AND($H148="Open",ISNUMBER($G148)),IF($G148&lt;Dashboard!$B$16,1,0),0))</f>
        <v/>
      </c>
      <c r="O148" s="9">
        <f>IF($A148="",0,IF(AND($H148="Open",ISNUMBER($J148)),IF($J148&gt;=Dashboard!$H$9,1,0),0))</f>
        <v/>
      </c>
      <c r="P148" s="9">
        <f>IF($M148+$N148+$O148&gt;0,1,0)</f>
        <v/>
      </c>
      <c r="Q148" s="9">
        <f>LEFT($F148,IFERROR(FIND("(",$F148)-1,LEN($F148)))</f>
        <v/>
      </c>
    </row>
    <row r="149" ht="18" customHeight="1">
      <c r="A149" s="28" t="n"/>
      <c r="B149" s="28" t="n"/>
      <c r="C149" s="28" t="n"/>
      <c r="D149" s="14" t="n"/>
      <c r="E149" s="27" t="n"/>
      <c r="F149" s="27" t="n"/>
      <c r="G149" s="14" t="n"/>
      <c r="H149" s="28" t="n"/>
      <c r="I149" s="14" t="n"/>
      <c r="J149" s="36" t="n"/>
      <c r="K149" s="22">
        <f>IF($A149="","",IF(AND($H149="Open",ISNUMBER($G149)),IF($G149&lt;Dashboard!$B$16,"△ Overdue, was due "&amp;TEXT($G149,"d mmm yyyy"),"Open, due "&amp;TEXT($G149,"d mmm yyyy")),$H149&amp;""))</f>
        <v/>
      </c>
      <c r="L149" s="22">
        <f>IF($A149="","",IF($M149=1,"△ Needs one owner and a date",IF($N149=1,"△ Overdue, was due "&amp;TEXT($G149,"d mmm yyyy"),IF($O149=1,"△ Moved "&amp;$J149&amp;" times","○ Clear"))))</f>
        <v/>
      </c>
      <c r="M149" s="9">
        <f>IF($A149="",0,IF(OR($H149="Done",$H149="Dropped"),0,IF(OR($F149="",AND($B149="Action",NOT(ISNUMBER($G149))),LEN($F149)-LEN(SUBSTITUTE($F149,"(",""))&gt;=2,ISNUMBER(SEARCH(" and ",$Q149)),ISNUMBER(FIND("/",$Q149)),ISNUMBER(FIND("&amp;",$Q149)),ISNUMBER(FIND(",",$Q149))),1,0)))</f>
        <v/>
      </c>
      <c r="N149" s="9">
        <f>IF($A149="",0,IF(AND($H149="Open",ISNUMBER($G149)),IF($G149&lt;Dashboard!$B$16,1,0),0))</f>
        <v/>
      </c>
      <c r="O149" s="9">
        <f>IF($A149="",0,IF(AND($H149="Open",ISNUMBER($J149)),IF($J149&gt;=Dashboard!$H$9,1,0),0))</f>
        <v/>
      </c>
      <c r="P149" s="9">
        <f>IF($M149+$N149+$O149&gt;0,1,0)</f>
        <v/>
      </c>
      <c r="Q149" s="9">
        <f>LEFT($F149,IFERROR(FIND("(",$F149)-1,LEN($F149)))</f>
        <v/>
      </c>
    </row>
    <row r="150" ht="18" customHeight="1">
      <c r="A150" s="28" t="n"/>
      <c r="B150" s="28" t="n"/>
      <c r="C150" s="28" t="n"/>
      <c r="D150" s="14" t="n"/>
      <c r="E150" s="27" t="n"/>
      <c r="F150" s="27" t="n"/>
      <c r="G150" s="14" t="n"/>
      <c r="H150" s="28" t="n"/>
      <c r="I150" s="14" t="n"/>
      <c r="J150" s="36" t="n"/>
      <c r="K150" s="22">
        <f>IF($A150="","",IF(AND($H150="Open",ISNUMBER($G150)),IF($G150&lt;Dashboard!$B$16,"△ Overdue, was due "&amp;TEXT($G150,"d mmm yyyy"),"Open, due "&amp;TEXT($G150,"d mmm yyyy")),$H150&amp;""))</f>
        <v/>
      </c>
      <c r="L150" s="22">
        <f>IF($A150="","",IF($M150=1,"△ Needs one owner and a date",IF($N150=1,"△ Overdue, was due "&amp;TEXT($G150,"d mmm yyyy"),IF($O150=1,"△ Moved "&amp;$J150&amp;" times","○ Clear"))))</f>
        <v/>
      </c>
      <c r="M150" s="9">
        <f>IF($A150="",0,IF(OR($H150="Done",$H150="Dropped"),0,IF(OR($F150="",AND($B150="Action",NOT(ISNUMBER($G150))),LEN($F150)-LEN(SUBSTITUTE($F150,"(",""))&gt;=2,ISNUMBER(SEARCH(" and ",$Q150)),ISNUMBER(FIND("/",$Q150)),ISNUMBER(FIND("&amp;",$Q150)),ISNUMBER(FIND(",",$Q150))),1,0)))</f>
        <v/>
      </c>
      <c r="N150" s="9">
        <f>IF($A150="",0,IF(AND($H150="Open",ISNUMBER($G150)),IF($G150&lt;Dashboard!$B$16,1,0),0))</f>
        <v/>
      </c>
      <c r="O150" s="9">
        <f>IF($A150="",0,IF(AND($H150="Open",ISNUMBER($J150)),IF($J150&gt;=Dashboard!$H$9,1,0),0))</f>
        <v/>
      </c>
      <c r="P150" s="9">
        <f>IF($M150+$N150+$O150&gt;0,1,0)</f>
        <v/>
      </c>
      <c r="Q150" s="9">
        <f>LEFT($F150,IFERROR(FIND("(",$F150)-1,LEN($F150)))</f>
        <v/>
      </c>
    </row>
    <row r="151" ht="18" customHeight="1">
      <c r="A151" s="28" t="n"/>
      <c r="B151" s="28" t="n"/>
      <c r="C151" s="28" t="n"/>
      <c r="D151" s="14" t="n"/>
      <c r="E151" s="27" t="n"/>
      <c r="F151" s="27" t="n"/>
      <c r="G151" s="14" t="n"/>
      <c r="H151" s="28" t="n"/>
      <c r="I151" s="14" t="n"/>
      <c r="J151" s="36" t="n"/>
      <c r="K151" s="22">
        <f>IF($A151="","",IF(AND($H151="Open",ISNUMBER($G151)),IF($G151&lt;Dashboard!$B$16,"△ Overdue, was due "&amp;TEXT($G151,"d mmm yyyy"),"Open, due "&amp;TEXT($G151,"d mmm yyyy")),$H151&amp;""))</f>
        <v/>
      </c>
      <c r="L151" s="22">
        <f>IF($A151="","",IF($M151=1,"△ Needs one owner and a date",IF($N151=1,"△ Overdue, was due "&amp;TEXT($G151,"d mmm yyyy"),IF($O151=1,"△ Moved "&amp;$J151&amp;" times","○ Clear"))))</f>
        <v/>
      </c>
      <c r="M151" s="9">
        <f>IF($A151="",0,IF(OR($H151="Done",$H151="Dropped"),0,IF(OR($F151="",AND($B151="Action",NOT(ISNUMBER($G151))),LEN($F151)-LEN(SUBSTITUTE($F151,"(",""))&gt;=2,ISNUMBER(SEARCH(" and ",$Q151)),ISNUMBER(FIND("/",$Q151)),ISNUMBER(FIND("&amp;",$Q151)),ISNUMBER(FIND(",",$Q151))),1,0)))</f>
        <v/>
      </c>
      <c r="N151" s="9">
        <f>IF($A151="",0,IF(AND($H151="Open",ISNUMBER($G151)),IF($G151&lt;Dashboard!$B$16,1,0),0))</f>
        <v/>
      </c>
      <c r="O151" s="9">
        <f>IF($A151="",0,IF(AND($H151="Open",ISNUMBER($J151)),IF($J151&gt;=Dashboard!$H$9,1,0),0))</f>
        <v/>
      </c>
      <c r="P151" s="9">
        <f>IF($M151+$N151+$O151&gt;0,1,0)</f>
        <v/>
      </c>
      <c r="Q151" s="9">
        <f>LEFT($F151,IFERROR(FIND("(",$F151)-1,LEN($F151)))</f>
        <v/>
      </c>
    </row>
    <row r="152" ht="18" customHeight="1">
      <c r="A152" s="28" t="n"/>
      <c r="B152" s="28" t="n"/>
      <c r="C152" s="28" t="n"/>
      <c r="D152" s="14" t="n"/>
      <c r="E152" s="27" t="n"/>
      <c r="F152" s="27" t="n"/>
      <c r="G152" s="14" t="n"/>
      <c r="H152" s="28" t="n"/>
      <c r="I152" s="14" t="n"/>
      <c r="J152" s="36" t="n"/>
      <c r="K152" s="22">
        <f>IF($A152="","",IF(AND($H152="Open",ISNUMBER($G152)),IF($G152&lt;Dashboard!$B$16,"△ Overdue, was due "&amp;TEXT($G152,"d mmm yyyy"),"Open, due "&amp;TEXT($G152,"d mmm yyyy")),$H152&amp;""))</f>
        <v/>
      </c>
      <c r="L152" s="22">
        <f>IF($A152="","",IF($M152=1,"△ Needs one owner and a date",IF($N152=1,"△ Overdue, was due "&amp;TEXT($G152,"d mmm yyyy"),IF($O152=1,"△ Moved "&amp;$J152&amp;" times","○ Clear"))))</f>
        <v/>
      </c>
      <c r="M152" s="9">
        <f>IF($A152="",0,IF(OR($H152="Done",$H152="Dropped"),0,IF(OR($F152="",AND($B152="Action",NOT(ISNUMBER($G152))),LEN($F152)-LEN(SUBSTITUTE($F152,"(",""))&gt;=2,ISNUMBER(SEARCH(" and ",$Q152)),ISNUMBER(FIND("/",$Q152)),ISNUMBER(FIND("&amp;",$Q152)),ISNUMBER(FIND(",",$Q152))),1,0)))</f>
        <v/>
      </c>
      <c r="N152" s="9">
        <f>IF($A152="",0,IF(AND($H152="Open",ISNUMBER($G152)),IF($G152&lt;Dashboard!$B$16,1,0),0))</f>
        <v/>
      </c>
      <c r="O152" s="9">
        <f>IF($A152="",0,IF(AND($H152="Open",ISNUMBER($J152)),IF($J152&gt;=Dashboard!$H$9,1,0),0))</f>
        <v/>
      </c>
      <c r="P152" s="9">
        <f>IF($M152+$N152+$O152&gt;0,1,0)</f>
        <v/>
      </c>
      <c r="Q152" s="9">
        <f>LEFT($F152,IFERROR(FIND("(",$F152)-1,LEN($F152)))</f>
        <v/>
      </c>
    </row>
    <row r="153" ht="18" customHeight="1">
      <c r="A153" s="28" t="n"/>
      <c r="B153" s="28" t="n"/>
      <c r="C153" s="28" t="n"/>
      <c r="D153" s="14" t="n"/>
      <c r="E153" s="27" t="n"/>
      <c r="F153" s="27" t="n"/>
      <c r="G153" s="14" t="n"/>
      <c r="H153" s="28" t="n"/>
      <c r="I153" s="14" t="n"/>
      <c r="J153" s="36" t="n"/>
      <c r="K153" s="22">
        <f>IF($A153="","",IF(AND($H153="Open",ISNUMBER($G153)),IF($G153&lt;Dashboard!$B$16,"△ Overdue, was due "&amp;TEXT($G153,"d mmm yyyy"),"Open, due "&amp;TEXT($G153,"d mmm yyyy")),$H153&amp;""))</f>
        <v/>
      </c>
      <c r="L153" s="22">
        <f>IF($A153="","",IF($M153=1,"△ Needs one owner and a date",IF($N153=1,"△ Overdue, was due "&amp;TEXT($G153,"d mmm yyyy"),IF($O153=1,"△ Moved "&amp;$J153&amp;" times","○ Clear"))))</f>
        <v/>
      </c>
      <c r="M153" s="9">
        <f>IF($A153="",0,IF(OR($H153="Done",$H153="Dropped"),0,IF(OR($F153="",AND($B153="Action",NOT(ISNUMBER($G153))),LEN($F153)-LEN(SUBSTITUTE($F153,"(",""))&gt;=2,ISNUMBER(SEARCH(" and ",$Q153)),ISNUMBER(FIND("/",$Q153)),ISNUMBER(FIND("&amp;",$Q153)),ISNUMBER(FIND(",",$Q153))),1,0)))</f>
        <v/>
      </c>
      <c r="N153" s="9">
        <f>IF($A153="",0,IF(AND($H153="Open",ISNUMBER($G153)),IF($G153&lt;Dashboard!$B$16,1,0),0))</f>
        <v/>
      </c>
      <c r="O153" s="9">
        <f>IF($A153="",0,IF(AND($H153="Open",ISNUMBER($J153)),IF($J153&gt;=Dashboard!$H$9,1,0),0))</f>
        <v/>
      </c>
      <c r="P153" s="9">
        <f>IF($M153+$N153+$O153&gt;0,1,0)</f>
        <v/>
      </c>
      <c r="Q153" s="9">
        <f>LEFT($F153,IFERROR(FIND("(",$F153)-1,LEN($F153)))</f>
        <v/>
      </c>
    </row>
    <row r="154" ht="18" customHeight="1">
      <c r="A154" s="28" t="n"/>
      <c r="B154" s="28" t="n"/>
      <c r="C154" s="28" t="n"/>
      <c r="D154" s="14" t="n"/>
      <c r="E154" s="27" t="n"/>
      <c r="F154" s="27" t="n"/>
      <c r="G154" s="14" t="n"/>
      <c r="H154" s="28" t="n"/>
      <c r="I154" s="14" t="n"/>
      <c r="J154" s="36" t="n"/>
      <c r="K154" s="22">
        <f>IF($A154="","",IF(AND($H154="Open",ISNUMBER($G154)),IF($G154&lt;Dashboard!$B$16,"△ Overdue, was due "&amp;TEXT($G154,"d mmm yyyy"),"Open, due "&amp;TEXT($G154,"d mmm yyyy")),$H154&amp;""))</f>
        <v/>
      </c>
      <c r="L154" s="22">
        <f>IF($A154="","",IF($M154=1,"△ Needs one owner and a date",IF($N154=1,"△ Overdue, was due "&amp;TEXT($G154,"d mmm yyyy"),IF($O154=1,"△ Moved "&amp;$J154&amp;" times","○ Clear"))))</f>
        <v/>
      </c>
      <c r="M154" s="9">
        <f>IF($A154="",0,IF(OR($H154="Done",$H154="Dropped"),0,IF(OR($F154="",AND($B154="Action",NOT(ISNUMBER($G154))),LEN($F154)-LEN(SUBSTITUTE($F154,"(",""))&gt;=2,ISNUMBER(SEARCH(" and ",$Q154)),ISNUMBER(FIND("/",$Q154)),ISNUMBER(FIND("&amp;",$Q154)),ISNUMBER(FIND(",",$Q154))),1,0)))</f>
        <v/>
      </c>
      <c r="N154" s="9">
        <f>IF($A154="",0,IF(AND($H154="Open",ISNUMBER($G154)),IF($G154&lt;Dashboard!$B$16,1,0),0))</f>
        <v/>
      </c>
      <c r="O154" s="9">
        <f>IF($A154="",0,IF(AND($H154="Open",ISNUMBER($J154)),IF($J154&gt;=Dashboard!$H$9,1,0),0))</f>
        <v/>
      </c>
      <c r="P154" s="9">
        <f>IF($M154+$N154+$O154&gt;0,1,0)</f>
        <v/>
      </c>
      <c r="Q154" s="9">
        <f>LEFT($F154,IFERROR(FIND("(",$F154)-1,LEN($F154)))</f>
        <v/>
      </c>
    </row>
    <row r="155" ht="18" customHeight="1">
      <c r="A155" s="28" t="n"/>
      <c r="B155" s="28" t="n"/>
      <c r="C155" s="28" t="n"/>
      <c r="D155" s="14" t="n"/>
      <c r="E155" s="27" t="n"/>
      <c r="F155" s="27" t="n"/>
      <c r="G155" s="14" t="n"/>
      <c r="H155" s="28" t="n"/>
      <c r="I155" s="14" t="n"/>
      <c r="J155" s="36" t="n"/>
      <c r="K155" s="22">
        <f>IF($A155="","",IF(AND($H155="Open",ISNUMBER($G155)),IF($G155&lt;Dashboard!$B$16,"△ Overdue, was due "&amp;TEXT($G155,"d mmm yyyy"),"Open, due "&amp;TEXT($G155,"d mmm yyyy")),$H155&amp;""))</f>
        <v/>
      </c>
      <c r="L155" s="22">
        <f>IF($A155="","",IF($M155=1,"△ Needs one owner and a date",IF($N155=1,"△ Overdue, was due "&amp;TEXT($G155,"d mmm yyyy"),IF($O155=1,"△ Moved "&amp;$J155&amp;" times","○ Clear"))))</f>
        <v/>
      </c>
      <c r="M155" s="9">
        <f>IF($A155="",0,IF(OR($H155="Done",$H155="Dropped"),0,IF(OR($F155="",AND($B155="Action",NOT(ISNUMBER($G155))),LEN($F155)-LEN(SUBSTITUTE($F155,"(",""))&gt;=2,ISNUMBER(SEARCH(" and ",$Q155)),ISNUMBER(FIND("/",$Q155)),ISNUMBER(FIND("&amp;",$Q155)),ISNUMBER(FIND(",",$Q155))),1,0)))</f>
        <v/>
      </c>
      <c r="N155" s="9">
        <f>IF($A155="",0,IF(AND($H155="Open",ISNUMBER($G155)),IF($G155&lt;Dashboard!$B$16,1,0),0))</f>
        <v/>
      </c>
      <c r="O155" s="9">
        <f>IF($A155="",0,IF(AND($H155="Open",ISNUMBER($J155)),IF($J155&gt;=Dashboard!$H$9,1,0),0))</f>
        <v/>
      </c>
      <c r="P155" s="9">
        <f>IF($M155+$N155+$O155&gt;0,1,0)</f>
        <v/>
      </c>
      <c r="Q155" s="9">
        <f>LEFT($F155,IFERROR(FIND("(",$F155)-1,LEN($F155)))</f>
        <v/>
      </c>
    </row>
    <row r="156" ht="18" customHeight="1">
      <c r="A156" s="28" t="n"/>
      <c r="B156" s="28" t="n"/>
      <c r="C156" s="28" t="n"/>
      <c r="D156" s="14" t="n"/>
      <c r="E156" s="27" t="n"/>
      <c r="F156" s="27" t="n"/>
      <c r="G156" s="14" t="n"/>
      <c r="H156" s="28" t="n"/>
      <c r="I156" s="14" t="n"/>
      <c r="J156" s="36" t="n"/>
      <c r="K156" s="22">
        <f>IF($A156="","",IF(AND($H156="Open",ISNUMBER($G156)),IF($G156&lt;Dashboard!$B$16,"△ Overdue, was due "&amp;TEXT($G156,"d mmm yyyy"),"Open, due "&amp;TEXT($G156,"d mmm yyyy")),$H156&amp;""))</f>
        <v/>
      </c>
      <c r="L156" s="22">
        <f>IF($A156="","",IF($M156=1,"△ Needs one owner and a date",IF($N156=1,"△ Overdue, was due "&amp;TEXT($G156,"d mmm yyyy"),IF($O156=1,"△ Moved "&amp;$J156&amp;" times","○ Clear"))))</f>
        <v/>
      </c>
      <c r="M156" s="9">
        <f>IF($A156="",0,IF(OR($H156="Done",$H156="Dropped"),0,IF(OR($F156="",AND($B156="Action",NOT(ISNUMBER($G156))),LEN($F156)-LEN(SUBSTITUTE($F156,"(",""))&gt;=2,ISNUMBER(SEARCH(" and ",$Q156)),ISNUMBER(FIND("/",$Q156)),ISNUMBER(FIND("&amp;",$Q156)),ISNUMBER(FIND(",",$Q156))),1,0)))</f>
        <v/>
      </c>
      <c r="N156" s="9">
        <f>IF($A156="",0,IF(AND($H156="Open",ISNUMBER($G156)),IF($G156&lt;Dashboard!$B$16,1,0),0))</f>
        <v/>
      </c>
      <c r="O156" s="9">
        <f>IF($A156="",0,IF(AND($H156="Open",ISNUMBER($J156)),IF($J156&gt;=Dashboard!$H$9,1,0),0))</f>
        <v/>
      </c>
      <c r="P156" s="9">
        <f>IF($M156+$N156+$O156&gt;0,1,0)</f>
        <v/>
      </c>
      <c r="Q156" s="9">
        <f>LEFT($F156,IFERROR(FIND("(",$F156)-1,LEN($F156)))</f>
        <v/>
      </c>
    </row>
    <row r="157" ht="18" customHeight="1">
      <c r="A157" s="28" t="n"/>
      <c r="B157" s="28" t="n"/>
      <c r="C157" s="28" t="n"/>
      <c r="D157" s="14" t="n"/>
      <c r="E157" s="27" t="n"/>
      <c r="F157" s="27" t="n"/>
      <c r="G157" s="14" t="n"/>
      <c r="H157" s="28" t="n"/>
      <c r="I157" s="14" t="n"/>
      <c r="J157" s="36" t="n"/>
      <c r="K157" s="22">
        <f>IF($A157="","",IF(AND($H157="Open",ISNUMBER($G157)),IF($G157&lt;Dashboard!$B$16,"△ Overdue, was due "&amp;TEXT($G157,"d mmm yyyy"),"Open, due "&amp;TEXT($G157,"d mmm yyyy")),$H157&amp;""))</f>
        <v/>
      </c>
      <c r="L157" s="22">
        <f>IF($A157="","",IF($M157=1,"△ Needs one owner and a date",IF($N157=1,"△ Overdue, was due "&amp;TEXT($G157,"d mmm yyyy"),IF($O157=1,"△ Moved "&amp;$J157&amp;" times","○ Clear"))))</f>
        <v/>
      </c>
      <c r="M157" s="9">
        <f>IF($A157="",0,IF(OR($H157="Done",$H157="Dropped"),0,IF(OR($F157="",AND($B157="Action",NOT(ISNUMBER($G157))),LEN($F157)-LEN(SUBSTITUTE($F157,"(",""))&gt;=2,ISNUMBER(SEARCH(" and ",$Q157)),ISNUMBER(FIND("/",$Q157)),ISNUMBER(FIND("&amp;",$Q157)),ISNUMBER(FIND(",",$Q157))),1,0)))</f>
        <v/>
      </c>
      <c r="N157" s="9">
        <f>IF($A157="",0,IF(AND($H157="Open",ISNUMBER($G157)),IF($G157&lt;Dashboard!$B$16,1,0),0))</f>
        <v/>
      </c>
      <c r="O157" s="9">
        <f>IF($A157="",0,IF(AND($H157="Open",ISNUMBER($J157)),IF($J157&gt;=Dashboard!$H$9,1,0),0))</f>
        <v/>
      </c>
      <c r="P157" s="9">
        <f>IF($M157+$N157+$O157&gt;0,1,0)</f>
        <v/>
      </c>
      <c r="Q157" s="9">
        <f>LEFT($F157,IFERROR(FIND("(",$F157)-1,LEN($F157)))</f>
        <v/>
      </c>
    </row>
    <row r="158" ht="18" customHeight="1">
      <c r="A158" s="28" t="n"/>
      <c r="B158" s="28" t="n"/>
      <c r="C158" s="28" t="n"/>
      <c r="D158" s="14" t="n"/>
      <c r="E158" s="27" t="n"/>
      <c r="F158" s="27" t="n"/>
      <c r="G158" s="14" t="n"/>
      <c r="H158" s="28" t="n"/>
      <c r="I158" s="14" t="n"/>
      <c r="J158" s="36" t="n"/>
      <c r="K158" s="22">
        <f>IF($A158="","",IF(AND($H158="Open",ISNUMBER($G158)),IF($G158&lt;Dashboard!$B$16,"△ Overdue, was due "&amp;TEXT($G158,"d mmm yyyy"),"Open, due "&amp;TEXT($G158,"d mmm yyyy")),$H158&amp;""))</f>
        <v/>
      </c>
      <c r="L158" s="22">
        <f>IF($A158="","",IF($M158=1,"△ Needs one owner and a date",IF($N158=1,"△ Overdue, was due "&amp;TEXT($G158,"d mmm yyyy"),IF($O158=1,"△ Moved "&amp;$J158&amp;" times","○ Clear"))))</f>
        <v/>
      </c>
      <c r="M158" s="9">
        <f>IF($A158="",0,IF(OR($H158="Done",$H158="Dropped"),0,IF(OR($F158="",AND($B158="Action",NOT(ISNUMBER($G158))),LEN($F158)-LEN(SUBSTITUTE($F158,"(",""))&gt;=2,ISNUMBER(SEARCH(" and ",$Q158)),ISNUMBER(FIND("/",$Q158)),ISNUMBER(FIND("&amp;",$Q158)),ISNUMBER(FIND(",",$Q158))),1,0)))</f>
        <v/>
      </c>
      <c r="N158" s="9">
        <f>IF($A158="",0,IF(AND($H158="Open",ISNUMBER($G158)),IF($G158&lt;Dashboard!$B$16,1,0),0))</f>
        <v/>
      </c>
      <c r="O158" s="9">
        <f>IF($A158="",0,IF(AND($H158="Open",ISNUMBER($J158)),IF($J158&gt;=Dashboard!$H$9,1,0),0))</f>
        <v/>
      </c>
      <c r="P158" s="9">
        <f>IF($M158+$N158+$O158&gt;0,1,0)</f>
        <v/>
      </c>
      <c r="Q158" s="9">
        <f>LEFT($F158,IFERROR(FIND("(",$F158)-1,LEN($F158)))</f>
        <v/>
      </c>
    </row>
    <row r="159" ht="18" customHeight="1">
      <c r="A159" s="28" t="n"/>
      <c r="B159" s="28" t="n"/>
      <c r="C159" s="28" t="n"/>
      <c r="D159" s="14" t="n"/>
      <c r="E159" s="27" t="n"/>
      <c r="F159" s="27" t="n"/>
      <c r="G159" s="14" t="n"/>
      <c r="H159" s="28" t="n"/>
      <c r="I159" s="14" t="n"/>
      <c r="J159" s="36" t="n"/>
      <c r="K159" s="22">
        <f>IF($A159="","",IF(AND($H159="Open",ISNUMBER($G159)),IF($G159&lt;Dashboard!$B$16,"△ Overdue, was due "&amp;TEXT($G159,"d mmm yyyy"),"Open, due "&amp;TEXT($G159,"d mmm yyyy")),$H159&amp;""))</f>
        <v/>
      </c>
      <c r="L159" s="22">
        <f>IF($A159="","",IF($M159=1,"△ Needs one owner and a date",IF($N159=1,"△ Overdue, was due "&amp;TEXT($G159,"d mmm yyyy"),IF($O159=1,"△ Moved "&amp;$J159&amp;" times","○ Clear"))))</f>
        <v/>
      </c>
      <c r="M159" s="9">
        <f>IF($A159="",0,IF(OR($H159="Done",$H159="Dropped"),0,IF(OR($F159="",AND($B159="Action",NOT(ISNUMBER($G159))),LEN($F159)-LEN(SUBSTITUTE($F159,"(",""))&gt;=2,ISNUMBER(SEARCH(" and ",$Q159)),ISNUMBER(FIND("/",$Q159)),ISNUMBER(FIND("&amp;",$Q159)),ISNUMBER(FIND(",",$Q159))),1,0)))</f>
        <v/>
      </c>
      <c r="N159" s="9">
        <f>IF($A159="",0,IF(AND($H159="Open",ISNUMBER($G159)),IF($G159&lt;Dashboard!$B$16,1,0),0))</f>
        <v/>
      </c>
      <c r="O159" s="9">
        <f>IF($A159="",0,IF(AND($H159="Open",ISNUMBER($J159)),IF($J159&gt;=Dashboard!$H$9,1,0),0))</f>
        <v/>
      </c>
      <c r="P159" s="9">
        <f>IF($M159+$N159+$O159&gt;0,1,0)</f>
        <v/>
      </c>
      <c r="Q159" s="9">
        <f>LEFT($F159,IFERROR(FIND("(",$F159)-1,LEN($F159)))</f>
        <v/>
      </c>
    </row>
    <row r="160" ht="18" customHeight="1">
      <c r="A160" s="28" t="n"/>
      <c r="B160" s="28" t="n"/>
      <c r="C160" s="28" t="n"/>
      <c r="D160" s="14" t="n"/>
      <c r="E160" s="27" t="n"/>
      <c r="F160" s="27" t="n"/>
      <c r="G160" s="14" t="n"/>
      <c r="H160" s="28" t="n"/>
      <c r="I160" s="14" t="n"/>
      <c r="J160" s="36" t="n"/>
      <c r="K160" s="22">
        <f>IF($A160="","",IF(AND($H160="Open",ISNUMBER($G160)),IF($G160&lt;Dashboard!$B$16,"△ Overdue, was due "&amp;TEXT($G160,"d mmm yyyy"),"Open, due "&amp;TEXT($G160,"d mmm yyyy")),$H160&amp;""))</f>
        <v/>
      </c>
      <c r="L160" s="22">
        <f>IF($A160="","",IF($M160=1,"△ Needs one owner and a date",IF($N160=1,"△ Overdue, was due "&amp;TEXT($G160,"d mmm yyyy"),IF($O160=1,"△ Moved "&amp;$J160&amp;" times","○ Clear"))))</f>
        <v/>
      </c>
      <c r="M160" s="9">
        <f>IF($A160="",0,IF(OR($H160="Done",$H160="Dropped"),0,IF(OR($F160="",AND($B160="Action",NOT(ISNUMBER($G160))),LEN($F160)-LEN(SUBSTITUTE($F160,"(",""))&gt;=2,ISNUMBER(SEARCH(" and ",$Q160)),ISNUMBER(FIND("/",$Q160)),ISNUMBER(FIND("&amp;",$Q160)),ISNUMBER(FIND(",",$Q160))),1,0)))</f>
        <v/>
      </c>
      <c r="N160" s="9">
        <f>IF($A160="",0,IF(AND($H160="Open",ISNUMBER($G160)),IF($G160&lt;Dashboard!$B$16,1,0),0))</f>
        <v/>
      </c>
      <c r="O160" s="9">
        <f>IF($A160="",0,IF(AND($H160="Open",ISNUMBER($J160)),IF($J160&gt;=Dashboard!$H$9,1,0),0))</f>
        <v/>
      </c>
      <c r="P160" s="9">
        <f>IF($M160+$N160+$O160&gt;0,1,0)</f>
        <v/>
      </c>
      <c r="Q160" s="9">
        <f>LEFT($F160,IFERROR(FIND("(",$F160)-1,LEN($F160)))</f>
        <v/>
      </c>
    </row>
    <row r="161" ht="18" customHeight="1">
      <c r="A161" s="28" t="n"/>
      <c r="B161" s="28" t="n"/>
      <c r="C161" s="28" t="n"/>
      <c r="D161" s="14" t="n"/>
      <c r="E161" s="27" t="n"/>
      <c r="F161" s="27" t="n"/>
      <c r="G161" s="14" t="n"/>
      <c r="H161" s="28" t="n"/>
      <c r="I161" s="14" t="n"/>
      <c r="J161" s="36" t="n"/>
      <c r="K161" s="22">
        <f>IF($A161="","",IF(AND($H161="Open",ISNUMBER($G161)),IF($G161&lt;Dashboard!$B$16,"△ Overdue, was due "&amp;TEXT($G161,"d mmm yyyy"),"Open, due "&amp;TEXT($G161,"d mmm yyyy")),$H161&amp;""))</f>
        <v/>
      </c>
      <c r="L161" s="22">
        <f>IF($A161="","",IF($M161=1,"△ Needs one owner and a date",IF($N161=1,"△ Overdue, was due "&amp;TEXT($G161,"d mmm yyyy"),IF($O161=1,"△ Moved "&amp;$J161&amp;" times","○ Clear"))))</f>
        <v/>
      </c>
      <c r="M161" s="9">
        <f>IF($A161="",0,IF(OR($H161="Done",$H161="Dropped"),0,IF(OR($F161="",AND($B161="Action",NOT(ISNUMBER($G161))),LEN($F161)-LEN(SUBSTITUTE($F161,"(",""))&gt;=2,ISNUMBER(SEARCH(" and ",$Q161)),ISNUMBER(FIND("/",$Q161)),ISNUMBER(FIND("&amp;",$Q161)),ISNUMBER(FIND(",",$Q161))),1,0)))</f>
        <v/>
      </c>
      <c r="N161" s="9">
        <f>IF($A161="",0,IF(AND($H161="Open",ISNUMBER($G161)),IF($G161&lt;Dashboard!$B$16,1,0),0))</f>
        <v/>
      </c>
      <c r="O161" s="9">
        <f>IF($A161="",0,IF(AND($H161="Open",ISNUMBER($J161)),IF($J161&gt;=Dashboard!$H$9,1,0),0))</f>
        <v/>
      </c>
      <c r="P161" s="9">
        <f>IF($M161+$N161+$O161&gt;0,1,0)</f>
        <v/>
      </c>
      <c r="Q161" s="9">
        <f>LEFT($F161,IFERROR(FIND("(",$F161)-1,LEN($F161)))</f>
        <v/>
      </c>
    </row>
    <row r="162" ht="18" customHeight="1">
      <c r="A162" s="28" t="n"/>
      <c r="B162" s="28" t="n"/>
      <c r="C162" s="28" t="n"/>
      <c r="D162" s="14" t="n"/>
      <c r="E162" s="27" t="n"/>
      <c r="F162" s="27" t="n"/>
      <c r="G162" s="14" t="n"/>
      <c r="H162" s="28" t="n"/>
      <c r="I162" s="14" t="n"/>
      <c r="J162" s="36" t="n"/>
      <c r="K162" s="22">
        <f>IF($A162="","",IF(AND($H162="Open",ISNUMBER($G162)),IF($G162&lt;Dashboard!$B$16,"△ Overdue, was due "&amp;TEXT($G162,"d mmm yyyy"),"Open, due "&amp;TEXT($G162,"d mmm yyyy")),$H162&amp;""))</f>
        <v/>
      </c>
      <c r="L162" s="22">
        <f>IF($A162="","",IF($M162=1,"△ Needs one owner and a date",IF($N162=1,"△ Overdue, was due "&amp;TEXT($G162,"d mmm yyyy"),IF($O162=1,"△ Moved "&amp;$J162&amp;" times","○ Clear"))))</f>
        <v/>
      </c>
      <c r="M162" s="9">
        <f>IF($A162="",0,IF(OR($H162="Done",$H162="Dropped"),0,IF(OR($F162="",AND($B162="Action",NOT(ISNUMBER($G162))),LEN($F162)-LEN(SUBSTITUTE($F162,"(",""))&gt;=2,ISNUMBER(SEARCH(" and ",$Q162)),ISNUMBER(FIND("/",$Q162)),ISNUMBER(FIND("&amp;",$Q162)),ISNUMBER(FIND(",",$Q162))),1,0)))</f>
        <v/>
      </c>
      <c r="N162" s="9">
        <f>IF($A162="",0,IF(AND($H162="Open",ISNUMBER($G162)),IF($G162&lt;Dashboard!$B$16,1,0),0))</f>
        <v/>
      </c>
      <c r="O162" s="9">
        <f>IF($A162="",0,IF(AND($H162="Open",ISNUMBER($J162)),IF($J162&gt;=Dashboard!$H$9,1,0),0))</f>
        <v/>
      </c>
      <c r="P162" s="9">
        <f>IF($M162+$N162+$O162&gt;0,1,0)</f>
        <v/>
      </c>
      <c r="Q162" s="9">
        <f>LEFT($F162,IFERROR(FIND("(",$F162)-1,LEN($F162)))</f>
        <v/>
      </c>
    </row>
    <row r="163" ht="18" customHeight="1">
      <c r="A163" s="28" t="n"/>
      <c r="B163" s="28" t="n"/>
      <c r="C163" s="28" t="n"/>
      <c r="D163" s="14" t="n"/>
      <c r="E163" s="27" t="n"/>
      <c r="F163" s="27" t="n"/>
      <c r="G163" s="14" t="n"/>
      <c r="H163" s="28" t="n"/>
      <c r="I163" s="14" t="n"/>
      <c r="J163" s="36" t="n"/>
      <c r="K163" s="22">
        <f>IF($A163="","",IF(AND($H163="Open",ISNUMBER($G163)),IF($G163&lt;Dashboard!$B$16,"△ Overdue, was due "&amp;TEXT($G163,"d mmm yyyy"),"Open, due "&amp;TEXT($G163,"d mmm yyyy")),$H163&amp;""))</f>
        <v/>
      </c>
      <c r="L163" s="22">
        <f>IF($A163="","",IF($M163=1,"△ Needs one owner and a date",IF($N163=1,"△ Overdue, was due "&amp;TEXT($G163,"d mmm yyyy"),IF($O163=1,"△ Moved "&amp;$J163&amp;" times","○ Clear"))))</f>
        <v/>
      </c>
      <c r="M163" s="9">
        <f>IF($A163="",0,IF(OR($H163="Done",$H163="Dropped"),0,IF(OR($F163="",AND($B163="Action",NOT(ISNUMBER($G163))),LEN($F163)-LEN(SUBSTITUTE($F163,"(",""))&gt;=2,ISNUMBER(SEARCH(" and ",$Q163)),ISNUMBER(FIND("/",$Q163)),ISNUMBER(FIND("&amp;",$Q163)),ISNUMBER(FIND(",",$Q163))),1,0)))</f>
        <v/>
      </c>
      <c r="N163" s="9">
        <f>IF($A163="",0,IF(AND($H163="Open",ISNUMBER($G163)),IF($G163&lt;Dashboard!$B$16,1,0),0))</f>
        <v/>
      </c>
      <c r="O163" s="9">
        <f>IF($A163="",0,IF(AND($H163="Open",ISNUMBER($J163)),IF($J163&gt;=Dashboard!$H$9,1,0),0))</f>
        <v/>
      </c>
      <c r="P163" s="9">
        <f>IF($M163+$N163+$O163&gt;0,1,0)</f>
        <v/>
      </c>
      <c r="Q163" s="9">
        <f>LEFT($F163,IFERROR(FIND("(",$F163)-1,LEN($F163)))</f>
        <v/>
      </c>
    </row>
    <row r="164" ht="18" customHeight="1">
      <c r="A164" s="28" t="n"/>
      <c r="B164" s="28" t="n"/>
      <c r="C164" s="28" t="n"/>
      <c r="D164" s="14" t="n"/>
      <c r="E164" s="27" t="n"/>
      <c r="F164" s="27" t="n"/>
      <c r="G164" s="14" t="n"/>
      <c r="H164" s="28" t="n"/>
      <c r="I164" s="14" t="n"/>
      <c r="J164" s="36" t="n"/>
      <c r="K164" s="22">
        <f>IF($A164="","",IF(AND($H164="Open",ISNUMBER($G164)),IF($G164&lt;Dashboard!$B$16,"△ Overdue, was due "&amp;TEXT($G164,"d mmm yyyy"),"Open, due "&amp;TEXT($G164,"d mmm yyyy")),$H164&amp;""))</f>
        <v/>
      </c>
      <c r="L164" s="22">
        <f>IF($A164="","",IF($M164=1,"△ Needs one owner and a date",IF($N164=1,"△ Overdue, was due "&amp;TEXT($G164,"d mmm yyyy"),IF($O164=1,"△ Moved "&amp;$J164&amp;" times","○ Clear"))))</f>
        <v/>
      </c>
      <c r="M164" s="9">
        <f>IF($A164="",0,IF(OR($H164="Done",$H164="Dropped"),0,IF(OR($F164="",AND($B164="Action",NOT(ISNUMBER($G164))),LEN($F164)-LEN(SUBSTITUTE($F164,"(",""))&gt;=2,ISNUMBER(SEARCH(" and ",$Q164)),ISNUMBER(FIND("/",$Q164)),ISNUMBER(FIND("&amp;",$Q164)),ISNUMBER(FIND(",",$Q164))),1,0)))</f>
        <v/>
      </c>
      <c r="N164" s="9">
        <f>IF($A164="",0,IF(AND($H164="Open",ISNUMBER($G164)),IF($G164&lt;Dashboard!$B$16,1,0),0))</f>
        <v/>
      </c>
      <c r="O164" s="9">
        <f>IF($A164="",0,IF(AND($H164="Open",ISNUMBER($J164)),IF($J164&gt;=Dashboard!$H$9,1,0),0))</f>
        <v/>
      </c>
      <c r="P164" s="9">
        <f>IF($M164+$N164+$O164&gt;0,1,0)</f>
        <v/>
      </c>
      <c r="Q164" s="9">
        <f>LEFT($F164,IFERROR(FIND("(",$F164)-1,LEN($F164)))</f>
        <v/>
      </c>
    </row>
    <row r="165" ht="18" customHeight="1">
      <c r="A165" s="28" t="n"/>
      <c r="B165" s="28" t="n"/>
      <c r="C165" s="28" t="n"/>
      <c r="D165" s="14" t="n"/>
      <c r="E165" s="27" t="n"/>
      <c r="F165" s="27" t="n"/>
      <c r="G165" s="14" t="n"/>
      <c r="H165" s="28" t="n"/>
      <c r="I165" s="14" t="n"/>
      <c r="J165" s="36" t="n"/>
      <c r="K165" s="22">
        <f>IF($A165="","",IF(AND($H165="Open",ISNUMBER($G165)),IF($G165&lt;Dashboard!$B$16,"△ Overdue, was due "&amp;TEXT($G165,"d mmm yyyy"),"Open, due "&amp;TEXT($G165,"d mmm yyyy")),$H165&amp;""))</f>
        <v/>
      </c>
      <c r="L165" s="22">
        <f>IF($A165="","",IF($M165=1,"△ Needs one owner and a date",IF($N165=1,"△ Overdue, was due "&amp;TEXT($G165,"d mmm yyyy"),IF($O165=1,"△ Moved "&amp;$J165&amp;" times","○ Clear"))))</f>
        <v/>
      </c>
      <c r="M165" s="9">
        <f>IF($A165="",0,IF(OR($H165="Done",$H165="Dropped"),0,IF(OR($F165="",AND($B165="Action",NOT(ISNUMBER($G165))),LEN($F165)-LEN(SUBSTITUTE($F165,"(",""))&gt;=2,ISNUMBER(SEARCH(" and ",$Q165)),ISNUMBER(FIND("/",$Q165)),ISNUMBER(FIND("&amp;",$Q165)),ISNUMBER(FIND(",",$Q165))),1,0)))</f>
        <v/>
      </c>
      <c r="N165" s="9">
        <f>IF($A165="",0,IF(AND($H165="Open",ISNUMBER($G165)),IF($G165&lt;Dashboard!$B$16,1,0),0))</f>
        <v/>
      </c>
      <c r="O165" s="9">
        <f>IF($A165="",0,IF(AND($H165="Open",ISNUMBER($J165)),IF($J165&gt;=Dashboard!$H$9,1,0),0))</f>
        <v/>
      </c>
      <c r="P165" s="9">
        <f>IF($M165+$N165+$O165&gt;0,1,0)</f>
        <v/>
      </c>
      <c r="Q165" s="9">
        <f>LEFT($F165,IFERROR(FIND("(",$F165)-1,LEN($F165)))</f>
        <v/>
      </c>
    </row>
    <row r="166" ht="18" customHeight="1">
      <c r="A166" s="28" t="n"/>
      <c r="B166" s="28" t="n"/>
      <c r="C166" s="28" t="n"/>
      <c r="D166" s="14" t="n"/>
      <c r="E166" s="27" t="n"/>
      <c r="F166" s="27" t="n"/>
      <c r="G166" s="14" t="n"/>
      <c r="H166" s="28" t="n"/>
      <c r="I166" s="14" t="n"/>
      <c r="J166" s="36" t="n"/>
      <c r="K166" s="22">
        <f>IF($A166="","",IF(AND($H166="Open",ISNUMBER($G166)),IF($G166&lt;Dashboard!$B$16,"△ Overdue, was due "&amp;TEXT($G166,"d mmm yyyy"),"Open, due "&amp;TEXT($G166,"d mmm yyyy")),$H166&amp;""))</f>
        <v/>
      </c>
      <c r="L166" s="22">
        <f>IF($A166="","",IF($M166=1,"△ Needs one owner and a date",IF($N166=1,"△ Overdue, was due "&amp;TEXT($G166,"d mmm yyyy"),IF($O166=1,"△ Moved "&amp;$J166&amp;" times","○ Clear"))))</f>
        <v/>
      </c>
      <c r="M166" s="9">
        <f>IF($A166="",0,IF(OR($H166="Done",$H166="Dropped"),0,IF(OR($F166="",AND($B166="Action",NOT(ISNUMBER($G166))),LEN($F166)-LEN(SUBSTITUTE($F166,"(",""))&gt;=2,ISNUMBER(SEARCH(" and ",$Q166)),ISNUMBER(FIND("/",$Q166)),ISNUMBER(FIND("&amp;",$Q166)),ISNUMBER(FIND(",",$Q166))),1,0)))</f>
        <v/>
      </c>
      <c r="N166" s="9">
        <f>IF($A166="",0,IF(AND($H166="Open",ISNUMBER($G166)),IF($G166&lt;Dashboard!$B$16,1,0),0))</f>
        <v/>
      </c>
      <c r="O166" s="9">
        <f>IF($A166="",0,IF(AND($H166="Open",ISNUMBER($J166)),IF($J166&gt;=Dashboard!$H$9,1,0),0))</f>
        <v/>
      </c>
      <c r="P166" s="9">
        <f>IF($M166+$N166+$O166&gt;0,1,0)</f>
        <v/>
      </c>
      <c r="Q166" s="9">
        <f>LEFT($F166,IFERROR(FIND("(",$F166)-1,LEN($F166)))</f>
        <v/>
      </c>
    </row>
    <row r="167" ht="18" customHeight="1">
      <c r="A167" s="28" t="n"/>
      <c r="B167" s="28" t="n"/>
      <c r="C167" s="28" t="n"/>
      <c r="D167" s="14" t="n"/>
      <c r="E167" s="27" t="n"/>
      <c r="F167" s="27" t="n"/>
      <c r="G167" s="14" t="n"/>
      <c r="H167" s="28" t="n"/>
      <c r="I167" s="14" t="n"/>
      <c r="J167" s="36" t="n"/>
      <c r="K167" s="22">
        <f>IF($A167="","",IF(AND($H167="Open",ISNUMBER($G167)),IF($G167&lt;Dashboard!$B$16,"△ Overdue, was due "&amp;TEXT($G167,"d mmm yyyy"),"Open, due "&amp;TEXT($G167,"d mmm yyyy")),$H167&amp;""))</f>
        <v/>
      </c>
      <c r="L167" s="22">
        <f>IF($A167="","",IF($M167=1,"△ Needs one owner and a date",IF($N167=1,"△ Overdue, was due "&amp;TEXT($G167,"d mmm yyyy"),IF($O167=1,"△ Moved "&amp;$J167&amp;" times","○ Clear"))))</f>
        <v/>
      </c>
      <c r="M167" s="9">
        <f>IF($A167="",0,IF(OR($H167="Done",$H167="Dropped"),0,IF(OR($F167="",AND($B167="Action",NOT(ISNUMBER($G167))),LEN($F167)-LEN(SUBSTITUTE($F167,"(",""))&gt;=2,ISNUMBER(SEARCH(" and ",$Q167)),ISNUMBER(FIND("/",$Q167)),ISNUMBER(FIND("&amp;",$Q167)),ISNUMBER(FIND(",",$Q167))),1,0)))</f>
        <v/>
      </c>
      <c r="N167" s="9">
        <f>IF($A167="",0,IF(AND($H167="Open",ISNUMBER($G167)),IF($G167&lt;Dashboard!$B$16,1,0),0))</f>
        <v/>
      </c>
      <c r="O167" s="9">
        <f>IF($A167="",0,IF(AND($H167="Open",ISNUMBER($J167)),IF($J167&gt;=Dashboard!$H$9,1,0),0))</f>
        <v/>
      </c>
      <c r="P167" s="9">
        <f>IF($M167+$N167+$O167&gt;0,1,0)</f>
        <v/>
      </c>
      <c r="Q167" s="9">
        <f>LEFT($F167,IFERROR(FIND("(",$F167)-1,LEN($F167)))</f>
        <v/>
      </c>
    </row>
    <row r="168" ht="18" customHeight="1">
      <c r="A168" s="28" t="n"/>
      <c r="B168" s="28" t="n"/>
      <c r="C168" s="28" t="n"/>
      <c r="D168" s="14" t="n"/>
      <c r="E168" s="27" t="n"/>
      <c r="F168" s="27" t="n"/>
      <c r="G168" s="14" t="n"/>
      <c r="H168" s="28" t="n"/>
      <c r="I168" s="14" t="n"/>
      <c r="J168" s="36" t="n"/>
      <c r="K168" s="22">
        <f>IF($A168="","",IF(AND($H168="Open",ISNUMBER($G168)),IF($G168&lt;Dashboard!$B$16,"△ Overdue, was due "&amp;TEXT($G168,"d mmm yyyy"),"Open, due "&amp;TEXT($G168,"d mmm yyyy")),$H168&amp;""))</f>
        <v/>
      </c>
      <c r="L168" s="22">
        <f>IF($A168="","",IF($M168=1,"△ Needs one owner and a date",IF($N168=1,"△ Overdue, was due "&amp;TEXT($G168,"d mmm yyyy"),IF($O168=1,"△ Moved "&amp;$J168&amp;" times","○ Clear"))))</f>
        <v/>
      </c>
      <c r="M168" s="9">
        <f>IF($A168="",0,IF(OR($H168="Done",$H168="Dropped"),0,IF(OR($F168="",AND($B168="Action",NOT(ISNUMBER($G168))),LEN($F168)-LEN(SUBSTITUTE($F168,"(",""))&gt;=2,ISNUMBER(SEARCH(" and ",$Q168)),ISNUMBER(FIND("/",$Q168)),ISNUMBER(FIND("&amp;",$Q168)),ISNUMBER(FIND(",",$Q168))),1,0)))</f>
        <v/>
      </c>
      <c r="N168" s="9">
        <f>IF($A168="",0,IF(AND($H168="Open",ISNUMBER($G168)),IF($G168&lt;Dashboard!$B$16,1,0),0))</f>
        <v/>
      </c>
      <c r="O168" s="9">
        <f>IF($A168="",0,IF(AND($H168="Open",ISNUMBER($J168)),IF($J168&gt;=Dashboard!$H$9,1,0),0))</f>
        <v/>
      </c>
      <c r="P168" s="9">
        <f>IF($M168+$N168+$O168&gt;0,1,0)</f>
        <v/>
      </c>
      <c r="Q168" s="9">
        <f>LEFT($F168,IFERROR(FIND("(",$F168)-1,LEN($F168)))</f>
        <v/>
      </c>
    </row>
    <row r="169" ht="18" customHeight="1">
      <c r="A169" s="28" t="n"/>
      <c r="B169" s="28" t="n"/>
      <c r="C169" s="28" t="n"/>
      <c r="D169" s="14" t="n"/>
      <c r="E169" s="27" t="n"/>
      <c r="F169" s="27" t="n"/>
      <c r="G169" s="14" t="n"/>
      <c r="H169" s="28" t="n"/>
      <c r="I169" s="14" t="n"/>
      <c r="J169" s="36" t="n"/>
      <c r="K169" s="22">
        <f>IF($A169="","",IF(AND($H169="Open",ISNUMBER($G169)),IF($G169&lt;Dashboard!$B$16,"△ Overdue, was due "&amp;TEXT($G169,"d mmm yyyy"),"Open, due "&amp;TEXT($G169,"d mmm yyyy")),$H169&amp;""))</f>
        <v/>
      </c>
      <c r="L169" s="22">
        <f>IF($A169="","",IF($M169=1,"△ Needs one owner and a date",IF($N169=1,"△ Overdue, was due "&amp;TEXT($G169,"d mmm yyyy"),IF($O169=1,"△ Moved "&amp;$J169&amp;" times","○ Clear"))))</f>
        <v/>
      </c>
      <c r="M169" s="9">
        <f>IF($A169="",0,IF(OR($H169="Done",$H169="Dropped"),0,IF(OR($F169="",AND($B169="Action",NOT(ISNUMBER($G169))),LEN($F169)-LEN(SUBSTITUTE($F169,"(",""))&gt;=2,ISNUMBER(SEARCH(" and ",$Q169)),ISNUMBER(FIND("/",$Q169)),ISNUMBER(FIND("&amp;",$Q169)),ISNUMBER(FIND(",",$Q169))),1,0)))</f>
        <v/>
      </c>
      <c r="N169" s="9">
        <f>IF($A169="",0,IF(AND($H169="Open",ISNUMBER($G169)),IF($G169&lt;Dashboard!$B$16,1,0),0))</f>
        <v/>
      </c>
      <c r="O169" s="9">
        <f>IF($A169="",0,IF(AND($H169="Open",ISNUMBER($J169)),IF($J169&gt;=Dashboard!$H$9,1,0),0))</f>
        <v/>
      </c>
      <c r="P169" s="9">
        <f>IF($M169+$N169+$O169&gt;0,1,0)</f>
        <v/>
      </c>
      <c r="Q169" s="9">
        <f>LEFT($F169,IFERROR(FIND("(",$F169)-1,LEN($F169)))</f>
        <v/>
      </c>
    </row>
    <row r="170" ht="18" customHeight="1">
      <c r="A170" s="28" t="n"/>
      <c r="B170" s="28" t="n"/>
      <c r="C170" s="28" t="n"/>
      <c r="D170" s="14" t="n"/>
      <c r="E170" s="27" t="n"/>
      <c r="F170" s="27" t="n"/>
      <c r="G170" s="14" t="n"/>
      <c r="H170" s="28" t="n"/>
      <c r="I170" s="14" t="n"/>
      <c r="J170" s="36" t="n"/>
      <c r="K170" s="22">
        <f>IF($A170="","",IF(AND($H170="Open",ISNUMBER($G170)),IF($G170&lt;Dashboard!$B$16,"△ Overdue, was due "&amp;TEXT($G170,"d mmm yyyy"),"Open, due "&amp;TEXT($G170,"d mmm yyyy")),$H170&amp;""))</f>
        <v/>
      </c>
      <c r="L170" s="22">
        <f>IF($A170="","",IF($M170=1,"△ Needs one owner and a date",IF($N170=1,"△ Overdue, was due "&amp;TEXT($G170,"d mmm yyyy"),IF($O170=1,"△ Moved "&amp;$J170&amp;" times","○ Clear"))))</f>
        <v/>
      </c>
      <c r="M170" s="9">
        <f>IF($A170="",0,IF(OR($H170="Done",$H170="Dropped"),0,IF(OR($F170="",AND($B170="Action",NOT(ISNUMBER($G170))),LEN($F170)-LEN(SUBSTITUTE($F170,"(",""))&gt;=2,ISNUMBER(SEARCH(" and ",$Q170)),ISNUMBER(FIND("/",$Q170)),ISNUMBER(FIND("&amp;",$Q170)),ISNUMBER(FIND(",",$Q170))),1,0)))</f>
        <v/>
      </c>
      <c r="N170" s="9">
        <f>IF($A170="",0,IF(AND($H170="Open",ISNUMBER($G170)),IF($G170&lt;Dashboard!$B$16,1,0),0))</f>
        <v/>
      </c>
      <c r="O170" s="9">
        <f>IF($A170="",0,IF(AND($H170="Open",ISNUMBER($J170)),IF($J170&gt;=Dashboard!$H$9,1,0),0))</f>
        <v/>
      </c>
      <c r="P170" s="9">
        <f>IF($M170+$N170+$O170&gt;0,1,0)</f>
        <v/>
      </c>
      <c r="Q170" s="9">
        <f>LEFT($F170,IFERROR(FIND("(",$F170)-1,LEN($F170)))</f>
        <v/>
      </c>
    </row>
    <row r="171" ht="18" customHeight="1">
      <c r="A171" s="28" t="n"/>
      <c r="B171" s="28" t="n"/>
      <c r="C171" s="28" t="n"/>
      <c r="D171" s="14" t="n"/>
      <c r="E171" s="27" t="n"/>
      <c r="F171" s="27" t="n"/>
      <c r="G171" s="14" t="n"/>
      <c r="H171" s="28" t="n"/>
      <c r="I171" s="14" t="n"/>
      <c r="J171" s="36" t="n"/>
      <c r="K171" s="22">
        <f>IF($A171="","",IF(AND($H171="Open",ISNUMBER($G171)),IF($G171&lt;Dashboard!$B$16,"△ Overdue, was due "&amp;TEXT($G171,"d mmm yyyy"),"Open, due "&amp;TEXT($G171,"d mmm yyyy")),$H171&amp;""))</f>
        <v/>
      </c>
      <c r="L171" s="22">
        <f>IF($A171="","",IF($M171=1,"△ Needs one owner and a date",IF($N171=1,"△ Overdue, was due "&amp;TEXT($G171,"d mmm yyyy"),IF($O171=1,"△ Moved "&amp;$J171&amp;" times","○ Clear"))))</f>
        <v/>
      </c>
      <c r="M171" s="9">
        <f>IF($A171="",0,IF(OR($H171="Done",$H171="Dropped"),0,IF(OR($F171="",AND($B171="Action",NOT(ISNUMBER($G171))),LEN($F171)-LEN(SUBSTITUTE($F171,"(",""))&gt;=2,ISNUMBER(SEARCH(" and ",$Q171)),ISNUMBER(FIND("/",$Q171)),ISNUMBER(FIND("&amp;",$Q171)),ISNUMBER(FIND(",",$Q171))),1,0)))</f>
        <v/>
      </c>
      <c r="N171" s="9">
        <f>IF($A171="",0,IF(AND($H171="Open",ISNUMBER($G171)),IF($G171&lt;Dashboard!$B$16,1,0),0))</f>
        <v/>
      </c>
      <c r="O171" s="9">
        <f>IF($A171="",0,IF(AND($H171="Open",ISNUMBER($J171)),IF($J171&gt;=Dashboard!$H$9,1,0),0))</f>
        <v/>
      </c>
      <c r="P171" s="9">
        <f>IF($M171+$N171+$O171&gt;0,1,0)</f>
        <v/>
      </c>
      <c r="Q171" s="9">
        <f>LEFT($F171,IFERROR(FIND("(",$F171)-1,LEN($F171)))</f>
        <v/>
      </c>
    </row>
    <row r="172" ht="18" customHeight="1">
      <c r="A172" s="28" t="n"/>
      <c r="B172" s="28" t="n"/>
      <c r="C172" s="28" t="n"/>
      <c r="D172" s="14" t="n"/>
      <c r="E172" s="27" t="n"/>
      <c r="F172" s="27" t="n"/>
      <c r="G172" s="14" t="n"/>
      <c r="H172" s="28" t="n"/>
      <c r="I172" s="14" t="n"/>
      <c r="J172" s="36" t="n"/>
      <c r="K172" s="22">
        <f>IF($A172="","",IF(AND($H172="Open",ISNUMBER($G172)),IF($G172&lt;Dashboard!$B$16,"△ Overdue, was due "&amp;TEXT($G172,"d mmm yyyy"),"Open, due "&amp;TEXT($G172,"d mmm yyyy")),$H172&amp;""))</f>
        <v/>
      </c>
      <c r="L172" s="22">
        <f>IF($A172="","",IF($M172=1,"△ Needs one owner and a date",IF($N172=1,"△ Overdue, was due "&amp;TEXT($G172,"d mmm yyyy"),IF($O172=1,"△ Moved "&amp;$J172&amp;" times","○ Clear"))))</f>
        <v/>
      </c>
      <c r="M172" s="9">
        <f>IF($A172="",0,IF(OR($H172="Done",$H172="Dropped"),0,IF(OR($F172="",AND($B172="Action",NOT(ISNUMBER($G172))),LEN($F172)-LEN(SUBSTITUTE($F172,"(",""))&gt;=2,ISNUMBER(SEARCH(" and ",$Q172)),ISNUMBER(FIND("/",$Q172)),ISNUMBER(FIND("&amp;",$Q172)),ISNUMBER(FIND(",",$Q172))),1,0)))</f>
        <v/>
      </c>
      <c r="N172" s="9">
        <f>IF($A172="",0,IF(AND($H172="Open",ISNUMBER($G172)),IF($G172&lt;Dashboard!$B$16,1,0),0))</f>
        <v/>
      </c>
      <c r="O172" s="9">
        <f>IF($A172="",0,IF(AND($H172="Open",ISNUMBER($J172)),IF($J172&gt;=Dashboard!$H$9,1,0),0))</f>
        <v/>
      </c>
      <c r="P172" s="9">
        <f>IF($M172+$N172+$O172&gt;0,1,0)</f>
        <v/>
      </c>
      <c r="Q172" s="9">
        <f>LEFT($F172,IFERROR(FIND("(",$F172)-1,LEN($F172)))</f>
        <v/>
      </c>
    </row>
    <row r="173" ht="18" customHeight="1">
      <c r="A173" s="28" t="n"/>
      <c r="B173" s="28" t="n"/>
      <c r="C173" s="28" t="n"/>
      <c r="D173" s="14" t="n"/>
      <c r="E173" s="27" t="n"/>
      <c r="F173" s="27" t="n"/>
      <c r="G173" s="14" t="n"/>
      <c r="H173" s="28" t="n"/>
      <c r="I173" s="14" t="n"/>
      <c r="J173" s="36" t="n"/>
      <c r="K173" s="22">
        <f>IF($A173="","",IF(AND($H173="Open",ISNUMBER($G173)),IF($G173&lt;Dashboard!$B$16,"△ Overdue, was due "&amp;TEXT($G173,"d mmm yyyy"),"Open, due "&amp;TEXT($G173,"d mmm yyyy")),$H173&amp;""))</f>
        <v/>
      </c>
      <c r="L173" s="22">
        <f>IF($A173="","",IF($M173=1,"△ Needs one owner and a date",IF($N173=1,"△ Overdue, was due "&amp;TEXT($G173,"d mmm yyyy"),IF($O173=1,"△ Moved "&amp;$J173&amp;" times","○ Clear"))))</f>
        <v/>
      </c>
      <c r="M173" s="9">
        <f>IF($A173="",0,IF(OR($H173="Done",$H173="Dropped"),0,IF(OR($F173="",AND($B173="Action",NOT(ISNUMBER($G173))),LEN($F173)-LEN(SUBSTITUTE($F173,"(",""))&gt;=2,ISNUMBER(SEARCH(" and ",$Q173)),ISNUMBER(FIND("/",$Q173)),ISNUMBER(FIND("&amp;",$Q173)),ISNUMBER(FIND(",",$Q173))),1,0)))</f>
        <v/>
      </c>
      <c r="N173" s="9">
        <f>IF($A173="",0,IF(AND($H173="Open",ISNUMBER($G173)),IF($G173&lt;Dashboard!$B$16,1,0),0))</f>
        <v/>
      </c>
      <c r="O173" s="9">
        <f>IF($A173="",0,IF(AND($H173="Open",ISNUMBER($J173)),IF($J173&gt;=Dashboard!$H$9,1,0),0))</f>
        <v/>
      </c>
      <c r="P173" s="9">
        <f>IF($M173+$N173+$O173&gt;0,1,0)</f>
        <v/>
      </c>
      <c r="Q173" s="9">
        <f>LEFT($F173,IFERROR(FIND("(",$F173)-1,LEN($F173)))</f>
        <v/>
      </c>
    </row>
    <row r="174" ht="18" customHeight="1">
      <c r="A174" s="28" t="n"/>
      <c r="B174" s="28" t="n"/>
      <c r="C174" s="28" t="n"/>
      <c r="D174" s="14" t="n"/>
      <c r="E174" s="27" t="n"/>
      <c r="F174" s="27" t="n"/>
      <c r="G174" s="14" t="n"/>
      <c r="H174" s="28" t="n"/>
      <c r="I174" s="14" t="n"/>
      <c r="J174" s="36" t="n"/>
      <c r="K174" s="22">
        <f>IF($A174="","",IF(AND($H174="Open",ISNUMBER($G174)),IF($G174&lt;Dashboard!$B$16,"△ Overdue, was due "&amp;TEXT($G174,"d mmm yyyy"),"Open, due "&amp;TEXT($G174,"d mmm yyyy")),$H174&amp;""))</f>
        <v/>
      </c>
      <c r="L174" s="22">
        <f>IF($A174="","",IF($M174=1,"△ Needs one owner and a date",IF($N174=1,"△ Overdue, was due "&amp;TEXT($G174,"d mmm yyyy"),IF($O174=1,"△ Moved "&amp;$J174&amp;" times","○ Clear"))))</f>
        <v/>
      </c>
      <c r="M174" s="9">
        <f>IF($A174="",0,IF(OR($H174="Done",$H174="Dropped"),0,IF(OR($F174="",AND($B174="Action",NOT(ISNUMBER($G174))),LEN($F174)-LEN(SUBSTITUTE($F174,"(",""))&gt;=2,ISNUMBER(SEARCH(" and ",$Q174)),ISNUMBER(FIND("/",$Q174)),ISNUMBER(FIND("&amp;",$Q174)),ISNUMBER(FIND(",",$Q174))),1,0)))</f>
        <v/>
      </c>
      <c r="N174" s="9">
        <f>IF($A174="",0,IF(AND($H174="Open",ISNUMBER($G174)),IF($G174&lt;Dashboard!$B$16,1,0),0))</f>
        <v/>
      </c>
      <c r="O174" s="9">
        <f>IF($A174="",0,IF(AND($H174="Open",ISNUMBER($J174)),IF($J174&gt;=Dashboard!$H$9,1,0),0))</f>
        <v/>
      </c>
      <c r="P174" s="9">
        <f>IF($M174+$N174+$O174&gt;0,1,0)</f>
        <v/>
      </c>
      <c r="Q174" s="9">
        <f>LEFT($F174,IFERROR(FIND("(",$F174)-1,LEN($F174)))</f>
        <v/>
      </c>
    </row>
    <row r="175" ht="18" customHeight="1">
      <c r="A175" s="28" t="n"/>
      <c r="B175" s="28" t="n"/>
      <c r="C175" s="28" t="n"/>
      <c r="D175" s="14" t="n"/>
      <c r="E175" s="27" t="n"/>
      <c r="F175" s="27" t="n"/>
      <c r="G175" s="14" t="n"/>
      <c r="H175" s="28" t="n"/>
      <c r="I175" s="14" t="n"/>
      <c r="J175" s="36" t="n"/>
      <c r="K175" s="22">
        <f>IF($A175="","",IF(AND($H175="Open",ISNUMBER($G175)),IF($G175&lt;Dashboard!$B$16,"△ Overdue, was due "&amp;TEXT($G175,"d mmm yyyy"),"Open, due "&amp;TEXT($G175,"d mmm yyyy")),$H175&amp;""))</f>
        <v/>
      </c>
      <c r="L175" s="22">
        <f>IF($A175="","",IF($M175=1,"△ Needs one owner and a date",IF($N175=1,"△ Overdue, was due "&amp;TEXT($G175,"d mmm yyyy"),IF($O175=1,"△ Moved "&amp;$J175&amp;" times","○ Clear"))))</f>
        <v/>
      </c>
      <c r="M175" s="9">
        <f>IF($A175="",0,IF(OR($H175="Done",$H175="Dropped"),0,IF(OR($F175="",AND($B175="Action",NOT(ISNUMBER($G175))),LEN($F175)-LEN(SUBSTITUTE($F175,"(",""))&gt;=2,ISNUMBER(SEARCH(" and ",$Q175)),ISNUMBER(FIND("/",$Q175)),ISNUMBER(FIND("&amp;",$Q175)),ISNUMBER(FIND(",",$Q175))),1,0)))</f>
        <v/>
      </c>
      <c r="N175" s="9">
        <f>IF($A175="",0,IF(AND($H175="Open",ISNUMBER($G175)),IF($G175&lt;Dashboard!$B$16,1,0),0))</f>
        <v/>
      </c>
      <c r="O175" s="9">
        <f>IF($A175="",0,IF(AND($H175="Open",ISNUMBER($J175)),IF($J175&gt;=Dashboard!$H$9,1,0),0))</f>
        <v/>
      </c>
      <c r="P175" s="9">
        <f>IF($M175+$N175+$O175&gt;0,1,0)</f>
        <v/>
      </c>
      <c r="Q175" s="9">
        <f>LEFT($F175,IFERROR(FIND("(",$F175)-1,LEN($F175)))</f>
        <v/>
      </c>
    </row>
    <row r="176" ht="18" customHeight="1">
      <c r="A176" s="28" t="n"/>
      <c r="B176" s="28" t="n"/>
      <c r="C176" s="28" t="n"/>
      <c r="D176" s="14" t="n"/>
      <c r="E176" s="27" t="n"/>
      <c r="F176" s="27" t="n"/>
      <c r="G176" s="14" t="n"/>
      <c r="H176" s="28" t="n"/>
      <c r="I176" s="14" t="n"/>
      <c r="J176" s="36" t="n"/>
      <c r="K176" s="22">
        <f>IF($A176="","",IF(AND($H176="Open",ISNUMBER($G176)),IF($G176&lt;Dashboard!$B$16,"△ Overdue, was due "&amp;TEXT($G176,"d mmm yyyy"),"Open, due "&amp;TEXT($G176,"d mmm yyyy")),$H176&amp;""))</f>
        <v/>
      </c>
      <c r="L176" s="22">
        <f>IF($A176="","",IF($M176=1,"△ Needs one owner and a date",IF($N176=1,"△ Overdue, was due "&amp;TEXT($G176,"d mmm yyyy"),IF($O176=1,"△ Moved "&amp;$J176&amp;" times","○ Clear"))))</f>
        <v/>
      </c>
      <c r="M176" s="9">
        <f>IF($A176="",0,IF(OR($H176="Done",$H176="Dropped"),0,IF(OR($F176="",AND($B176="Action",NOT(ISNUMBER($G176))),LEN($F176)-LEN(SUBSTITUTE($F176,"(",""))&gt;=2,ISNUMBER(SEARCH(" and ",$Q176)),ISNUMBER(FIND("/",$Q176)),ISNUMBER(FIND("&amp;",$Q176)),ISNUMBER(FIND(",",$Q176))),1,0)))</f>
        <v/>
      </c>
      <c r="N176" s="9">
        <f>IF($A176="",0,IF(AND($H176="Open",ISNUMBER($G176)),IF($G176&lt;Dashboard!$B$16,1,0),0))</f>
        <v/>
      </c>
      <c r="O176" s="9">
        <f>IF($A176="",0,IF(AND($H176="Open",ISNUMBER($J176)),IF($J176&gt;=Dashboard!$H$9,1,0),0))</f>
        <v/>
      </c>
      <c r="P176" s="9">
        <f>IF($M176+$N176+$O176&gt;0,1,0)</f>
        <v/>
      </c>
      <c r="Q176" s="9">
        <f>LEFT($F176,IFERROR(FIND("(",$F176)-1,LEN($F176)))</f>
        <v/>
      </c>
    </row>
    <row r="177" ht="18" customHeight="1">
      <c r="A177" s="28" t="n"/>
      <c r="B177" s="28" t="n"/>
      <c r="C177" s="28" t="n"/>
      <c r="D177" s="14" t="n"/>
      <c r="E177" s="27" t="n"/>
      <c r="F177" s="27" t="n"/>
      <c r="G177" s="14" t="n"/>
      <c r="H177" s="28" t="n"/>
      <c r="I177" s="14" t="n"/>
      <c r="J177" s="36" t="n"/>
      <c r="K177" s="22">
        <f>IF($A177="","",IF(AND($H177="Open",ISNUMBER($G177)),IF($G177&lt;Dashboard!$B$16,"△ Overdue, was due "&amp;TEXT($G177,"d mmm yyyy"),"Open, due "&amp;TEXT($G177,"d mmm yyyy")),$H177&amp;""))</f>
        <v/>
      </c>
      <c r="L177" s="22">
        <f>IF($A177="","",IF($M177=1,"△ Needs one owner and a date",IF($N177=1,"△ Overdue, was due "&amp;TEXT($G177,"d mmm yyyy"),IF($O177=1,"△ Moved "&amp;$J177&amp;" times","○ Clear"))))</f>
        <v/>
      </c>
      <c r="M177" s="9">
        <f>IF($A177="",0,IF(OR($H177="Done",$H177="Dropped"),0,IF(OR($F177="",AND($B177="Action",NOT(ISNUMBER($G177))),LEN($F177)-LEN(SUBSTITUTE($F177,"(",""))&gt;=2,ISNUMBER(SEARCH(" and ",$Q177)),ISNUMBER(FIND("/",$Q177)),ISNUMBER(FIND("&amp;",$Q177)),ISNUMBER(FIND(",",$Q177))),1,0)))</f>
        <v/>
      </c>
      <c r="N177" s="9">
        <f>IF($A177="",0,IF(AND($H177="Open",ISNUMBER($G177)),IF($G177&lt;Dashboard!$B$16,1,0),0))</f>
        <v/>
      </c>
      <c r="O177" s="9">
        <f>IF($A177="",0,IF(AND($H177="Open",ISNUMBER($J177)),IF($J177&gt;=Dashboard!$H$9,1,0),0))</f>
        <v/>
      </c>
      <c r="P177" s="9">
        <f>IF($M177+$N177+$O177&gt;0,1,0)</f>
        <v/>
      </c>
      <c r="Q177" s="9">
        <f>LEFT($F177,IFERROR(FIND("(",$F177)-1,LEN($F177)))</f>
        <v/>
      </c>
    </row>
    <row r="178" ht="18" customHeight="1">
      <c r="A178" s="28" t="n"/>
      <c r="B178" s="28" t="n"/>
      <c r="C178" s="28" t="n"/>
      <c r="D178" s="14" t="n"/>
      <c r="E178" s="27" t="n"/>
      <c r="F178" s="27" t="n"/>
      <c r="G178" s="14" t="n"/>
      <c r="H178" s="28" t="n"/>
      <c r="I178" s="14" t="n"/>
      <c r="J178" s="36" t="n"/>
      <c r="K178" s="22">
        <f>IF($A178="","",IF(AND($H178="Open",ISNUMBER($G178)),IF($G178&lt;Dashboard!$B$16,"△ Overdue, was due "&amp;TEXT($G178,"d mmm yyyy"),"Open, due "&amp;TEXT($G178,"d mmm yyyy")),$H178&amp;""))</f>
        <v/>
      </c>
      <c r="L178" s="22">
        <f>IF($A178="","",IF($M178=1,"△ Needs one owner and a date",IF($N178=1,"△ Overdue, was due "&amp;TEXT($G178,"d mmm yyyy"),IF($O178=1,"△ Moved "&amp;$J178&amp;" times","○ Clear"))))</f>
        <v/>
      </c>
      <c r="M178" s="9">
        <f>IF($A178="",0,IF(OR($H178="Done",$H178="Dropped"),0,IF(OR($F178="",AND($B178="Action",NOT(ISNUMBER($G178))),LEN($F178)-LEN(SUBSTITUTE($F178,"(",""))&gt;=2,ISNUMBER(SEARCH(" and ",$Q178)),ISNUMBER(FIND("/",$Q178)),ISNUMBER(FIND("&amp;",$Q178)),ISNUMBER(FIND(",",$Q178))),1,0)))</f>
        <v/>
      </c>
      <c r="N178" s="9">
        <f>IF($A178="",0,IF(AND($H178="Open",ISNUMBER($G178)),IF($G178&lt;Dashboard!$B$16,1,0),0))</f>
        <v/>
      </c>
      <c r="O178" s="9">
        <f>IF($A178="",0,IF(AND($H178="Open",ISNUMBER($J178)),IF($J178&gt;=Dashboard!$H$9,1,0),0))</f>
        <v/>
      </c>
      <c r="P178" s="9">
        <f>IF($M178+$N178+$O178&gt;0,1,0)</f>
        <v/>
      </c>
      <c r="Q178" s="9">
        <f>LEFT($F178,IFERROR(FIND("(",$F178)-1,LEN($F178)))</f>
        <v/>
      </c>
    </row>
    <row r="179" ht="18" customHeight="1">
      <c r="A179" s="28" t="n"/>
      <c r="B179" s="28" t="n"/>
      <c r="C179" s="28" t="n"/>
      <c r="D179" s="14" t="n"/>
      <c r="E179" s="27" t="n"/>
      <c r="F179" s="27" t="n"/>
      <c r="G179" s="14" t="n"/>
      <c r="H179" s="28" t="n"/>
      <c r="I179" s="14" t="n"/>
      <c r="J179" s="36" t="n"/>
      <c r="K179" s="22">
        <f>IF($A179="","",IF(AND($H179="Open",ISNUMBER($G179)),IF($G179&lt;Dashboard!$B$16,"△ Overdue, was due "&amp;TEXT($G179,"d mmm yyyy"),"Open, due "&amp;TEXT($G179,"d mmm yyyy")),$H179&amp;""))</f>
        <v/>
      </c>
      <c r="L179" s="22">
        <f>IF($A179="","",IF($M179=1,"△ Needs one owner and a date",IF($N179=1,"△ Overdue, was due "&amp;TEXT($G179,"d mmm yyyy"),IF($O179=1,"△ Moved "&amp;$J179&amp;" times","○ Clear"))))</f>
        <v/>
      </c>
      <c r="M179" s="9">
        <f>IF($A179="",0,IF(OR($H179="Done",$H179="Dropped"),0,IF(OR($F179="",AND($B179="Action",NOT(ISNUMBER($G179))),LEN($F179)-LEN(SUBSTITUTE($F179,"(",""))&gt;=2,ISNUMBER(SEARCH(" and ",$Q179)),ISNUMBER(FIND("/",$Q179)),ISNUMBER(FIND("&amp;",$Q179)),ISNUMBER(FIND(",",$Q179))),1,0)))</f>
        <v/>
      </c>
      <c r="N179" s="9">
        <f>IF($A179="",0,IF(AND($H179="Open",ISNUMBER($G179)),IF($G179&lt;Dashboard!$B$16,1,0),0))</f>
        <v/>
      </c>
      <c r="O179" s="9">
        <f>IF($A179="",0,IF(AND($H179="Open",ISNUMBER($J179)),IF($J179&gt;=Dashboard!$H$9,1,0),0))</f>
        <v/>
      </c>
      <c r="P179" s="9">
        <f>IF($M179+$N179+$O179&gt;0,1,0)</f>
        <v/>
      </c>
      <c r="Q179" s="9">
        <f>LEFT($F179,IFERROR(FIND("(",$F179)-1,LEN($F179)))</f>
        <v/>
      </c>
    </row>
    <row r="180" ht="18" customHeight="1">
      <c r="A180" s="28" t="n"/>
      <c r="B180" s="28" t="n"/>
      <c r="C180" s="28" t="n"/>
      <c r="D180" s="14" t="n"/>
      <c r="E180" s="27" t="n"/>
      <c r="F180" s="27" t="n"/>
      <c r="G180" s="14" t="n"/>
      <c r="H180" s="28" t="n"/>
      <c r="I180" s="14" t="n"/>
      <c r="J180" s="36" t="n"/>
      <c r="K180" s="22">
        <f>IF($A180="","",IF(AND($H180="Open",ISNUMBER($G180)),IF($G180&lt;Dashboard!$B$16,"△ Overdue, was due "&amp;TEXT($G180,"d mmm yyyy"),"Open, due "&amp;TEXT($G180,"d mmm yyyy")),$H180&amp;""))</f>
        <v/>
      </c>
      <c r="L180" s="22">
        <f>IF($A180="","",IF($M180=1,"△ Needs one owner and a date",IF($N180=1,"△ Overdue, was due "&amp;TEXT($G180,"d mmm yyyy"),IF($O180=1,"△ Moved "&amp;$J180&amp;" times","○ Clear"))))</f>
        <v/>
      </c>
      <c r="M180" s="9">
        <f>IF($A180="",0,IF(OR($H180="Done",$H180="Dropped"),0,IF(OR($F180="",AND($B180="Action",NOT(ISNUMBER($G180))),LEN($F180)-LEN(SUBSTITUTE($F180,"(",""))&gt;=2,ISNUMBER(SEARCH(" and ",$Q180)),ISNUMBER(FIND("/",$Q180)),ISNUMBER(FIND("&amp;",$Q180)),ISNUMBER(FIND(",",$Q180))),1,0)))</f>
        <v/>
      </c>
      <c r="N180" s="9">
        <f>IF($A180="",0,IF(AND($H180="Open",ISNUMBER($G180)),IF($G180&lt;Dashboard!$B$16,1,0),0))</f>
        <v/>
      </c>
      <c r="O180" s="9">
        <f>IF($A180="",0,IF(AND($H180="Open",ISNUMBER($J180)),IF($J180&gt;=Dashboard!$H$9,1,0),0))</f>
        <v/>
      </c>
      <c r="P180" s="9">
        <f>IF($M180+$N180+$O180&gt;0,1,0)</f>
        <v/>
      </c>
      <c r="Q180" s="9">
        <f>LEFT($F180,IFERROR(FIND("(",$F180)-1,LEN($F180)))</f>
        <v/>
      </c>
    </row>
    <row r="181" ht="18" customHeight="1">
      <c r="A181" s="28" t="n"/>
      <c r="B181" s="28" t="n"/>
      <c r="C181" s="28" t="n"/>
      <c r="D181" s="14" t="n"/>
      <c r="E181" s="27" t="n"/>
      <c r="F181" s="27" t="n"/>
      <c r="G181" s="14" t="n"/>
      <c r="H181" s="28" t="n"/>
      <c r="I181" s="14" t="n"/>
      <c r="J181" s="36" t="n"/>
      <c r="K181" s="22">
        <f>IF($A181="","",IF(AND($H181="Open",ISNUMBER($G181)),IF($G181&lt;Dashboard!$B$16,"△ Overdue, was due "&amp;TEXT($G181,"d mmm yyyy"),"Open, due "&amp;TEXT($G181,"d mmm yyyy")),$H181&amp;""))</f>
        <v/>
      </c>
      <c r="L181" s="22">
        <f>IF($A181="","",IF($M181=1,"△ Needs one owner and a date",IF($N181=1,"△ Overdue, was due "&amp;TEXT($G181,"d mmm yyyy"),IF($O181=1,"△ Moved "&amp;$J181&amp;" times","○ Clear"))))</f>
        <v/>
      </c>
      <c r="M181" s="9">
        <f>IF($A181="",0,IF(OR($H181="Done",$H181="Dropped"),0,IF(OR($F181="",AND($B181="Action",NOT(ISNUMBER($G181))),LEN($F181)-LEN(SUBSTITUTE($F181,"(",""))&gt;=2,ISNUMBER(SEARCH(" and ",$Q181)),ISNUMBER(FIND("/",$Q181)),ISNUMBER(FIND("&amp;",$Q181)),ISNUMBER(FIND(",",$Q181))),1,0)))</f>
        <v/>
      </c>
      <c r="N181" s="9">
        <f>IF($A181="",0,IF(AND($H181="Open",ISNUMBER($G181)),IF($G181&lt;Dashboard!$B$16,1,0),0))</f>
        <v/>
      </c>
      <c r="O181" s="9">
        <f>IF($A181="",0,IF(AND($H181="Open",ISNUMBER($J181)),IF($J181&gt;=Dashboard!$H$9,1,0),0))</f>
        <v/>
      </c>
      <c r="P181" s="9">
        <f>IF($M181+$N181+$O181&gt;0,1,0)</f>
        <v/>
      </c>
      <c r="Q181" s="9">
        <f>LEFT($F181,IFERROR(FIND("(",$F181)-1,LEN($F181)))</f>
        <v/>
      </c>
    </row>
    <row r="182" ht="18" customHeight="1">
      <c r="A182" s="28" t="n"/>
      <c r="B182" s="28" t="n"/>
      <c r="C182" s="28" t="n"/>
      <c r="D182" s="14" t="n"/>
      <c r="E182" s="27" t="n"/>
      <c r="F182" s="27" t="n"/>
      <c r="G182" s="14" t="n"/>
      <c r="H182" s="28" t="n"/>
      <c r="I182" s="14" t="n"/>
      <c r="J182" s="36" t="n"/>
      <c r="K182" s="22">
        <f>IF($A182="","",IF(AND($H182="Open",ISNUMBER($G182)),IF($G182&lt;Dashboard!$B$16,"△ Overdue, was due "&amp;TEXT($G182,"d mmm yyyy"),"Open, due "&amp;TEXT($G182,"d mmm yyyy")),$H182&amp;""))</f>
        <v/>
      </c>
      <c r="L182" s="22">
        <f>IF($A182="","",IF($M182=1,"△ Needs one owner and a date",IF($N182=1,"△ Overdue, was due "&amp;TEXT($G182,"d mmm yyyy"),IF($O182=1,"△ Moved "&amp;$J182&amp;" times","○ Clear"))))</f>
        <v/>
      </c>
      <c r="M182" s="9">
        <f>IF($A182="",0,IF(OR($H182="Done",$H182="Dropped"),0,IF(OR($F182="",AND($B182="Action",NOT(ISNUMBER($G182))),LEN($F182)-LEN(SUBSTITUTE($F182,"(",""))&gt;=2,ISNUMBER(SEARCH(" and ",$Q182)),ISNUMBER(FIND("/",$Q182)),ISNUMBER(FIND("&amp;",$Q182)),ISNUMBER(FIND(",",$Q182))),1,0)))</f>
        <v/>
      </c>
      <c r="N182" s="9">
        <f>IF($A182="",0,IF(AND($H182="Open",ISNUMBER($G182)),IF($G182&lt;Dashboard!$B$16,1,0),0))</f>
        <v/>
      </c>
      <c r="O182" s="9">
        <f>IF($A182="",0,IF(AND($H182="Open",ISNUMBER($J182)),IF($J182&gt;=Dashboard!$H$9,1,0),0))</f>
        <v/>
      </c>
      <c r="P182" s="9">
        <f>IF($M182+$N182+$O182&gt;0,1,0)</f>
        <v/>
      </c>
      <c r="Q182" s="9">
        <f>LEFT($F182,IFERROR(FIND("(",$F182)-1,LEN($F182)))</f>
        <v/>
      </c>
    </row>
    <row r="183" ht="18" customHeight="1">
      <c r="A183" s="28" t="n"/>
      <c r="B183" s="28" t="n"/>
      <c r="C183" s="28" t="n"/>
      <c r="D183" s="14" t="n"/>
      <c r="E183" s="27" t="n"/>
      <c r="F183" s="27" t="n"/>
      <c r="G183" s="14" t="n"/>
      <c r="H183" s="28" t="n"/>
      <c r="I183" s="14" t="n"/>
      <c r="J183" s="36" t="n"/>
      <c r="K183" s="22">
        <f>IF($A183="","",IF(AND($H183="Open",ISNUMBER($G183)),IF($G183&lt;Dashboard!$B$16,"△ Overdue, was due "&amp;TEXT($G183,"d mmm yyyy"),"Open, due "&amp;TEXT($G183,"d mmm yyyy")),$H183&amp;""))</f>
        <v/>
      </c>
      <c r="L183" s="22">
        <f>IF($A183="","",IF($M183=1,"△ Needs one owner and a date",IF($N183=1,"△ Overdue, was due "&amp;TEXT($G183,"d mmm yyyy"),IF($O183=1,"△ Moved "&amp;$J183&amp;" times","○ Clear"))))</f>
        <v/>
      </c>
      <c r="M183" s="9">
        <f>IF($A183="",0,IF(OR($H183="Done",$H183="Dropped"),0,IF(OR($F183="",AND($B183="Action",NOT(ISNUMBER($G183))),LEN($F183)-LEN(SUBSTITUTE($F183,"(",""))&gt;=2,ISNUMBER(SEARCH(" and ",$Q183)),ISNUMBER(FIND("/",$Q183)),ISNUMBER(FIND("&amp;",$Q183)),ISNUMBER(FIND(",",$Q183))),1,0)))</f>
        <v/>
      </c>
      <c r="N183" s="9">
        <f>IF($A183="",0,IF(AND($H183="Open",ISNUMBER($G183)),IF($G183&lt;Dashboard!$B$16,1,0),0))</f>
        <v/>
      </c>
      <c r="O183" s="9">
        <f>IF($A183="",0,IF(AND($H183="Open",ISNUMBER($J183)),IF($J183&gt;=Dashboard!$H$9,1,0),0))</f>
        <v/>
      </c>
      <c r="P183" s="9">
        <f>IF($M183+$N183+$O183&gt;0,1,0)</f>
        <v/>
      </c>
      <c r="Q183" s="9">
        <f>LEFT($F183,IFERROR(FIND("(",$F183)-1,LEN($F183)))</f>
        <v/>
      </c>
    </row>
    <row r="184" ht="18" customHeight="1">
      <c r="A184" s="28" t="n"/>
      <c r="B184" s="28" t="n"/>
      <c r="C184" s="28" t="n"/>
      <c r="D184" s="14" t="n"/>
      <c r="E184" s="27" t="n"/>
      <c r="F184" s="27" t="n"/>
      <c r="G184" s="14" t="n"/>
      <c r="H184" s="28" t="n"/>
      <c r="I184" s="14" t="n"/>
      <c r="J184" s="36" t="n"/>
      <c r="K184" s="22">
        <f>IF($A184="","",IF(AND($H184="Open",ISNUMBER($G184)),IF($G184&lt;Dashboard!$B$16,"△ Overdue, was due "&amp;TEXT($G184,"d mmm yyyy"),"Open, due "&amp;TEXT($G184,"d mmm yyyy")),$H184&amp;""))</f>
        <v/>
      </c>
      <c r="L184" s="22">
        <f>IF($A184="","",IF($M184=1,"△ Needs one owner and a date",IF($N184=1,"△ Overdue, was due "&amp;TEXT($G184,"d mmm yyyy"),IF($O184=1,"△ Moved "&amp;$J184&amp;" times","○ Clear"))))</f>
        <v/>
      </c>
      <c r="M184" s="9">
        <f>IF($A184="",0,IF(OR($H184="Done",$H184="Dropped"),0,IF(OR($F184="",AND($B184="Action",NOT(ISNUMBER($G184))),LEN($F184)-LEN(SUBSTITUTE($F184,"(",""))&gt;=2,ISNUMBER(SEARCH(" and ",$Q184)),ISNUMBER(FIND("/",$Q184)),ISNUMBER(FIND("&amp;",$Q184)),ISNUMBER(FIND(",",$Q184))),1,0)))</f>
        <v/>
      </c>
      <c r="N184" s="9">
        <f>IF($A184="",0,IF(AND($H184="Open",ISNUMBER($G184)),IF($G184&lt;Dashboard!$B$16,1,0),0))</f>
        <v/>
      </c>
      <c r="O184" s="9">
        <f>IF($A184="",0,IF(AND($H184="Open",ISNUMBER($J184)),IF($J184&gt;=Dashboard!$H$9,1,0),0))</f>
        <v/>
      </c>
      <c r="P184" s="9">
        <f>IF($M184+$N184+$O184&gt;0,1,0)</f>
        <v/>
      </c>
      <c r="Q184" s="9">
        <f>LEFT($F184,IFERROR(FIND("(",$F184)-1,LEN($F184)))</f>
        <v/>
      </c>
    </row>
    <row r="185" ht="18" customHeight="1">
      <c r="A185" s="28" t="n"/>
      <c r="B185" s="28" t="n"/>
      <c r="C185" s="28" t="n"/>
      <c r="D185" s="14" t="n"/>
      <c r="E185" s="27" t="n"/>
      <c r="F185" s="27" t="n"/>
      <c r="G185" s="14" t="n"/>
      <c r="H185" s="28" t="n"/>
      <c r="I185" s="14" t="n"/>
      <c r="J185" s="36" t="n"/>
      <c r="K185" s="22">
        <f>IF($A185="","",IF(AND($H185="Open",ISNUMBER($G185)),IF($G185&lt;Dashboard!$B$16,"△ Overdue, was due "&amp;TEXT($G185,"d mmm yyyy"),"Open, due "&amp;TEXT($G185,"d mmm yyyy")),$H185&amp;""))</f>
        <v/>
      </c>
      <c r="L185" s="22">
        <f>IF($A185="","",IF($M185=1,"△ Needs one owner and a date",IF($N185=1,"△ Overdue, was due "&amp;TEXT($G185,"d mmm yyyy"),IF($O185=1,"△ Moved "&amp;$J185&amp;" times","○ Clear"))))</f>
        <v/>
      </c>
      <c r="M185" s="9">
        <f>IF($A185="",0,IF(OR($H185="Done",$H185="Dropped"),0,IF(OR($F185="",AND($B185="Action",NOT(ISNUMBER($G185))),LEN($F185)-LEN(SUBSTITUTE($F185,"(",""))&gt;=2,ISNUMBER(SEARCH(" and ",$Q185)),ISNUMBER(FIND("/",$Q185)),ISNUMBER(FIND("&amp;",$Q185)),ISNUMBER(FIND(",",$Q185))),1,0)))</f>
        <v/>
      </c>
      <c r="N185" s="9">
        <f>IF($A185="",0,IF(AND($H185="Open",ISNUMBER($G185)),IF($G185&lt;Dashboard!$B$16,1,0),0))</f>
        <v/>
      </c>
      <c r="O185" s="9">
        <f>IF($A185="",0,IF(AND($H185="Open",ISNUMBER($J185)),IF($J185&gt;=Dashboard!$H$9,1,0),0))</f>
        <v/>
      </c>
      <c r="P185" s="9">
        <f>IF($M185+$N185+$O185&gt;0,1,0)</f>
        <v/>
      </c>
      <c r="Q185" s="9">
        <f>LEFT($F185,IFERROR(FIND("(",$F185)-1,LEN($F185)))</f>
        <v/>
      </c>
    </row>
    <row r="186" ht="18" customHeight="1">
      <c r="A186" s="28" t="n"/>
      <c r="B186" s="28" t="n"/>
      <c r="C186" s="28" t="n"/>
      <c r="D186" s="14" t="n"/>
      <c r="E186" s="27" t="n"/>
      <c r="F186" s="27" t="n"/>
      <c r="G186" s="14" t="n"/>
      <c r="H186" s="28" t="n"/>
      <c r="I186" s="14" t="n"/>
      <c r="J186" s="36" t="n"/>
      <c r="K186" s="22">
        <f>IF($A186="","",IF(AND($H186="Open",ISNUMBER($G186)),IF($G186&lt;Dashboard!$B$16,"△ Overdue, was due "&amp;TEXT($G186,"d mmm yyyy"),"Open, due "&amp;TEXT($G186,"d mmm yyyy")),$H186&amp;""))</f>
        <v/>
      </c>
      <c r="L186" s="22">
        <f>IF($A186="","",IF($M186=1,"△ Needs one owner and a date",IF($N186=1,"△ Overdue, was due "&amp;TEXT($G186,"d mmm yyyy"),IF($O186=1,"△ Moved "&amp;$J186&amp;" times","○ Clear"))))</f>
        <v/>
      </c>
      <c r="M186" s="9">
        <f>IF($A186="",0,IF(OR($H186="Done",$H186="Dropped"),0,IF(OR($F186="",AND($B186="Action",NOT(ISNUMBER($G186))),LEN($F186)-LEN(SUBSTITUTE($F186,"(",""))&gt;=2,ISNUMBER(SEARCH(" and ",$Q186)),ISNUMBER(FIND("/",$Q186)),ISNUMBER(FIND("&amp;",$Q186)),ISNUMBER(FIND(",",$Q186))),1,0)))</f>
        <v/>
      </c>
      <c r="N186" s="9">
        <f>IF($A186="",0,IF(AND($H186="Open",ISNUMBER($G186)),IF($G186&lt;Dashboard!$B$16,1,0),0))</f>
        <v/>
      </c>
      <c r="O186" s="9">
        <f>IF($A186="",0,IF(AND($H186="Open",ISNUMBER($J186)),IF($J186&gt;=Dashboard!$H$9,1,0),0))</f>
        <v/>
      </c>
      <c r="P186" s="9">
        <f>IF($M186+$N186+$O186&gt;0,1,0)</f>
        <v/>
      </c>
      <c r="Q186" s="9">
        <f>LEFT($F186,IFERROR(FIND("(",$F186)-1,LEN($F186)))</f>
        <v/>
      </c>
    </row>
    <row r="187" ht="18" customHeight="1">
      <c r="A187" s="28" t="n"/>
      <c r="B187" s="28" t="n"/>
      <c r="C187" s="28" t="n"/>
      <c r="D187" s="14" t="n"/>
      <c r="E187" s="27" t="n"/>
      <c r="F187" s="27" t="n"/>
      <c r="G187" s="14" t="n"/>
      <c r="H187" s="28" t="n"/>
      <c r="I187" s="14" t="n"/>
      <c r="J187" s="36" t="n"/>
      <c r="K187" s="22">
        <f>IF($A187="","",IF(AND($H187="Open",ISNUMBER($G187)),IF($G187&lt;Dashboard!$B$16,"△ Overdue, was due "&amp;TEXT($G187,"d mmm yyyy"),"Open, due "&amp;TEXT($G187,"d mmm yyyy")),$H187&amp;""))</f>
        <v/>
      </c>
      <c r="L187" s="22">
        <f>IF($A187="","",IF($M187=1,"△ Needs one owner and a date",IF($N187=1,"△ Overdue, was due "&amp;TEXT($G187,"d mmm yyyy"),IF($O187=1,"△ Moved "&amp;$J187&amp;" times","○ Clear"))))</f>
        <v/>
      </c>
      <c r="M187" s="9">
        <f>IF($A187="",0,IF(OR($H187="Done",$H187="Dropped"),0,IF(OR($F187="",AND($B187="Action",NOT(ISNUMBER($G187))),LEN($F187)-LEN(SUBSTITUTE($F187,"(",""))&gt;=2,ISNUMBER(SEARCH(" and ",$Q187)),ISNUMBER(FIND("/",$Q187)),ISNUMBER(FIND("&amp;",$Q187)),ISNUMBER(FIND(",",$Q187))),1,0)))</f>
        <v/>
      </c>
      <c r="N187" s="9">
        <f>IF($A187="",0,IF(AND($H187="Open",ISNUMBER($G187)),IF($G187&lt;Dashboard!$B$16,1,0),0))</f>
        <v/>
      </c>
      <c r="O187" s="9">
        <f>IF($A187="",0,IF(AND($H187="Open",ISNUMBER($J187)),IF($J187&gt;=Dashboard!$H$9,1,0),0))</f>
        <v/>
      </c>
      <c r="P187" s="9">
        <f>IF($M187+$N187+$O187&gt;0,1,0)</f>
        <v/>
      </c>
      <c r="Q187" s="9">
        <f>LEFT($F187,IFERROR(FIND("(",$F187)-1,LEN($F187)))</f>
        <v/>
      </c>
    </row>
    <row r="188" ht="18" customHeight="1">
      <c r="A188" s="28" t="n"/>
      <c r="B188" s="28" t="n"/>
      <c r="C188" s="28" t="n"/>
      <c r="D188" s="14" t="n"/>
      <c r="E188" s="27" t="n"/>
      <c r="F188" s="27" t="n"/>
      <c r="G188" s="14" t="n"/>
      <c r="H188" s="28" t="n"/>
      <c r="I188" s="14" t="n"/>
      <c r="J188" s="36" t="n"/>
      <c r="K188" s="22">
        <f>IF($A188="","",IF(AND($H188="Open",ISNUMBER($G188)),IF($G188&lt;Dashboard!$B$16,"△ Overdue, was due "&amp;TEXT($G188,"d mmm yyyy"),"Open, due "&amp;TEXT($G188,"d mmm yyyy")),$H188&amp;""))</f>
        <v/>
      </c>
      <c r="L188" s="22">
        <f>IF($A188="","",IF($M188=1,"△ Needs one owner and a date",IF($N188=1,"△ Overdue, was due "&amp;TEXT($G188,"d mmm yyyy"),IF($O188=1,"△ Moved "&amp;$J188&amp;" times","○ Clear"))))</f>
        <v/>
      </c>
      <c r="M188" s="9">
        <f>IF($A188="",0,IF(OR($H188="Done",$H188="Dropped"),0,IF(OR($F188="",AND($B188="Action",NOT(ISNUMBER($G188))),LEN($F188)-LEN(SUBSTITUTE($F188,"(",""))&gt;=2,ISNUMBER(SEARCH(" and ",$Q188)),ISNUMBER(FIND("/",$Q188)),ISNUMBER(FIND("&amp;",$Q188)),ISNUMBER(FIND(",",$Q188))),1,0)))</f>
        <v/>
      </c>
      <c r="N188" s="9">
        <f>IF($A188="",0,IF(AND($H188="Open",ISNUMBER($G188)),IF($G188&lt;Dashboard!$B$16,1,0),0))</f>
        <v/>
      </c>
      <c r="O188" s="9">
        <f>IF($A188="",0,IF(AND($H188="Open",ISNUMBER($J188)),IF($J188&gt;=Dashboard!$H$9,1,0),0))</f>
        <v/>
      </c>
      <c r="P188" s="9">
        <f>IF($M188+$N188+$O188&gt;0,1,0)</f>
        <v/>
      </c>
      <c r="Q188" s="9">
        <f>LEFT($F188,IFERROR(FIND("(",$F188)-1,LEN($F188)))</f>
        <v/>
      </c>
    </row>
    <row r="189" ht="18" customHeight="1">
      <c r="A189" s="28" t="n"/>
      <c r="B189" s="28" t="n"/>
      <c r="C189" s="28" t="n"/>
      <c r="D189" s="14" t="n"/>
      <c r="E189" s="27" t="n"/>
      <c r="F189" s="27" t="n"/>
      <c r="G189" s="14" t="n"/>
      <c r="H189" s="28" t="n"/>
      <c r="I189" s="14" t="n"/>
      <c r="J189" s="36" t="n"/>
      <c r="K189" s="22">
        <f>IF($A189="","",IF(AND($H189="Open",ISNUMBER($G189)),IF($G189&lt;Dashboard!$B$16,"△ Overdue, was due "&amp;TEXT($G189,"d mmm yyyy"),"Open, due "&amp;TEXT($G189,"d mmm yyyy")),$H189&amp;""))</f>
        <v/>
      </c>
      <c r="L189" s="22">
        <f>IF($A189="","",IF($M189=1,"△ Needs one owner and a date",IF($N189=1,"△ Overdue, was due "&amp;TEXT($G189,"d mmm yyyy"),IF($O189=1,"△ Moved "&amp;$J189&amp;" times","○ Clear"))))</f>
        <v/>
      </c>
      <c r="M189" s="9">
        <f>IF($A189="",0,IF(OR($H189="Done",$H189="Dropped"),0,IF(OR($F189="",AND($B189="Action",NOT(ISNUMBER($G189))),LEN($F189)-LEN(SUBSTITUTE($F189,"(",""))&gt;=2,ISNUMBER(SEARCH(" and ",$Q189)),ISNUMBER(FIND("/",$Q189)),ISNUMBER(FIND("&amp;",$Q189)),ISNUMBER(FIND(",",$Q189))),1,0)))</f>
        <v/>
      </c>
      <c r="N189" s="9">
        <f>IF($A189="",0,IF(AND($H189="Open",ISNUMBER($G189)),IF($G189&lt;Dashboard!$B$16,1,0),0))</f>
        <v/>
      </c>
      <c r="O189" s="9">
        <f>IF($A189="",0,IF(AND($H189="Open",ISNUMBER($J189)),IF($J189&gt;=Dashboard!$H$9,1,0),0))</f>
        <v/>
      </c>
      <c r="P189" s="9">
        <f>IF($M189+$N189+$O189&gt;0,1,0)</f>
        <v/>
      </c>
      <c r="Q189" s="9">
        <f>LEFT($F189,IFERROR(FIND("(",$F189)-1,LEN($F189)))</f>
        <v/>
      </c>
    </row>
    <row r="190" ht="18" customHeight="1">
      <c r="A190" s="28" t="n"/>
      <c r="B190" s="28" t="n"/>
      <c r="C190" s="28" t="n"/>
      <c r="D190" s="14" t="n"/>
      <c r="E190" s="27" t="n"/>
      <c r="F190" s="27" t="n"/>
      <c r="G190" s="14" t="n"/>
      <c r="H190" s="28" t="n"/>
      <c r="I190" s="14" t="n"/>
      <c r="J190" s="36" t="n"/>
      <c r="K190" s="22">
        <f>IF($A190="","",IF(AND($H190="Open",ISNUMBER($G190)),IF($G190&lt;Dashboard!$B$16,"△ Overdue, was due "&amp;TEXT($G190,"d mmm yyyy"),"Open, due "&amp;TEXT($G190,"d mmm yyyy")),$H190&amp;""))</f>
        <v/>
      </c>
      <c r="L190" s="22">
        <f>IF($A190="","",IF($M190=1,"△ Needs one owner and a date",IF($N190=1,"△ Overdue, was due "&amp;TEXT($G190,"d mmm yyyy"),IF($O190=1,"△ Moved "&amp;$J190&amp;" times","○ Clear"))))</f>
        <v/>
      </c>
      <c r="M190" s="9">
        <f>IF($A190="",0,IF(OR($H190="Done",$H190="Dropped"),0,IF(OR($F190="",AND($B190="Action",NOT(ISNUMBER($G190))),LEN($F190)-LEN(SUBSTITUTE($F190,"(",""))&gt;=2,ISNUMBER(SEARCH(" and ",$Q190)),ISNUMBER(FIND("/",$Q190)),ISNUMBER(FIND("&amp;",$Q190)),ISNUMBER(FIND(",",$Q190))),1,0)))</f>
        <v/>
      </c>
      <c r="N190" s="9">
        <f>IF($A190="",0,IF(AND($H190="Open",ISNUMBER($G190)),IF($G190&lt;Dashboard!$B$16,1,0),0))</f>
        <v/>
      </c>
      <c r="O190" s="9">
        <f>IF($A190="",0,IF(AND($H190="Open",ISNUMBER($J190)),IF($J190&gt;=Dashboard!$H$9,1,0),0))</f>
        <v/>
      </c>
      <c r="P190" s="9">
        <f>IF($M190+$N190+$O190&gt;0,1,0)</f>
        <v/>
      </c>
      <c r="Q190" s="9">
        <f>LEFT($F190,IFERROR(FIND("(",$F190)-1,LEN($F190)))</f>
        <v/>
      </c>
    </row>
    <row r="191" ht="18" customHeight="1">
      <c r="A191" s="28" t="n"/>
      <c r="B191" s="28" t="n"/>
      <c r="C191" s="28" t="n"/>
      <c r="D191" s="14" t="n"/>
      <c r="E191" s="27" t="n"/>
      <c r="F191" s="27" t="n"/>
      <c r="G191" s="14" t="n"/>
      <c r="H191" s="28" t="n"/>
      <c r="I191" s="14" t="n"/>
      <c r="J191" s="36" t="n"/>
      <c r="K191" s="22">
        <f>IF($A191="","",IF(AND($H191="Open",ISNUMBER($G191)),IF($G191&lt;Dashboard!$B$16,"△ Overdue, was due "&amp;TEXT($G191,"d mmm yyyy"),"Open, due "&amp;TEXT($G191,"d mmm yyyy")),$H191&amp;""))</f>
        <v/>
      </c>
      <c r="L191" s="22">
        <f>IF($A191="","",IF($M191=1,"△ Needs one owner and a date",IF($N191=1,"△ Overdue, was due "&amp;TEXT($G191,"d mmm yyyy"),IF($O191=1,"△ Moved "&amp;$J191&amp;" times","○ Clear"))))</f>
        <v/>
      </c>
      <c r="M191" s="9">
        <f>IF($A191="",0,IF(OR($H191="Done",$H191="Dropped"),0,IF(OR($F191="",AND($B191="Action",NOT(ISNUMBER($G191))),LEN($F191)-LEN(SUBSTITUTE($F191,"(",""))&gt;=2,ISNUMBER(SEARCH(" and ",$Q191)),ISNUMBER(FIND("/",$Q191)),ISNUMBER(FIND("&amp;",$Q191)),ISNUMBER(FIND(",",$Q191))),1,0)))</f>
        <v/>
      </c>
      <c r="N191" s="9">
        <f>IF($A191="",0,IF(AND($H191="Open",ISNUMBER($G191)),IF($G191&lt;Dashboard!$B$16,1,0),0))</f>
        <v/>
      </c>
      <c r="O191" s="9">
        <f>IF($A191="",0,IF(AND($H191="Open",ISNUMBER($J191)),IF($J191&gt;=Dashboard!$H$9,1,0),0))</f>
        <v/>
      </c>
      <c r="P191" s="9">
        <f>IF($M191+$N191+$O191&gt;0,1,0)</f>
        <v/>
      </c>
      <c r="Q191" s="9">
        <f>LEFT($F191,IFERROR(FIND("(",$F191)-1,LEN($F191)))</f>
        <v/>
      </c>
    </row>
    <row r="192" ht="18" customHeight="1">
      <c r="A192" s="28" t="n"/>
      <c r="B192" s="28" t="n"/>
      <c r="C192" s="28" t="n"/>
      <c r="D192" s="14" t="n"/>
      <c r="E192" s="27" t="n"/>
      <c r="F192" s="27" t="n"/>
      <c r="G192" s="14" t="n"/>
      <c r="H192" s="28" t="n"/>
      <c r="I192" s="14" t="n"/>
      <c r="J192" s="36" t="n"/>
      <c r="K192" s="22">
        <f>IF($A192="","",IF(AND($H192="Open",ISNUMBER($G192)),IF($G192&lt;Dashboard!$B$16,"△ Overdue, was due "&amp;TEXT($G192,"d mmm yyyy"),"Open, due "&amp;TEXT($G192,"d mmm yyyy")),$H192&amp;""))</f>
        <v/>
      </c>
      <c r="L192" s="22">
        <f>IF($A192="","",IF($M192=1,"△ Needs one owner and a date",IF($N192=1,"△ Overdue, was due "&amp;TEXT($G192,"d mmm yyyy"),IF($O192=1,"△ Moved "&amp;$J192&amp;" times","○ Clear"))))</f>
        <v/>
      </c>
      <c r="M192" s="9">
        <f>IF($A192="",0,IF(OR($H192="Done",$H192="Dropped"),0,IF(OR($F192="",AND($B192="Action",NOT(ISNUMBER($G192))),LEN($F192)-LEN(SUBSTITUTE($F192,"(",""))&gt;=2,ISNUMBER(SEARCH(" and ",$Q192)),ISNUMBER(FIND("/",$Q192)),ISNUMBER(FIND("&amp;",$Q192)),ISNUMBER(FIND(",",$Q192))),1,0)))</f>
        <v/>
      </c>
      <c r="N192" s="9">
        <f>IF($A192="",0,IF(AND($H192="Open",ISNUMBER($G192)),IF($G192&lt;Dashboard!$B$16,1,0),0))</f>
        <v/>
      </c>
      <c r="O192" s="9">
        <f>IF($A192="",0,IF(AND($H192="Open",ISNUMBER($J192)),IF($J192&gt;=Dashboard!$H$9,1,0),0))</f>
        <v/>
      </c>
      <c r="P192" s="9">
        <f>IF($M192+$N192+$O192&gt;0,1,0)</f>
        <v/>
      </c>
      <c r="Q192" s="9">
        <f>LEFT($F192,IFERROR(FIND("(",$F192)-1,LEN($F192)))</f>
        <v/>
      </c>
    </row>
    <row r="193" ht="18" customHeight="1">
      <c r="A193" s="28" t="n"/>
      <c r="B193" s="28" t="n"/>
      <c r="C193" s="28" t="n"/>
      <c r="D193" s="14" t="n"/>
      <c r="E193" s="27" t="n"/>
      <c r="F193" s="27" t="n"/>
      <c r="G193" s="14" t="n"/>
      <c r="H193" s="28" t="n"/>
      <c r="I193" s="14" t="n"/>
      <c r="J193" s="36" t="n"/>
      <c r="K193" s="22">
        <f>IF($A193="","",IF(AND($H193="Open",ISNUMBER($G193)),IF($G193&lt;Dashboard!$B$16,"△ Overdue, was due "&amp;TEXT($G193,"d mmm yyyy"),"Open, due "&amp;TEXT($G193,"d mmm yyyy")),$H193&amp;""))</f>
        <v/>
      </c>
      <c r="L193" s="22">
        <f>IF($A193="","",IF($M193=1,"△ Needs one owner and a date",IF($N193=1,"△ Overdue, was due "&amp;TEXT($G193,"d mmm yyyy"),IF($O193=1,"△ Moved "&amp;$J193&amp;" times","○ Clear"))))</f>
        <v/>
      </c>
      <c r="M193" s="9">
        <f>IF($A193="",0,IF(OR($H193="Done",$H193="Dropped"),0,IF(OR($F193="",AND($B193="Action",NOT(ISNUMBER($G193))),LEN($F193)-LEN(SUBSTITUTE($F193,"(",""))&gt;=2,ISNUMBER(SEARCH(" and ",$Q193)),ISNUMBER(FIND("/",$Q193)),ISNUMBER(FIND("&amp;",$Q193)),ISNUMBER(FIND(",",$Q193))),1,0)))</f>
        <v/>
      </c>
      <c r="N193" s="9">
        <f>IF($A193="",0,IF(AND($H193="Open",ISNUMBER($G193)),IF($G193&lt;Dashboard!$B$16,1,0),0))</f>
        <v/>
      </c>
      <c r="O193" s="9">
        <f>IF($A193="",0,IF(AND($H193="Open",ISNUMBER($J193)),IF($J193&gt;=Dashboard!$H$9,1,0),0))</f>
        <v/>
      </c>
      <c r="P193" s="9">
        <f>IF($M193+$N193+$O193&gt;0,1,0)</f>
        <v/>
      </c>
      <c r="Q193" s="9">
        <f>LEFT($F193,IFERROR(FIND("(",$F193)-1,LEN($F193)))</f>
        <v/>
      </c>
    </row>
    <row r="194" ht="18" customHeight="1">
      <c r="A194" s="28" t="n"/>
      <c r="B194" s="28" t="n"/>
      <c r="C194" s="28" t="n"/>
      <c r="D194" s="14" t="n"/>
      <c r="E194" s="27" t="n"/>
      <c r="F194" s="27" t="n"/>
      <c r="G194" s="14" t="n"/>
      <c r="H194" s="28" t="n"/>
      <c r="I194" s="14" t="n"/>
      <c r="J194" s="36" t="n"/>
      <c r="K194" s="22">
        <f>IF($A194="","",IF(AND($H194="Open",ISNUMBER($G194)),IF($G194&lt;Dashboard!$B$16,"△ Overdue, was due "&amp;TEXT($G194,"d mmm yyyy"),"Open, due "&amp;TEXT($G194,"d mmm yyyy")),$H194&amp;""))</f>
        <v/>
      </c>
      <c r="L194" s="22">
        <f>IF($A194="","",IF($M194=1,"△ Needs one owner and a date",IF($N194=1,"△ Overdue, was due "&amp;TEXT($G194,"d mmm yyyy"),IF($O194=1,"△ Moved "&amp;$J194&amp;" times","○ Clear"))))</f>
        <v/>
      </c>
      <c r="M194" s="9">
        <f>IF($A194="",0,IF(OR($H194="Done",$H194="Dropped"),0,IF(OR($F194="",AND($B194="Action",NOT(ISNUMBER($G194))),LEN($F194)-LEN(SUBSTITUTE($F194,"(",""))&gt;=2,ISNUMBER(SEARCH(" and ",$Q194)),ISNUMBER(FIND("/",$Q194)),ISNUMBER(FIND("&amp;",$Q194)),ISNUMBER(FIND(",",$Q194))),1,0)))</f>
        <v/>
      </c>
      <c r="N194" s="9">
        <f>IF($A194="",0,IF(AND($H194="Open",ISNUMBER($G194)),IF($G194&lt;Dashboard!$B$16,1,0),0))</f>
        <v/>
      </c>
      <c r="O194" s="9">
        <f>IF($A194="",0,IF(AND($H194="Open",ISNUMBER($J194)),IF($J194&gt;=Dashboard!$H$9,1,0),0))</f>
        <v/>
      </c>
      <c r="P194" s="9">
        <f>IF($M194+$N194+$O194&gt;0,1,0)</f>
        <v/>
      </c>
      <c r="Q194" s="9">
        <f>LEFT($F194,IFERROR(FIND("(",$F194)-1,LEN($F194)))</f>
        <v/>
      </c>
    </row>
    <row r="195" ht="18" customHeight="1">
      <c r="A195" s="28" t="n"/>
      <c r="B195" s="28" t="n"/>
      <c r="C195" s="28" t="n"/>
      <c r="D195" s="14" t="n"/>
      <c r="E195" s="27" t="n"/>
      <c r="F195" s="27" t="n"/>
      <c r="G195" s="14" t="n"/>
      <c r="H195" s="28" t="n"/>
      <c r="I195" s="14" t="n"/>
      <c r="J195" s="36" t="n"/>
      <c r="K195" s="22">
        <f>IF($A195="","",IF(AND($H195="Open",ISNUMBER($G195)),IF($G195&lt;Dashboard!$B$16,"△ Overdue, was due "&amp;TEXT($G195,"d mmm yyyy"),"Open, due "&amp;TEXT($G195,"d mmm yyyy")),$H195&amp;""))</f>
        <v/>
      </c>
      <c r="L195" s="22">
        <f>IF($A195="","",IF($M195=1,"△ Needs one owner and a date",IF($N195=1,"△ Overdue, was due "&amp;TEXT($G195,"d mmm yyyy"),IF($O195=1,"△ Moved "&amp;$J195&amp;" times","○ Clear"))))</f>
        <v/>
      </c>
      <c r="M195" s="9">
        <f>IF($A195="",0,IF(OR($H195="Done",$H195="Dropped"),0,IF(OR($F195="",AND($B195="Action",NOT(ISNUMBER($G195))),LEN($F195)-LEN(SUBSTITUTE($F195,"(",""))&gt;=2,ISNUMBER(SEARCH(" and ",$Q195)),ISNUMBER(FIND("/",$Q195)),ISNUMBER(FIND("&amp;",$Q195)),ISNUMBER(FIND(",",$Q195))),1,0)))</f>
        <v/>
      </c>
      <c r="N195" s="9">
        <f>IF($A195="",0,IF(AND($H195="Open",ISNUMBER($G195)),IF($G195&lt;Dashboard!$B$16,1,0),0))</f>
        <v/>
      </c>
      <c r="O195" s="9">
        <f>IF($A195="",0,IF(AND($H195="Open",ISNUMBER($J195)),IF($J195&gt;=Dashboard!$H$9,1,0),0))</f>
        <v/>
      </c>
      <c r="P195" s="9">
        <f>IF($M195+$N195+$O195&gt;0,1,0)</f>
        <v/>
      </c>
      <c r="Q195" s="9">
        <f>LEFT($F195,IFERROR(FIND("(",$F195)-1,LEN($F195)))</f>
        <v/>
      </c>
    </row>
    <row r="196" ht="18" customHeight="1">
      <c r="A196" s="28" t="n"/>
      <c r="B196" s="28" t="n"/>
      <c r="C196" s="28" t="n"/>
      <c r="D196" s="14" t="n"/>
      <c r="E196" s="27" t="n"/>
      <c r="F196" s="27" t="n"/>
      <c r="G196" s="14" t="n"/>
      <c r="H196" s="28" t="n"/>
      <c r="I196" s="14" t="n"/>
      <c r="J196" s="36" t="n"/>
      <c r="K196" s="22">
        <f>IF($A196="","",IF(AND($H196="Open",ISNUMBER($G196)),IF($G196&lt;Dashboard!$B$16,"△ Overdue, was due "&amp;TEXT($G196,"d mmm yyyy"),"Open, due "&amp;TEXT($G196,"d mmm yyyy")),$H196&amp;""))</f>
        <v/>
      </c>
      <c r="L196" s="22">
        <f>IF($A196="","",IF($M196=1,"△ Needs one owner and a date",IF($N196=1,"△ Overdue, was due "&amp;TEXT($G196,"d mmm yyyy"),IF($O196=1,"△ Moved "&amp;$J196&amp;" times","○ Clear"))))</f>
        <v/>
      </c>
      <c r="M196" s="9">
        <f>IF($A196="",0,IF(OR($H196="Done",$H196="Dropped"),0,IF(OR($F196="",AND($B196="Action",NOT(ISNUMBER($G196))),LEN($F196)-LEN(SUBSTITUTE($F196,"(",""))&gt;=2,ISNUMBER(SEARCH(" and ",$Q196)),ISNUMBER(FIND("/",$Q196)),ISNUMBER(FIND("&amp;",$Q196)),ISNUMBER(FIND(",",$Q196))),1,0)))</f>
        <v/>
      </c>
      <c r="N196" s="9">
        <f>IF($A196="",0,IF(AND($H196="Open",ISNUMBER($G196)),IF($G196&lt;Dashboard!$B$16,1,0),0))</f>
        <v/>
      </c>
      <c r="O196" s="9">
        <f>IF($A196="",0,IF(AND($H196="Open",ISNUMBER($J196)),IF($J196&gt;=Dashboard!$H$9,1,0),0))</f>
        <v/>
      </c>
      <c r="P196" s="9">
        <f>IF($M196+$N196+$O196&gt;0,1,0)</f>
        <v/>
      </c>
      <c r="Q196" s="9">
        <f>LEFT($F196,IFERROR(FIND("(",$F196)-1,LEN($F196)))</f>
        <v/>
      </c>
    </row>
    <row r="197" ht="18" customHeight="1">
      <c r="A197" s="28" t="n"/>
      <c r="B197" s="28" t="n"/>
      <c r="C197" s="28" t="n"/>
      <c r="D197" s="14" t="n"/>
      <c r="E197" s="27" t="n"/>
      <c r="F197" s="27" t="n"/>
      <c r="G197" s="14" t="n"/>
      <c r="H197" s="28" t="n"/>
      <c r="I197" s="14" t="n"/>
      <c r="J197" s="36" t="n"/>
      <c r="K197" s="22">
        <f>IF($A197="","",IF(AND($H197="Open",ISNUMBER($G197)),IF($G197&lt;Dashboard!$B$16,"△ Overdue, was due "&amp;TEXT($G197,"d mmm yyyy"),"Open, due "&amp;TEXT($G197,"d mmm yyyy")),$H197&amp;""))</f>
        <v/>
      </c>
      <c r="L197" s="22">
        <f>IF($A197="","",IF($M197=1,"△ Needs one owner and a date",IF($N197=1,"△ Overdue, was due "&amp;TEXT($G197,"d mmm yyyy"),IF($O197=1,"△ Moved "&amp;$J197&amp;" times","○ Clear"))))</f>
        <v/>
      </c>
      <c r="M197" s="9">
        <f>IF($A197="",0,IF(OR($H197="Done",$H197="Dropped"),0,IF(OR($F197="",AND($B197="Action",NOT(ISNUMBER($G197))),LEN($F197)-LEN(SUBSTITUTE($F197,"(",""))&gt;=2,ISNUMBER(SEARCH(" and ",$Q197)),ISNUMBER(FIND("/",$Q197)),ISNUMBER(FIND("&amp;",$Q197)),ISNUMBER(FIND(",",$Q197))),1,0)))</f>
        <v/>
      </c>
      <c r="N197" s="9">
        <f>IF($A197="",0,IF(AND($H197="Open",ISNUMBER($G197)),IF($G197&lt;Dashboard!$B$16,1,0),0))</f>
        <v/>
      </c>
      <c r="O197" s="9">
        <f>IF($A197="",0,IF(AND($H197="Open",ISNUMBER($J197)),IF($J197&gt;=Dashboard!$H$9,1,0),0))</f>
        <v/>
      </c>
      <c r="P197" s="9">
        <f>IF($M197+$N197+$O197&gt;0,1,0)</f>
        <v/>
      </c>
      <c r="Q197" s="9">
        <f>LEFT($F197,IFERROR(FIND("(",$F197)-1,LEN($F197)))</f>
        <v/>
      </c>
    </row>
    <row r="198" ht="18" customHeight="1">
      <c r="A198" s="28" t="n"/>
      <c r="B198" s="28" t="n"/>
      <c r="C198" s="28" t="n"/>
      <c r="D198" s="14" t="n"/>
      <c r="E198" s="27" t="n"/>
      <c r="F198" s="27" t="n"/>
      <c r="G198" s="14" t="n"/>
      <c r="H198" s="28" t="n"/>
      <c r="I198" s="14" t="n"/>
      <c r="J198" s="36" t="n"/>
      <c r="K198" s="22">
        <f>IF($A198="","",IF(AND($H198="Open",ISNUMBER($G198)),IF($G198&lt;Dashboard!$B$16,"△ Overdue, was due "&amp;TEXT($G198,"d mmm yyyy"),"Open, due "&amp;TEXT($G198,"d mmm yyyy")),$H198&amp;""))</f>
        <v/>
      </c>
      <c r="L198" s="22">
        <f>IF($A198="","",IF($M198=1,"△ Needs one owner and a date",IF($N198=1,"△ Overdue, was due "&amp;TEXT($G198,"d mmm yyyy"),IF($O198=1,"△ Moved "&amp;$J198&amp;" times","○ Clear"))))</f>
        <v/>
      </c>
      <c r="M198" s="9">
        <f>IF($A198="",0,IF(OR($H198="Done",$H198="Dropped"),0,IF(OR($F198="",AND($B198="Action",NOT(ISNUMBER($G198))),LEN($F198)-LEN(SUBSTITUTE($F198,"(",""))&gt;=2,ISNUMBER(SEARCH(" and ",$Q198)),ISNUMBER(FIND("/",$Q198)),ISNUMBER(FIND("&amp;",$Q198)),ISNUMBER(FIND(",",$Q198))),1,0)))</f>
        <v/>
      </c>
      <c r="N198" s="9">
        <f>IF($A198="",0,IF(AND($H198="Open",ISNUMBER($G198)),IF($G198&lt;Dashboard!$B$16,1,0),0))</f>
        <v/>
      </c>
      <c r="O198" s="9">
        <f>IF($A198="",0,IF(AND($H198="Open",ISNUMBER($J198)),IF($J198&gt;=Dashboard!$H$9,1,0),0))</f>
        <v/>
      </c>
      <c r="P198" s="9">
        <f>IF($M198+$N198+$O198&gt;0,1,0)</f>
        <v/>
      </c>
      <c r="Q198" s="9">
        <f>LEFT($F198,IFERROR(FIND("(",$F198)-1,LEN($F198)))</f>
        <v/>
      </c>
    </row>
    <row r="199" ht="18" customHeight="1">
      <c r="A199" s="28" t="n"/>
      <c r="B199" s="28" t="n"/>
      <c r="C199" s="28" t="n"/>
      <c r="D199" s="14" t="n"/>
      <c r="E199" s="27" t="n"/>
      <c r="F199" s="27" t="n"/>
      <c r="G199" s="14" t="n"/>
      <c r="H199" s="28" t="n"/>
      <c r="I199" s="14" t="n"/>
      <c r="J199" s="36" t="n"/>
      <c r="K199" s="22">
        <f>IF($A199="","",IF(AND($H199="Open",ISNUMBER($G199)),IF($G199&lt;Dashboard!$B$16,"△ Overdue, was due "&amp;TEXT($G199,"d mmm yyyy"),"Open, due "&amp;TEXT($G199,"d mmm yyyy")),$H199&amp;""))</f>
        <v/>
      </c>
      <c r="L199" s="22">
        <f>IF($A199="","",IF($M199=1,"△ Needs one owner and a date",IF($N199=1,"△ Overdue, was due "&amp;TEXT($G199,"d mmm yyyy"),IF($O199=1,"△ Moved "&amp;$J199&amp;" times","○ Clear"))))</f>
        <v/>
      </c>
      <c r="M199" s="9">
        <f>IF($A199="",0,IF(OR($H199="Done",$H199="Dropped"),0,IF(OR($F199="",AND($B199="Action",NOT(ISNUMBER($G199))),LEN($F199)-LEN(SUBSTITUTE($F199,"(",""))&gt;=2,ISNUMBER(SEARCH(" and ",$Q199)),ISNUMBER(FIND("/",$Q199)),ISNUMBER(FIND("&amp;",$Q199)),ISNUMBER(FIND(",",$Q199))),1,0)))</f>
        <v/>
      </c>
      <c r="N199" s="9">
        <f>IF($A199="",0,IF(AND($H199="Open",ISNUMBER($G199)),IF($G199&lt;Dashboard!$B$16,1,0),0))</f>
        <v/>
      </c>
      <c r="O199" s="9">
        <f>IF($A199="",0,IF(AND($H199="Open",ISNUMBER($J199)),IF($J199&gt;=Dashboard!$H$9,1,0),0))</f>
        <v/>
      </c>
      <c r="P199" s="9">
        <f>IF($M199+$N199+$O199&gt;0,1,0)</f>
        <v/>
      </c>
      <c r="Q199" s="9">
        <f>LEFT($F199,IFERROR(FIND("(",$F199)-1,LEN($F199)))</f>
        <v/>
      </c>
    </row>
    <row r="200" ht="18" customHeight="1">
      <c r="A200" s="28" t="n"/>
      <c r="B200" s="28" t="n"/>
      <c r="C200" s="28" t="n"/>
      <c r="D200" s="14" t="n"/>
      <c r="E200" s="27" t="n"/>
      <c r="F200" s="27" t="n"/>
      <c r="G200" s="14" t="n"/>
      <c r="H200" s="28" t="n"/>
      <c r="I200" s="14" t="n"/>
      <c r="J200" s="36" t="n"/>
      <c r="K200" s="22">
        <f>IF($A200="","",IF(AND($H200="Open",ISNUMBER($G200)),IF($G200&lt;Dashboard!$B$16,"△ Overdue, was due "&amp;TEXT($G200,"d mmm yyyy"),"Open, due "&amp;TEXT($G200,"d mmm yyyy")),$H200&amp;""))</f>
        <v/>
      </c>
      <c r="L200" s="22">
        <f>IF($A200="","",IF($M200=1,"△ Needs one owner and a date",IF($N200=1,"△ Overdue, was due "&amp;TEXT($G200,"d mmm yyyy"),IF($O200=1,"△ Moved "&amp;$J200&amp;" times","○ Clear"))))</f>
        <v/>
      </c>
      <c r="M200" s="9">
        <f>IF($A200="",0,IF(OR($H200="Done",$H200="Dropped"),0,IF(OR($F200="",AND($B200="Action",NOT(ISNUMBER($G200))),LEN($F200)-LEN(SUBSTITUTE($F200,"(",""))&gt;=2,ISNUMBER(SEARCH(" and ",$Q200)),ISNUMBER(FIND("/",$Q200)),ISNUMBER(FIND("&amp;",$Q200)),ISNUMBER(FIND(",",$Q200))),1,0)))</f>
        <v/>
      </c>
      <c r="N200" s="9">
        <f>IF($A200="",0,IF(AND($H200="Open",ISNUMBER($G200)),IF($G200&lt;Dashboard!$B$16,1,0),0))</f>
        <v/>
      </c>
      <c r="O200" s="9">
        <f>IF($A200="",0,IF(AND($H200="Open",ISNUMBER($J200)),IF($J200&gt;=Dashboard!$H$9,1,0),0))</f>
        <v/>
      </c>
      <c r="P200" s="9">
        <f>IF($M200+$N200+$O200&gt;0,1,0)</f>
        <v/>
      </c>
      <c r="Q200" s="9">
        <f>LEFT($F200,IFERROR(FIND("(",$F200)-1,LEN($F200)))</f>
        <v/>
      </c>
    </row>
    <row r="201" ht="18" customHeight="1">
      <c r="A201" s="28" t="n"/>
      <c r="B201" s="28" t="n"/>
      <c r="C201" s="28" t="n"/>
      <c r="D201" s="14" t="n"/>
      <c r="E201" s="27" t="n"/>
      <c r="F201" s="27" t="n"/>
      <c r="G201" s="14" t="n"/>
      <c r="H201" s="28" t="n"/>
      <c r="I201" s="14" t="n"/>
      <c r="J201" s="36" t="n"/>
      <c r="K201" s="22">
        <f>IF($A201="","",IF(AND($H201="Open",ISNUMBER($G201)),IF($G201&lt;Dashboard!$B$16,"△ Overdue, was due "&amp;TEXT($G201,"d mmm yyyy"),"Open, due "&amp;TEXT($G201,"d mmm yyyy")),$H201&amp;""))</f>
        <v/>
      </c>
      <c r="L201" s="22">
        <f>IF($A201="","",IF($M201=1,"△ Needs one owner and a date",IF($N201=1,"△ Overdue, was due "&amp;TEXT($G201,"d mmm yyyy"),IF($O201=1,"△ Moved "&amp;$J201&amp;" times","○ Clear"))))</f>
        <v/>
      </c>
      <c r="M201" s="9">
        <f>IF($A201="",0,IF(OR($H201="Done",$H201="Dropped"),0,IF(OR($F201="",AND($B201="Action",NOT(ISNUMBER($G201))),LEN($F201)-LEN(SUBSTITUTE($F201,"(",""))&gt;=2,ISNUMBER(SEARCH(" and ",$Q201)),ISNUMBER(FIND("/",$Q201)),ISNUMBER(FIND("&amp;",$Q201)),ISNUMBER(FIND(",",$Q201))),1,0)))</f>
        <v/>
      </c>
      <c r="N201" s="9">
        <f>IF($A201="",0,IF(AND($H201="Open",ISNUMBER($G201)),IF($G201&lt;Dashboard!$B$16,1,0),0))</f>
        <v/>
      </c>
      <c r="O201" s="9">
        <f>IF($A201="",0,IF(AND($H201="Open",ISNUMBER($J201)),IF($J201&gt;=Dashboard!$H$9,1,0),0))</f>
        <v/>
      </c>
      <c r="P201" s="9">
        <f>IF($M201+$N201+$O201&gt;0,1,0)</f>
        <v/>
      </c>
      <c r="Q201" s="9">
        <f>LEFT($F201,IFERROR(FIND("(",$F201)-1,LEN($F201)))</f>
        <v/>
      </c>
    </row>
    <row r="202" ht="18" customHeight="1">
      <c r="A202" s="28" t="n"/>
      <c r="B202" s="28" t="n"/>
      <c r="C202" s="28" t="n"/>
      <c r="D202" s="14" t="n"/>
      <c r="E202" s="27" t="n"/>
      <c r="F202" s="27" t="n"/>
      <c r="G202" s="14" t="n"/>
      <c r="H202" s="28" t="n"/>
      <c r="I202" s="14" t="n"/>
      <c r="J202" s="36" t="n"/>
      <c r="K202" s="22">
        <f>IF($A202="","",IF(AND($H202="Open",ISNUMBER($G202)),IF($G202&lt;Dashboard!$B$16,"△ Overdue, was due "&amp;TEXT($G202,"d mmm yyyy"),"Open, due "&amp;TEXT($G202,"d mmm yyyy")),$H202&amp;""))</f>
        <v/>
      </c>
      <c r="L202" s="22">
        <f>IF($A202="","",IF($M202=1,"△ Needs one owner and a date",IF($N202=1,"△ Overdue, was due "&amp;TEXT($G202,"d mmm yyyy"),IF($O202=1,"△ Moved "&amp;$J202&amp;" times","○ Clear"))))</f>
        <v/>
      </c>
      <c r="M202" s="9">
        <f>IF($A202="",0,IF(OR($H202="Done",$H202="Dropped"),0,IF(OR($F202="",AND($B202="Action",NOT(ISNUMBER($G202))),LEN($F202)-LEN(SUBSTITUTE($F202,"(",""))&gt;=2,ISNUMBER(SEARCH(" and ",$Q202)),ISNUMBER(FIND("/",$Q202)),ISNUMBER(FIND("&amp;",$Q202)),ISNUMBER(FIND(",",$Q202))),1,0)))</f>
        <v/>
      </c>
      <c r="N202" s="9">
        <f>IF($A202="",0,IF(AND($H202="Open",ISNUMBER($G202)),IF($G202&lt;Dashboard!$B$16,1,0),0))</f>
        <v/>
      </c>
      <c r="O202" s="9">
        <f>IF($A202="",0,IF(AND($H202="Open",ISNUMBER($J202)),IF($J202&gt;=Dashboard!$H$9,1,0),0))</f>
        <v/>
      </c>
      <c r="P202" s="9">
        <f>IF($M202+$N202+$O202&gt;0,1,0)</f>
        <v/>
      </c>
      <c r="Q202" s="9">
        <f>LEFT($F202,IFERROR(FIND("(",$F202)-1,LEN($F202)))</f>
        <v/>
      </c>
    </row>
    <row r="203" ht="18" customHeight="1">
      <c r="A203" s="28" t="n"/>
      <c r="B203" s="28" t="n"/>
      <c r="C203" s="28" t="n"/>
      <c r="D203" s="14" t="n"/>
      <c r="E203" s="27" t="n"/>
      <c r="F203" s="27" t="n"/>
      <c r="G203" s="14" t="n"/>
      <c r="H203" s="28" t="n"/>
      <c r="I203" s="14" t="n"/>
      <c r="J203" s="36" t="n"/>
      <c r="K203" s="22">
        <f>IF($A203="","",IF(AND($H203="Open",ISNUMBER($G203)),IF($G203&lt;Dashboard!$B$16,"△ Overdue, was due "&amp;TEXT($G203,"d mmm yyyy"),"Open, due "&amp;TEXT($G203,"d mmm yyyy")),$H203&amp;""))</f>
        <v/>
      </c>
      <c r="L203" s="22">
        <f>IF($A203="","",IF($M203=1,"△ Needs one owner and a date",IF($N203=1,"△ Overdue, was due "&amp;TEXT($G203,"d mmm yyyy"),IF($O203=1,"△ Moved "&amp;$J203&amp;" times","○ Clear"))))</f>
        <v/>
      </c>
      <c r="M203" s="9">
        <f>IF($A203="",0,IF(OR($H203="Done",$H203="Dropped"),0,IF(OR($F203="",AND($B203="Action",NOT(ISNUMBER($G203))),LEN($F203)-LEN(SUBSTITUTE($F203,"(",""))&gt;=2,ISNUMBER(SEARCH(" and ",$Q203)),ISNUMBER(FIND("/",$Q203)),ISNUMBER(FIND("&amp;",$Q203)),ISNUMBER(FIND(",",$Q203))),1,0)))</f>
        <v/>
      </c>
      <c r="N203" s="9">
        <f>IF($A203="",0,IF(AND($H203="Open",ISNUMBER($G203)),IF($G203&lt;Dashboard!$B$16,1,0),0))</f>
        <v/>
      </c>
      <c r="O203" s="9">
        <f>IF($A203="",0,IF(AND($H203="Open",ISNUMBER($J203)),IF($J203&gt;=Dashboard!$H$9,1,0),0))</f>
        <v/>
      </c>
      <c r="P203" s="9">
        <f>IF($M203+$N203+$O203&gt;0,1,0)</f>
        <v/>
      </c>
      <c r="Q203" s="9">
        <f>LEFT($F203,IFERROR(FIND("(",$F203)-1,LEN($F203)))</f>
        <v/>
      </c>
    </row>
    <row r="204" ht="18" customHeight="1">
      <c r="A204" s="28" t="n"/>
      <c r="B204" s="28" t="n"/>
      <c r="C204" s="28" t="n"/>
      <c r="D204" s="14" t="n"/>
      <c r="E204" s="27" t="n"/>
      <c r="F204" s="27" t="n"/>
      <c r="G204" s="14" t="n"/>
      <c r="H204" s="28" t="n"/>
      <c r="I204" s="14" t="n"/>
      <c r="J204" s="36" t="n"/>
      <c r="K204" s="22">
        <f>IF($A204="","",IF(AND($H204="Open",ISNUMBER($G204)),IF($G204&lt;Dashboard!$B$16,"△ Overdue, was due "&amp;TEXT($G204,"d mmm yyyy"),"Open, due "&amp;TEXT($G204,"d mmm yyyy")),$H204&amp;""))</f>
        <v/>
      </c>
      <c r="L204" s="22">
        <f>IF($A204="","",IF($M204=1,"△ Needs one owner and a date",IF($N204=1,"△ Overdue, was due "&amp;TEXT($G204,"d mmm yyyy"),IF($O204=1,"△ Moved "&amp;$J204&amp;" times","○ Clear"))))</f>
        <v/>
      </c>
      <c r="M204" s="9">
        <f>IF($A204="",0,IF(OR($H204="Done",$H204="Dropped"),0,IF(OR($F204="",AND($B204="Action",NOT(ISNUMBER($G204))),LEN($F204)-LEN(SUBSTITUTE($F204,"(",""))&gt;=2,ISNUMBER(SEARCH(" and ",$Q204)),ISNUMBER(FIND("/",$Q204)),ISNUMBER(FIND("&amp;",$Q204)),ISNUMBER(FIND(",",$Q204))),1,0)))</f>
        <v/>
      </c>
      <c r="N204" s="9">
        <f>IF($A204="",0,IF(AND($H204="Open",ISNUMBER($G204)),IF($G204&lt;Dashboard!$B$16,1,0),0))</f>
        <v/>
      </c>
      <c r="O204" s="9">
        <f>IF($A204="",0,IF(AND($H204="Open",ISNUMBER($J204)),IF($J204&gt;=Dashboard!$H$9,1,0),0))</f>
        <v/>
      </c>
      <c r="P204" s="9">
        <f>IF($M204+$N204+$O204&gt;0,1,0)</f>
        <v/>
      </c>
      <c r="Q204" s="9">
        <f>LEFT($F204,IFERROR(FIND("(",$F204)-1,LEN($F204)))</f>
        <v/>
      </c>
    </row>
    <row r="205" ht="18" customHeight="1">
      <c r="A205" s="28" t="n"/>
      <c r="B205" s="28" t="n"/>
      <c r="C205" s="28" t="n"/>
      <c r="D205" s="14" t="n"/>
      <c r="E205" s="27" t="n"/>
      <c r="F205" s="27" t="n"/>
      <c r="G205" s="14" t="n"/>
      <c r="H205" s="28" t="n"/>
      <c r="I205" s="14" t="n"/>
      <c r="J205" s="36" t="n"/>
      <c r="K205" s="22">
        <f>IF($A205="","",IF(AND($H205="Open",ISNUMBER($G205)),IF($G205&lt;Dashboard!$B$16,"△ Overdue, was due "&amp;TEXT($G205,"d mmm yyyy"),"Open, due "&amp;TEXT($G205,"d mmm yyyy")),$H205&amp;""))</f>
        <v/>
      </c>
      <c r="L205" s="22">
        <f>IF($A205="","",IF($M205=1,"△ Needs one owner and a date",IF($N205=1,"△ Overdue, was due "&amp;TEXT($G205,"d mmm yyyy"),IF($O205=1,"△ Moved "&amp;$J205&amp;" times","○ Clear"))))</f>
        <v/>
      </c>
      <c r="M205" s="9">
        <f>IF($A205="",0,IF(OR($H205="Done",$H205="Dropped"),0,IF(OR($F205="",AND($B205="Action",NOT(ISNUMBER($G205))),LEN($F205)-LEN(SUBSTITUTE($F205,"(",""))&gt;=2,ISNUMBER(SEARCH(" and ",$Q205)),ISNUMBER(FIND("/",$Q205)),ISNUMBER(FIND("&amp;",$Q205)),ISNUMBER(FIND(",",$Q205))),1,0)))</f>
        <v/>
      </c>
      <c r="N205" s="9">
        <f>IF($A205="",0,IF(AND($H205="Open",ISNUMBER($G205)),IF($G205&lt;Dashboard!$B$16,1,0),0))</f>
        <v/>
      </c>
      <c r="O205" s="9">
        <f>IF($A205="",0,IF(AND($H205="Open",ISNUMBER($J205)),IF($J205&gt;=Dashboard!$H$9,1,0),0))</f>
        <v/>
      </c>
      <c r="P205" s="9">
        <f>IF($M205+$N205+$O205&gt;0,1,0)</f>
        <v/>
      </c>
      <c r="Q205" s="9">
        <f>LEFT($F205,IFERROR(FIND("(",$F205)-1,LEN($F205)))</f>
        <v/>
      </c>
    </row>
    <row r="206" ht="18" customHeight="1">
      <c r="A206" s="28" t="n"/>
      <c r="B206" s="28" t="n"/>
      <c r="C206" s="28" t="n"/>
      <c r="D206" s="14" t="n"/>
      <c r="E206" s="27" t="n"/>
      <c r="F206" s="27" t="n"/>
      <c r="G206" s="14" t="n"/>
      <c r="H206" s="28" t="n"/>
      <c r="I206" s="14" t="n"/>
      <c r="J206" s="36" t="n"/>
      <c r="K206" s="22">
        <f>IF($A206="","",IF(AND($H206="Open",ISNUMBER($G206)),IF($G206&lt;Dashboard!$B$16,"△ Overdue, was due "&amp;TEXT($G206,"d mmm yyyy"),"Open, due "&amp;TEXT($G206,"d mmm yyyy")),$H206&amp;""))</f>
        <v/>
      </c>
      <c r="L206" s="22">
        <f>IF($A206="","",IF($M206=1,"△ Needs one owner and a date",IF($N206=1,"△ Overdue, was due "&amp;TEXT($G206,"d mmm yyyy"),IF($O206=1,"△ Moved "&amp;$J206&amp;" times","○ Clear"))))</f>
        <v/>
      </c>
      <c r="M206" s="9">
        <f>IF($A206="",0,IF(OR($H206="Done",$H206="Dropped"),0,IF(OR($F206="",AND($B206="Action",NOT(ISNUMBER($G206))),LEN($F206)-LEN(SUBSTITUTE($F206,"(",""))&gt;=2,ISNUMBER(SEARCH(" and ",$Q206)),ISNUMBER(FIND("/",$Q206)),ISNUMBER(FIND("&amp;",$Q206)),ISNUMBER(FIND(",",$Q206))),1,0)))</f>
        <v/>
      </c>
      <c r="N206" s="9">
        <f>IF($A206="",0,IF(AND($H206="Open",ISNUMBER($G206)),IF($G206&lt;Dashboard!$B$16,1,0),0))</f>
        <v/>
      </c>
      <c r="O206" s="9">
        <f>IF($A206="",0,IF(AND($H206="Open",ISNUMBER($J206)),IF($J206&gt;=Dashboard!$H$9,1,0),0))</f>
        <v/>
      </c>
      <c r="P206" s="9">
        <f>IF($M206+$N206+$O206&gt;0,1,0)</f>
        <v/>
      </c>
      <c r="Q206" s="9">
        <f>LEFT($F206,IFERROR(FIND("(",$F206)-1,LEN($F206)))</f>
        <v/>
      </c>
    </row>
    <row r="207" ht="18" customHeight="1">
      <c r="A207" s="28" t="n"/>
      <c r="B207" s="28" t="n"/>
      <c r="C207" s="28" t="n"/>
      <c r="D207" s="14" t="n"/>
      <c r="E207" s="27" t="n"/>
      <c r="F207" s="27" t="n"/>
      <c r="G207" s="14" t="n"/>
      <c r="H207" s="28" t="n"/>
      <c r="I207" s="14" t="n"/>
      <c r="J207" s="36" t="n"/>
      <c r="K207" s="22">
        <f>IF($A207="","",IF(AND($H207="Open",ISNUMBER($G207)),IF($G207&lt;Dashboard!$B$16,"△ Overdue, was due "&amp;TEXT($G207,"d mmm yyyy"),"Open, due "&amp;TEXT($G207,"d mmm yyyy")),$H207&amp;""))</f>
        <v/>
      </c>
      <c r="L207" s="22">
        <f>IF($A207="","",IF($M207=1,"△ Needs one owner and a date",IF($N207=1,"△ Overdue, was due "&amp;TEXT($G207,"d mmm yyyy"),IF($O207=1,"△ Moved "&amp;$J207&amp;" times","○ Clear"))))</f>
        <v/>
      </c>
      <c r="M207" s="9">
        <f>IF($A207="",0,IF(OR($H207="Done",$H207="Dropped"),0,IF(OR($F207="",AND($B207="Action",NOT(ISNUMBER($G207))),LEN($F207)-LEN(SUBSTITUTE($F207,"(",""))&gt;=2,ISNUMBER(SEARCH(" and ",$Q207)),ISNUMBER(FIND("/",$Q207)),ISNUMBER(FIND("&amp;",$Q207)),ISNUMBER(FIND(",",$Q207))),1,0)))</f>
        <v/>
      </c>
      <c r="N207" s="9">
        <f>IF($A207="",0,IF(AND($H207="Open",ISNUMBER($G207)),IF($G207&lt;Dashboard!$B$16,1,0),0))</f>
        <v/>
      </c>
      <c r="O207" s="9">
        <f>IF($A207="",0,IF(AND($H207="Open",ISNUMBER($J207)),IF($J207&gt;=Dashboard!$H$9,1,0),0))</f>
        <v/>
      </c>
      <c r="P207" s="9">
        <f>IF($M207+$N207+$O207&gt;0,1,0)</f>
        <v/>
      </c>
      <c r="Q207" s="9">
        <f>LEFT($F207,IFERROR(FIND("(",$F207)-1,LEN($F207)))</f>
        <v/>
      </c>
    </row>
    <row r="208" ht="18" customHeight="1">
      <c r="A208" s="28" t="n"/>
      <c r="B208" s="28" t="n"/>
      <c r="C208" s="28" t="n"/>
      <c r="D208" s="14" t="n"/>
      <c r="E208" s="27" t="n"/>
      <c r="F208" s="27" t="n"/>
      <c r="G208" s="14" t="n"/>
      <c r="H208" s="28" t="n"/>
      <c r="I208" s="14" t="n"/>
      <c r="J208" s="36" t="n"/>
      <c r="K208" s="22">
        <f>IF($A208="","",IF(AND($H208="Open",ISNUMBER($G208)),IF($G208&lt;Dashboard!$B$16,"△ Overdue, was due "&amp;TEXT($G208,"d mmm yyyy"),"Open, due "&amp;TEXT($G208,"d mmm yyyy")),$H208&amp;""))</f>
        <v/>
      </c>
      <c r="L208" s="22">
        <f>IF($A208="","",IF($M208=1,"△ Needs one owner and a date",IF($N208=1,"△ Overdue, was due "&amp;TEXT($G208,"d mmm yyyy"),IF($O208=1,"△ Moved "&amp;$J208&amp;" times","○ Clear"))))</f>
        <v/>
      </c>
      <c r="M208" s="9">
        <f>IF($A208="",0,IF(OR($H208="Done",$H208="Dropped"),0,IF(OR($F208="",AND($B208="Action",NOT(ISNUMBER($G208))),LEN($F208)-LEN(SUBSTITUTE($F208,"(",""))&gt;=2,ISNUMBER(SEARCH(" and ",$Q208)),ISNUMBER(FIND("/",$Q208)),ISNUMBER(FIND("&amp;",$Q208)),ISNUMBER(FIND(",",$Q208))),1,0)))</f>
        <v/>
      </c>
      <c r="N208" s="9">
        <f>IF($A208="",0,IF(AND($H208="Open",ISNUMBER($G208)),IF($G208&lt;Dashboard!$B$16,1,0),0))</f>
        <v/>
      </c>
      <c r="O208" s="9">
        <f>IF($A208="",0,IF(AND($H208="Open",ISNUMBER($J208)),IF($J208&gt;=Dashboard!$H$9,1,0),0))</f>
        <v/>
      </c>
      <c r="P208" s="9">
        <f>IF($M208+$N208+$O208&gt;0,1,0)</f>
        <v/>
      </c>
      <c r="Q208" s="9">
        <f>LEFT($F208,IFERROR(FIND("(",$F208)-1,LEN($F208)))</f>
        <v/>
      </c>
    </row>
    <row r="209" ht="18" customHeight="1">
      <c r="A209" s="28" t="n"/>
      <c r="B209" s="28" t="n"/>
      <c r="C209" s="28" t="n"/>
      <c r="D209" s="14" t="n"/>
      <c r="E209" s="27" t="n"/>
      <c r="F209" s="27" t="n"/>
      <c r="G209" s="14" t="n"/>
      <c r="H209" s="28" t="n"/>
      <c r="I209" s="14" t="n"/>
      <c r="J209" s="36" t="n"/>
      <c r="K209" s="22">
        <f>IF($A209="","",IF(AND($H209="Open",ISNUMBER($G209)),IF($G209&lt;Dashboard!$B$16,"△ Overdue, was due "&amp;TEXT($G209,"d mmm yyyy"),"Open, due "&amp;TEXT($G209,"d mmm yyyy")),$H209&amp;""))</f>
        <v/>
      </c>
      <c r="L209" s="22">
        <f>IF($A209="","",IF($M209=1,"△ Needs one owner and a date",IF($N209=1,"△ Overdue, was due "&amp;TEXT($G209,"d mmm yyyy"),IF($O209=1,"△ Moved "&amp;$J209&amp;" times","○ Clear"))))</f>
        <v/>
      </c>
      <c r="M209" s="9">
        <f>IF($A209="",0,IF(OR($H209="Done",$H209="Dropped"),0,IF(OR($F209="",AND($B209="Action",NOT(ISNUMBER($G209))),LEN($F209)-LEN(SUBSTITUTE($F209,"(",""))&gt;=2,ISNUMBER(SEARCH(" and ",$Q209)),ISNUMBER(FIND("/",$Q209)),ISNUMBER(FIND("&amp;",$Q209)),ISNUMBER(FIND(",",$Q209))),1,0)))</f>
        <v/>
      </c>
      <c r="N209" s="9">
        <f>IF($A209="",0,IF(AND($H209="Open",ISNUMBER($G209)),IF($G209&lt;Dashboard!$B$16,1,0),0))</f>
        <v/>
      </c>
      <c r="O209" s="9">
        <f>IF($A209="",0,IF(AND($H209="Open",ISNUMBER($J209)),IF($J209&gt;=Dashboard!$H$9,1,0),0))</f>
        <v/>
      </c>
      <c r="P209" s="9">
        <f>IF($M209+$N209+$O209&gt;0,1,0)</f>
        <v/>
      </c>
      <c r="Q209" s="9">
        <f>LEFT($F209,IFERROR(FIND("(",$F209)-1,LEN($F209)))</f>
        <v/>
      </c>
    </row>
    <row r="210" ht="18" customHeight="1">
      <c r="A210" s="28" t="n"/>
      <c r="B210" s="28" t="n"/>
      <c r="C210" s="28" t="n"/>
      <c r="D210" s="14" t="n"/>
      <c r="E210" s="27" t="n"/>
      <c r="F210" s="27" t="n"/>
      <c r="G210" s="14" t="n"/>
      <c r="H210" s="28" t="n"/>
      <c r="I210" s="14" t="n"/>
      <c r="J210" s="36" t="n"/>
      <c r="K210" s="22">
        <f>IF($A210="","",IF(AND($H210="Open",ISNUMBER($G210)),IF($G210&lt;Dashboard!$B$16,"△ Overdue, was due "&amp;TEXT($G210,"d mmm yyyy"),"Open, due "&amp;TEXT($G210,"d mmm yyyy")),$H210&amp;""))</f>
        <v/>
      </c>
      <c r="L210" s="22">
        <f>IF($A210="","",IF($M210=1,"△ Needs one owner and a date",IF($N210=1,"△ Overdue, was due "&amp;TEXT($G210,"d mmm yyyy"),IF($O210=1,"△ Moved "&amp;$J210&amp;" times","○ Clear"))))</f>
        <v/>
      </c>
      <c r="M210" s="9">
        <f>IF($A210="",0,IF(OR($H210="Done",$H210="Dropped"),0,IF(OR($F210="",AND($B210="Action",NOT(ISNUMBER($G210))),LEN($F210)-LEN(SUBSTITUTE($F210,"(",""))&gt;=2,ISNUMBER(SEARCH(" and ",$Q210)),ISNUMBER(FIND("/",$Q210)),ISNUMBER(FIND("&amp;",$Q210)),ISNUMBER(FIND(",",$Q210))),1,0)))</f>
        <v/>
      </c>
      <c r="N210" s="9">
        <f>IF($A210="",0,IF(AND($H210="Open",ISNUMBER($G210)),IF($G210&lt;Dashboard!$B$16,1,0),0))</f>
        <v/>
      </c>
      <c r="O210" s="9">
        <f>IF($A210="",0,IF(AND($H210="Open",ISNUMBER($J210)),IF($J210&gt;=Dashboard!$H$9,1,0),0))</f>
        <v/>
      </c>
      <c r="P210" s="9">
        <f>IF($M210+$N210+$O210&gt;0,1,0)</f>
        <v/>
      </c>
      <c r="Q210" s="9">
        <f>LEFT($F210,IFERROR(FIND("(",$F210)-1,LEN($F210)))</f>
        <v/>
      </c>
    </row>
    <row r="211" ht="18" customHeight="1">
      <c r="A211" s="28" t="n"/>
      <c r="B211" s="28" t="n"/>
      <c r="C211" s="28" t="n"/>
      <c r="D211" s="14" t="n"/>
      <c r="E211" s="27" t="n"/>
      <c r="F211" s="27" t="n"/>
      <c r="G211" s="14" t="n"/>
      <c r="H211" s="28" t="n"/>
      <c r="I211" s="14" t="n"/>
      <c r="J211" s="36" t="n"/>
      <c r="K211" s="22">
        <f>IF($A211="","",IF(AND($H211="Open",ISNUMBER($G211)),IF($G211&lt;Dashboard!$B$16,"△ Overdue, was due "&amp;TEXT($G211,"d mmm yyyy"),"Open, due "&amp;TEXT($G211,"d mmm yyyy")),$H211&amp;""))</f>
        <v/>
      </c>
      <c r="L211" s="22">
        <f>IF($A211="","",IF($M211=1,"△ Needs one owner and a date",IF($N211=1,"△ Overdue, was due "&amp;TEXT($G211,"d mmm yyyy"),IF($O211=1,"△ Moved "&amp;$J211&amp;" times","○ Clear"))))</f>
        <v/>
      </c>
      <c r="M211" s="9">
        <f>IF($A211="",0,IF(OR($H211="Done",$H211="Dropped"),0,IF(OR($F211="",AND($B211="Action",NOT(ISNUMBER($G211))),LEN($F211)-LEN(SUBSTITUTE($F211,"(",""))&gt;=2,ISNUMBER(SEARCH(" and ",$Q211)),ISNUMBER(FIND("/",$Q211)),ISNUMBER(FIND("&amp;",$Q211)),ISNUMBER(FIND(",",$Q211))),1,0)))</f>
        <v/>
      </c>
      <c r="N211" s="9">
        <f>IF($A211="",0,IF(AND($H211="Open",ISNUMBER($G211)),IF($G211&lt;Dashboard!$B$16,1,0),0))</f>
        <v/>
      </c>
      <c r="O211" s="9">
        <f>IF($A211="",0,IF(AND($H211="Open",ISNUMBER($J211)),IF($J211&gt;=Dashboard!$H$9,1,0),0))</f>
        <v/>
      </c>
      <c r="P211" s="9">
        <f>IF($M211+$N211+$O211&gt;0,1,0)</f>
        <v/>
      </c>
      <c r="Q211" s="9">
        <f>LEFT($F211,IFERROR(FIND("(",$F211)-1,LEN($F211)))</f>
        <v/>
      </c>
    </row>
    <row r="212" ht="18" customHeight="1">
      <c r="A212" s="28" t="n"/>
      <c r="B212" s="28" t="n"/>
      <c r="C212" s="28" t="n"/>
      <c r="D212" s="14" t="n"/>
      <c r="E212" s="27" t="n"/>
      <c r="F212" s="27" t="n"/>
      <c r="G212" s="14" t="n"/>
      <c r="H212" s="28" t="n"/>
      <c r="I212" s="14" t="n"/>
      <c r="J212" s="36" t="n"/>
      <c r="K212" s="22">
        <f>IF($A212="","",IF(AND($H212="Open",ISNUMBER($G212)),IF($G212&lt;Dashboard!$B$16,"△ Overdue, was due "&amp;TEXT($G212,"d mmm yyyy"),"Open, due "&amp;TEXT($G212,"d mmm yyyy")),$H212&amp;""))</f>
        <v/>
      </c>
      <c r="L212" s="22">
        <f>IF($A212="","",IF($M212=1,"△ Needs one owner and a date",IF($N212=1,"△ Overdue, was due "&amp;TEXT($G212,"d mmm yyyy"),IF($O212=1,"△ Moved "&amp;$J212&amp;" times","○ Clear"))))</f>
        <v/>
      </c>
      <c r="M212" s="9">
        <f>IF($A212="",0,IF(OR($H212="Done",$H212="Dropped"),0,IF(OR($F212="",AND($B212="Action",NOT(ISNUMBER($G212))),LEN($F212)-LEN(SUBSTITUTE($F212,"(",""))&gt;=2,ISNUMBER(SEARCH(" and ",$Q212)),ISNUMBER(FIND("/",$Q212)),ISNUMBER(FIND("&amp;",$Q212)),ISNUMBER(FIND(",",$Q212))),1,0)))</f>
        <v/>
      </c>
      <c r="N212" s="9">
        <f>IF($A212="",0,IF(AND($H212="Open",ISNUMBER($G212)),IF($G212&lt;Dashboard!$B$16,1,0),0))</f>
        <v/>
      </c>
      <c r="O212" s="9">
        <f>IF($A212="",0,IF(AND($H212="Open",ISNUMBER($J212)),IF($J212&gt;=Dashboard!$H$9,1,0),0))</f>
        <v/>
      </c>
      <c r="P212" s="9">
        <f>IF($M212+$N212+$O212&gt;0,1,0)</f>
        <v/>
      </c>
      <c r="Q212" s="9">
        <f>LEFT($F212,IFERROR(FIND("(",$F212)-1,LEN($F212)))</f>
        <v/>
      </c>
    </row>
    <row r="213" ht="18" customHeight="1">
      <c r="A213" s="28" t="n"/>
      <c r="B213" s="28" t="n"/>
      <c r="C213" s="28" t="n"/>
      <c r="D213" s="14" t="n"/>
      <c r="E213" s="27" t="n"/>
      <c r="F213" s="27" t="n"/>
      <c r="G213" s="14" t="n"/>
      <c r="H213" s="28" t="n"/>
      <c r="I213" s="14" t="n"/>
      <c r="J213" s="36" t="n"/>
      <c r="K213" s="22">
        <f>IF($A213="","",IF(AND($H213="Open",ISNUMBER($G213)),IF($G213&lt;Dashboard!$B$16,"△ Overdue, was due "&amp;TEXT($G213,"d mmm yyyy"),"Open, due "&amp;TEXT($G213,"d mmm yyyy")),$H213&amp;""))</f>
        <v/>
      </c>
      <c r="L213" s="22">
        <f>IF($A213="","",IF($M213=1,"△ Needs one owner and a date",IF($N213=1,"△ Overdue, was due "&amp;TEXT($G213,"d mmm yyyy"),IF($O213=1,"△ Moved "&amp;$J213&amp;" times","○ Clear"))))</f>
        <v/>
      </c>
      <c r="M213" s="9">
        <f>IF($A213="",0,IF(OR($H213="Done",$H213="Dropped"),0,IF(OR($F213="",AND($B213="Action",NOT(ISNUMBER($G213))),LEN($F213)-LEN(SUBSTITUTE($F213,"(",""))&gt;=2,ISNUMBER(SEARCH(" and ",$Q213)),ISNUMBER(FIND("/",$Q213)),ISNUMBER(FIND("&amp;",$Q213)),ISNUMBER(FIND(",",$Q213))),1,0)))</f>
        <v/>
      </c>
      <c r="N213" s="9">
        <f>IF($A213="",0,IF(AND($H213="Open",ISNUMBER($G213)),IF($G213&lt;Dashboard!$B$16,1,0),0))</f>
        <v/>
      </c>
      <c r="O213" s="9">
        <f>IF($A213="",0,IF(AND($H213="Open",ISNUMBER($J213)),IF($J213&gt;=Dashboard!$H$9,1,0),0))</f>
        <v/>
      </c>
      <c r="P213" s="9">
        <f>IF($M213+$N213+$O213&gt;0,1,0)</f>
        <v/>
      </c>
      <c r="Q213" s="9">
        <f>LEFT($F213,IFERROR(FIND("(",$F213)-1,LEN($F213)))</f>
        <v/>
      </c>
    </row>
    <row r="214" ht="18" customHeight="1">
      <c r="A214" s="28" t="n"/>
      <c r="B214" s="28" t="n"/>
      <c r="C214" s="28" t="n"/>
      <c r="D214" s="14" t="n"/>
      <c r="E214" s="27" t="n"/>
      <c r="F214" s="27" t="n"/>
      <c r="G214" s="14" t="n"/>
      <c r="H214" s="28" t="n"/>
      <c r="I214" s="14" t="n"/>
      <c r="J214" s="36" t="n"/>
      <c r="K214" s="22">
        <f>IF($A214="","",IF(AND($H214="Open",ISNUMBER($G214)),IF($G214&lt;Dashboard!$B$16,"△ Overdue, was due "&amp;TEXT($G214,"d mmm yyyy"),"Open, due "&amp;TEXT($G214,"d mmm yyyy")),$H214&amp;""))</f>
        <v/>
      </c>
      <c r="L214" s="22">
        <f>IF($A214="","",IF($M214=1,"△ Needs one owner and a date",IF($N214=1,"△ Overdue, was due "&amp;TEXT($G214,"d mmm yyyy"),IF($O214=1,"△ Moved "&amp;$J214&amp;" times","○ Clear"))))</f>
        <v/>
      </c>
      <c r="M214" s="9">
        <f>IF($A214="",0,IF(OR($H214="Done",$H214="Dropped"),0,IF(OR($F214="",AND($B214="Action",NOT(ISNUMBER($G214))),LEN($F214)-LEN(SUBSTITUTE($F214,"(",""))&gt;=2,ISNUMBER(SEARCH(" and ",$Q214)),ISNUMBER(FIND("/",$Q214)),ISNUMBER(FIND("&amp;",$Q214)),ISNUMBER(FIND(",",$Q214))),1,0)))</f>
        <v/>
      </c>
      <c r="N214" s="9">
        <f>IF($A214="",0,IF(AND($H214="Open",ISNUMBER($G214)),IF($G214&lt;Dashboard!$B$16,1,0),0))</f>
        <v/>
      </c>
      <c r="O214" s="9">
        <f>IF($A214="",0,IF(AND($H214="Open",ISNUMBER($J214)),IF($J214&gt;=Dashboard!$H$9,1,0),0))</f>
        <v/>
      </c>
      <c r="P214" s="9">
        <f>IF($M214+$N214+$O214&gt;0,1,0)</f>
        <v/>
      </c>
      <c r="Q214" s="9">
        <f>LEFT($F214,IFERROR(FIND("(",$F214)-1,LEN($F214)))</f>
        <v/>
      </c>
    </row>
    <row r="215" ht="18" customHeight="1">
      <c r="A215" s="28" t="n"/>
      <c r="B215" s="28" t="n"/>
      <c r="C215" s="28" t="n"/>
      <c r="D215" s="14" t="n"/>
      <c r="E215" s="27" t="n"/>
      <c r="F215" s="27" t="n"/>
      <c r="G215" s="14" t="n"/>
      <c r="H215" s="28" t="n"/>
      <c r="I215" s="14" t="n"/>
      <c r="J215" s="36" t="n"/>
      <c r="K215" s="22">
        <f>IF($A215="","",IF(AND($H215="Open",ISNUMBER($G215)),IF($G215&lt;Dashboard!$B$16,"△ Overdue, was due "&amp;TEXT($G215,"d mmm yyyy"),"Open, due "&amp;TEXT($G215,"d mmm yyyy")),$H215&amp;""))</f>
        <v/>
      </c>
      <c r="L215" s="22">
        <f>IF($A215="","",IF($M215=1,"△ Needs one owner and a date",IF($N215=1,"△ Overdue, was due "&amp;TEXT($G215,"d mmm yyyy"),IF($O215=1,"△ Moved "&amp;$J215&amp;" times","○ Clear"))))</f>
        <v/>
      </c>
      <c r="M215" s="9">
        <f>IF($A215="",0,IF(OR($H215="Done",$H215="Dropped"),0,IF(OR($F215="",AND($B215="Action",NOT(ISNUMBER($G215))),LEN($F215)-LEN(SUBSTITUTE($F215,"(",""))&gt;=2,ISNUMBER(SEARCH(" and ",$Q215)),ISNUMBER(FIND("/",$Q215)),ISNUMBER(FIND("&amp;",$Q215)),ISNUMBER(FIND(",",$Q215))),1,0)))</f>
        <v/>
      </c>
      <c r="N215" s="9">
        <f>IF($A215="",0,IF(AND($H215="Open",ISNUMBER($G215)),IF($G215&lt;Dashboard!$B$16,1,0),0))</f>
        <v/>
      </c>
      <c r="O215" s="9">
        <f>IF($A215="",0,IF(AND($H215="Open",ISNUMBER($J215)),IF($J215&gt;=Dashboard!$H$9,1,0),0))</f>
        <v/>
      </c>
      <c r="P215" s="9">
        <f>IF($M215+$N215+$O215&gt;0,1,0)</f>
        <v/>
      </c>
      <c r="Q215" s="9">
        <f>LEFT($F215,IFERROR(FIND("(",$F215)-1,LEN($F215)))</f>
        <v/>
      </c>
    </row>
    <row r="216" ht="18" customHeight="1">
      <c r="A216" s="28" t="n"/>
      <c r="B216" s="28" t="n"/>
      <c r="C216" s="28" t="n"/>
      <c r="D216" s="14" t="n"/>
      <c r="E216" s="27" t="n"/>
      <c r="F216" s="27" t="n"/>
      <c r="G216" s="14" t="n"/>
      <c r="H216" s="28" t="n"/>
      <c r="I216" s="14" t="n"/>
      <c r="J216" s="36" t="n"/>
      <c r="K216" s="22">
        <f>IF($A216="","",IF(AND($H216="Open",ISNUMBER($G216)),IF($G216&lt;Dashboard!$B$16,"△ Overdue, was due "&amp;TEXT($G216,"d mmm yyyy"),"Open, due "&amp;TEXT($G216,"d mmm yyyy")),$H216&amp;""))</f>
        <v/>
      </c>
      <c r="L216" s="22">
        <f>IF($A216="","",IF($M216=1,"△ Needs one owner and a date",IF($N216=1,"△ Overdue, was due "&amp;TEXT($G216,"d mmm yyyy"),IF($O216=1,"△ Moved "&amp;$J216&amp;" times","○ Clear"))))</f>
        <v/>
      </c>
      <c r="M216" s="9">
        <f>IF($A216="",0,IF(OR($H216="Done",$H216="Dropped"),0,IF(OR($F216="",AND($B216="Action",NOT(ISNUMBER($G216))),LEN($F216)-LEN(SUBSTITUTE($F216,"(",""))&gt;=2,ISNUMBER(SEARCH(" and ",$Q216)),ISNUMBER(FIND("/",$Q216)),ISNUMBER(FIND("&amp;",$Q216)),ISNUMBER(FIND(",",$Q216))),1,0)))</f>
        <v/>
      </c>
      <c r="N216" s="9">
        <f>IF($A216="",0,IF(AND($H216="Open",ISNUMBER($G216)),IF($G216&lt;Dashboard!$B$16,1,0),0))</f>
        <v/>
      </c>
      <c r="O216" s="9">
        <f>IF($A216="",0,IF(AND($H216="Open",ISNUMBER($J216)),IF($J216&gt;=Dashboard!$H$9,1,0),0))</f>
        <v/>
      </c>
      <c r="P216" s="9">
        <f>IF($M216+$N216+$O216&gt;0,1,0)</f>
        <v/>
      </c>
      <c r="Q216" s="9">
        <f>LEFT($F216,IFERROR(FIND("(",$F216)-1,LEN($F216)))</f>
        <v/>
      </c>
    </row>
    <row r="217" ht="18" customHeight="1">
      <c r="A217" s="28" t="n"/>
      <c r="B217" s="28" t="n"/>
      <c r="C217" s="28" t="n"/>
      <c r="D217" s="14" t="n"/>
      <c r="E217" s="27" t="n"/>
      <c r="F217" s="27" t="n"/>
      <c r="G217" s="14" t="n"/>
      <c r="H217" s="28" t="n"/>
      <c r="I217" s="14" t="n"/>
      <c r="J217" s="36" t="n"/>
      <c r="K217" s="22">
        <f>IF($A217="","",IF(AND($H217="Open",ISNUMBER($G217)),IF($G217&lt;Dashboard!$B$16,"△ Overdue, was due "&amp;TEXT($G217,"d mmm yyyy"),"Open, due "&amp;TEXT($G217,"d mmm yyyy")),$H217&amp;""))</f>
        <v/>
      </c>
      <c r="L217" s="22">
        <f>IF($A217="","",IF($M217=1,"△ Needs one owner and a date",IF($N217=1,"△ Overdue, was due "&amp;TEXT($G217,"d mmm yyyy"),IF($O217=1,"△ Moved "&amp;$J217&amp;" times","○ Clear"))))</f>
        <v/>
      </c>
      <c r="M217" s="9">
        <f>IF($A217="",0,IF(OR($H217="Done",$H217="Dropped"),0,IF(OR($F217="",AND($B217="Action",NOT(ISNUMBER($G217))),LEN($F217)-LEN(SUBSTITUTE($F217,"(",""))&gt;=2,ISNUMBER(SEARCH(" and ",$Q217)),ISNUMBER(FIND("/",$Q217)),ISNUMBER(FIND("&amp;",$Q217)),ISNUMBER(FIND(",",$Q217))),1,0)))</f>
        <v/>
      </c>
      <c r="N217" s="9">
        <f>IF($A217="",0,IF(AND($H217="Open",ISNUMBER($G217)),IF($G217&lt;Dashboard!$B$16,1,0),0))</f>
        <v/>
      </c>
      <c r="O217" s="9">
        <f>IF($A217="",0,IF(AND($H217="Open",ISNUMBER($J217)),IF($J217&gt;=Dashboard!$H$9,1,0),0))</f>
        <v/>
      </c>
      <c r="P217" s="9">
        <f>IF($M217+$N217+$O217&gt;0,1,0)</f>
        <v/>
      </c>
      <c r="Q217" s="9">
        <f>LEFT($F217,IFERROR(FIND("(",$F217)-1,LEN($F217)))</f>
        <v/>
      </c>
    </row>
    <row r="218" ht="18" customHeight="1">
      <c r="A218" s="28" t="n"/>
      <c r="B218" s="28" t="n"/>
      <c r="C218" s="28" t="n"/>
      <c r="D218" s="14" t="n"/>
      <c r="E218" s="27" t="n"/>
      <c r="F218" s="27" t="n"/>
      <c r="G218" s="14" t="n"/>
      <c r="H218" s="28" t="n"/>
      <c r="I218" s="14" t="n"/>
      <c r="J218" s="36" t="n"/>
      <c r="K218" s="22">
        <f>IF($A218="","",IF(AND($H218="Open",ISNUMBER($G218)),IF($G218&lt;Dashboard!$B$16,"△ Overdue, was due "&amp;TEXT($G218,"d mmm yyyy"),"Open, due "&amp;TEXT($G218,"d mmm yyyy")),$H218&amp;""))</f>
        <v/>
      </c>
      <c r="L218" s="22">
        <f>IF($A218="","",IF($M218=1,"△ Needs one owner and a date",IF($N218=1,"△ Overdue, was due "&amp;TEXT($G218,"d mmm yyyy"),IF($O218=1,"△ Moved "&amp;$J218&amp;" times","○ Clear"))))</f>
        <v/>
      </c>
      <c r="M218" s="9">
        <f>IF($A218="",0,IF(OR($H218="Done",$H218="Dropped"),0,IF(OR($F218="",AND($B218="Action",NOT(ISNUMBER($G218))),LEN($F218)-LEN(SUBSTITUTE($F218,"(",""))&gt;=2,ISNUMBER(SEARCH(" and ",$Q218)),ISNUMBER(FIND("/",$Q218)),ISNUMBER(FIND("&amp;",$Q218)),ISNUMBER(FIND(",",$Q218))),1,0)))</f>
        <v/>
      </c>
      <c r="N218" s="9">
        <f>IF($A218="",0,IF(AND($H218="Open",ISNUMBER($G218)),IF($G218&lt;Dashboard!$B$16,1,0),0))</f>
        <v/>
      </c>
      <c r="O218" s="9">
        <f>IF($A218="",0,IF(AND($H218="Open",ISNUMBER($J218)),IF($J218&gt;=Dashboard!$H$9,1,0),0))</f>
        <v/>
      </c>
      <c r="P218" s="9">
        <f>IF($M218+$N218+$O218&gt;0,1,0)</f>
        <v/>
      </c>
      <c r="Q218" s="9">
        <f>LEFT($F218,IFERROR(FIND("(",$F218)-1,LEN($F218)))</f>
        <v/>
      </c>
    </row>
    <row r="219" ht="18" customHeight="1">
      <c r="A219" s="28" t="n"/>
      <c r="B219" s="28" t="n"/>
      <c r="C219" s="28" t="n"/>
      <c r="D219" s="14" t="n"/>
      <c r="E219" s="27" t="n"/>
      <c r="F219" s="27" t="n"/>
      <c r="G219" s="14" t="n"/>
      <c r="H219" s="28" t="n"/>
      <c r="I219" s="14" t="n"/>
      <c r="J219" s="36" t="n"/>
      <c r="K219" s="22">
        <f>IF($A219="","",IF(AND($H219="Open",ISNUMBER($G219)),IF($G219&lt;Dashboard!$B$16,"△ Overdue, was due "&amp;TEXT($G219,"d mmm yyyy"),"Open, due "&amp;TEXT($G219,"d mmm yyyy")),$H219&amp;""))</f>
        <v/>
      </c>
      <c r="L219" s="22">
        <f>IF($A219="","",IF($M219=1,"△ Needs one owner and a date",IF($N219=1,"△ Overdue, was due "&amp;TEXT($G219,"d mmm yyyy"),IF($O219=1,"△ Moved "&amp;$J219&amp;" times","○ Clear"))))</f>
        <v/>
      </c>
      <c r="M219" s="9">
        <f>IF($A219="",0,IF(OR($H219="Done",$H219="Dropped"),0,IF(OR($F219="",AND($B219="Action",NOT(ISNUMBER($G219))),LEN($F219)-LEN(SUBSTITUTE($F219,"(",""))&gt;=2,ISNUMBER(SEARCH(" and ",$Q219)),ISNUMBER(FIND("/",$Q219)),ISNUMBER(FIND("&amp;",$Q219)),ISNUMBER(FIND(",",$Q219))),1,0)))</f>
        <v/>
      </c>
      <c r="N219" s="9">
        <f>IF($A219="",0,IF(AND($H219="Open",ISNUMBER($G219)),IF($G219&lt;Dashboard!$B$16,1,0),0))</f>
        <v/>
      </c>
      <c r="O219" s="9">
        <f>IF($A219="",0,IF(AND($H219="Open",ISNUMBER($J219)),IF($J219&gt;=Dashboard!$H$9,1,0),0))</f>
        <v/>
      </c>
      <c r="P219" s="9">
        <f>IF($M219+$N219+$O219&gt;0,1,0)</f>
        <v/>
      </c>
      <c r="Q219" s="9">
        <f>LEFT($F219,IFERROR(FIND("(",$F219)-1,LEN($F219)))</f>
        <v/>
      </c>
    </row>
    <row r="220" ht="18" customHeight="1">
      <c r="A220" s="28" t="n"/>
      <c r="B220" s="28" t="n"/>
      <c r="C220" s="28" t="n"/>
      <c r="D220" s="14" t="n"/>
      <c r="E220" s="27" t="n"/>
      <c r="F220" s="27" t="n"/>
      <c r="G220" s="14" t="n"/>
      <c r="H220" s="28" t="n"/>
      <c r="I220" s="14" t="n"/>
      <c r="J220" s="36" t="n"/>
      <c r="K220" s="22">
        <f>IF($A220="","",IF(AND($H220="Open",ISNUMBER($G220)),IF($G220&lt;Dashboard!$B$16,"△ Overdue, was due "&amp;TEXT($G220,"d mmm yyyy"),"Open, due "&amp;TEXT($G220,"d mmm yyyy")),$H220&amp;""))</f>
        <v/>
      </c>
      <c r="L220" s="22">
        <f>IF($A220="","",IF($M220=1,"△ Needs one owner and a date",IF($N220=1,"△ Overdue, was due "&amp;TEXT($G220,"d mmm yyyy"),IF($O220=1,"△ Moved "&amp;$J220&amp;" times","○ Clear"))))</f>
        <v/>
      </c>
      <c r="M220" s="9">
        <f>IF($A220="",0,IF(OR($H220="Done",$H220="Dropped"),0,IF(OR($F220="",AND($B220="Action",NOT(ISNUMBER($G220))),LEN($F220)-LEN(SUBSTITUTE($F220,"(",""))&gt;=2,ISNUMBER(SEARCH(" and ",$Q220)),ISNUMBER(FIND("/",$Q220)),ISNUMBER(FIND("&amp;",$Q220)),ISNUMBER(FIND(",",$Q220))),1,0)))</f>
        <v/>
      </c>
      <c r="N220" s="9">
        <f>IF($A220="",0,IF(AND($H220="Open",ISNUMBER($G220)),IF($G220&lt;Dashboard!$B$16,1,0),0))</f>
        <v/>
      </c>
      <c r="O220" s="9">
        <f>IF($A220="",0,IF(AND($H220="Open",ISNUMBER($J220)),IF($J220&gt;=Dashboard!$H$9,1,0),0))</f>
        <v/>
      </c>
      <c r="P220" s="9">
        <f>IF($M220+$N220+$O220&gt;0,1,0)</f>
        <v/>
      </c>
      <c r="Q220" s="9">
        <f>LEFT($F220,IFERROR(FIND("(",$F220)-1,LEN($F220)))</f>
        <v/>
      </c>
    </row>
    <row r="221" ht="18" customHeight="1">
      <c r="A221" s="28" t="n"/>
      <c r="B221" s="28" t="n"/>
      <c r="C221" s="28" t="n"/>
      <c r="D221" s="14" t="n"/>
      <c r="E221" s="27" t="n"/>
      <c r="F221" s="27" t="n"/>
      <c r="G221" s="14" t="n"/>
      <c r="H221" s="28" t="n"/>
      <c r="I221" s="14" t="n"/>
      <c r="J221" s="36" t="n"/>
      <c r="K221" s="22">
        <f>IF($A221="","",IF(AND($H221="Open",ISNUMBER($G221)),IF($G221&lt;Dashboard!$B$16,"△ Overdue, was due "&amp;TEXT($G221,"d mmm yyyy"),"Open, due "&amp;TEXT($G221,"d mmm yyyy")),$H221&amp;""))</f>
        <v/>
      </c>
      <c r="L221" s="22">
        <f>IF($A221="","",IF($M221=1,"△ Needs one owner and a date",IF($N221=1,"△ Overdue, was due "&amp;TEXT($G221,"d mmm yyyy"),IF($O221=1,"△ Moved "&amp;$J221&amp;" times","○ Clear"))))</f>
        <v/>
      </c>
      <c r="M221" s="9">
        <f>IF($A221="",0,IF(OR($H221="Done",$H221="Dropped"),0,IF(OR($F221="",AND($B221="Action",NOT(ISNUMBER($G221))),LEN($F221)-LEN(SUBSTITUTE($F221,"(",""))&gt;=2,ISNUMBER(SEARCH(" and ",$Q221)),ISNUMBER(FIND("/",$Q221)),ISNUMBER(FIND("&amp;",$Q221)),ISNUMBER(FIND(",",$Q221))),1,0)))</f>
        <v/>
      </c>
      <c r="N221" s="9">
        <f>IF($A221="",0,IF(AND($H221="Open",ISNUMBER($G221)),IF($G221&lt;Dashboard!$B$16,1,0),0))</f>
        <v/>
      </c>
      <c r="O221" s="9">
        <f>IF($A221="",0,IF(AND($H221="Open",ISNUMBER($J221)),IF($J221&gt;=Dashboard!$H$9,1,0),0))</f>
        <v/>
      </c>
      <c r="P221" s="9">
        <f>IF($M221+$N221+$O221&gt;0,1,0)</f>
        <v/>
      </c>
      <c r="Q221" s="9">
        <f>LEFT($F221,IFERROR(FIND("(",$F221)-1,LEN($F221)))</f>
        <v/>
      </c>
    </row>
    <row r="222" ht="18" customHeight="1">
      <c r="A222" s="28" t="n"/>
      <c r="B222" s="28" t="n"/>
      <c r="C222" s="28" t="n"/>
      <c r="D222" s="14" t="n"/>
      <c r="E222" s="27" t="n"/>
      <c r="F222" s="27" t="n"/>
      <c r="G222" s="14" t="n"/>
      <c r="H222" s="28" t="n"/>
      <c r="I222" s="14" t="n"/>
      <c r="J222" s="36" t="n"/>
      <c r="K222" s="22">
        <f>IF($A222="","",IF(AND($H222="Open",ISNUMBER($G222)),IF($G222&lt;Dashboard!$B$16,"△ Overdue, was due "&amp;TEXT($G222,"d mmm yyyy"),"Open, due "&amp;TEXT($G222,"d mmm yyyy")),$H222&amp;""))</f>
        <v/>
      </c>
      <c r="L222" s="22">
        <f>IF($A222="","",IF($M222=1,"△ Needs one owner and a date",IF($N222=1,"△ Overdue, was due "&amp;TEXT($G222,"d mmm yyyy"),IF($O222=1,"△ Moved "&amp;$J222&amp;" times","○ Clear"))))</f>
        <v/>
      </c>
      <c r="M222" s="9">
        <f>IF($A222="",0,IF(OR($H222="Done",$H222="Dropped"),0,IF(OR($F222="",AND($B222="Action",NOT(ISNUMBER($G222))),LEN($F222)-LEN(SUBSTITUTE($F222,"(",""))&gt;=2,ISNUMBER(SEARCH(" and ",$Q222)),ISNUMBER(FIND("/",$Q222)),ISNUMBER(FIND("&amp;",$Q222)),ISNUMBER(FIND(",",$Q222))),1,0)))</f>
        <v/>
      </c>
      <c r="N222" s="9">
        <f>IF($A222="",0,IF(AND($H222="Open",ISNUMBER($G222)),IF($G222&lt;Dashboard!$B$16,1,0),0))</f>
        <v/>
      </c>
      <c r="O222" s="9">
        <f>IF($A222="",0,IF(AND($H222="Open",ISNUMBER($J222)),IF($J222&gt;=Dashboard!$H$9,1,0),0))</f>
        <v/>
      </c>
      <c r="P222" s="9">
        <f>IF($M222+$N222+$O222&gt;0,1,0)</f>
        <v/>
      </c>
      <c r="Q222" s="9">
        <f>LEFT($F222,IFERROR(FIND("(",$F222)-1,LEN($F222)))</f>
        <v/>
      </c>
    </row>
    <row r="223" ht="18" customHeight="1">
      <c r="A223" s="28" t="n"/>
      <c r="B223" s="28" t="n"/>
      <c r="C223" s="28" t="n"/>
      <c r="D223" s="14" t="n"/>
      <c r="E223" s="27" t="n"/>
      <c r="F223" s="27" t="n"/>
      <c r="G223" s="14" t="n"/>
      <c r="H223" s="28" t="n"/>
      <c r="I223" s="14" t="n"/>
      <c r="J223" s="36" t="n"/>
      <c r="K223" s="22">
        <f>IF($A223="","",IF(AND($H223="Open",ISNUMBER($G223)),IF($G223&lt;Dashboard!$B$16,"△ Overdue, was due "&amp;TEXT($G223,"d mmm yyyy"),"Open, due "&amp;TEXT($G223,"d mmm yyyy")),$H223&amp;""))</f>
        <v/>
      </c>
      <c r="L223" s="22">
        <f>IF($A223="","",IF($M223=1,"△ Needs one owner and a date",IF($N223=1,"△ Overdue, was due "&amp;TEXT($G223,"d mmm yyyy"),IF($O223=1,"△ Moved "&amp;$J223&amp;" times","○ Clear"))))</f>
        <v/>
      </c>
      <c r="M223" s="9">
        <f>IF($A223="",0,IF(OR($H223="Done",$H223="Dropped"),0,IF(OR($F223="",AND($B223="Action",NOT(ISNUMBER($G223))),LEN($F223)-LEN(SUBSTITUTE($F223,"(",""))&gt;=2,ISNUMBER(SEARCH(" and ",$Q223)),ISNUMBER(FIND("/",$Q223)),ISNUMBER(FIND("&amp;",$Q223)),ISNUMBER(FIND(",",$Q223))),1,0)))</f>
        <v/>
      </c>
      <c r="N223" s="9">
        <f>IF($A223="",0,IF(AND($H223="Open",ISNUMBER($G223)),IF($G223&lt;Dashboard!$B$16,1,0),0))</f>
        <v/>
      </c>
      <c r="O223" s="9">
        <f>IF($A223="",0,IF(AND($H223="Open",ISNUMBER($J223)),IF($J223&gt;=Dashboard!$H$9,1,0),0))</f>
        <v/>
      </c>
      <c r="P223" s="9">
        <f>IF($M223+$N223+$O223&gt;0,1,0)</f>
        <v/>
      </c>
      <c r="Q223" s="9">
        <f>LEFT($F223,IFERROR(FIND("(",$F223)-1,LEN($F223)))</f>
        <v/>
      </c>
    </row>
    <row r="224" ht="18" customHeight="1">
      <c r="A224" s="28" t="n"/>
      <c r="B224" s="28" t="n"/>
      <c r="C224" s="28" t="n"/>
      <c r="D224" s="14" t="n"/>
      <c r="E224" s="27" t="n"/>
      <c r="F224" s="27" t="n"/>
      <c r="G224" s="14" t="n"/>
      <c r="H224" s="28" t="n"/>
      <c r="I224" s="14" t="n"/>
      <c r="J224" s="36" t="n"/>
      <c r="K224" s="22">
        <f>IF($A224="","",IF(AND($H224="Open",ISNUMBER($G224)),IF($G224&lt;Dashboard!$B$16,"△ Overdue, was due "&amp;TEXT($G224,"d mmm yyyy"),"Open, due "&amp;TEXT($G224,"d mmm yyyy")),$H224&amp;""))</f>
        <v/>
      </c>
      <c r="L224" s="22">
        <f>IF($A224="","",IF($M224=1,"△ Needs one owner and a date",IF($N224=1,"△ Overdue, was due "&amp;TEXT($G224,"d mmm yyyy"),IF($O224=1,"△ Moved "&amp;$J224&amp;" times","○ Clear"))))</f>
        <v/>
      </c>
      <c r="M224" s="9">
        <f>IF($A224="",0,IF(OR($H224="Done",$H224="Dropped"),0,IF(OR($F224="",AND($B224="Action",NOT(ISNUMBER($G224))),LEN($F224)-LEN(SUBSTITUTE($F224,"(",""))&gt;=2,ISNUMBER(SEARCH(" and ",$Q224)),ISNUMBER(FIND("/",$Q224)),ISNUMBER(FIND("&amp;",$Q224)),ISNUMBER(FIND(",",$Q224))),1,0)))</f>
        <v/>
      </c>
      <c r="N224" s="9">
        <f>IF($A224="",0,IF(AND($H224="Open",ISNUMBER($G224)),IF($G224&lt;Dashboard!$B$16,1,0),0))</f>
        <v/>
      </c>
      <c r="O224" s="9">
        <f>IF($A224="",0,IF(AND($H224="Open",ISNUMBER($J224)),IF($J224&gt;=Dashboard!$H$9,1,0),0))</f>
        <v/>
      </c>
      <c r="P224" s="9">
        <f>IF($M224+$N224+$O224&gt;0,1,0)</f>
        <v/>
      </c>
      <c r="Q224" s="9">
        <f>LEFT($F224,IFERROR(FIND("(",$F224)-1,LEN($F224)))</f>
        <v/>
      </c>
    </row>
    <row r="225" ht="18" customHeight="1">
      <c r="A225" s="28" t="n"/>
      <c r="B225" s="28" t="n"/>
      <c r="C225" s="28" t="n"/>
      <c r="D225" s="14" t="n"/>
      <c r="E225" s="27" t="n"/>
      <c r="F225" s="27" t="n"/>
      <c r="G225" s="14" t="n"/>
      <c r="H225" s="28" t="n"/>
      <c r="I225" s="14" t="n"/>
      <c r="J225" s="36" t="n"/>
      <c r="K225" s="22">
        <f>IF($A225="","",IF(AND($H225="Open",ISNUMBER($G225)),IF($G225&lt;Dashboard!$B$16,"△ Overdue, was due "&amp;TEXT($G225,"d mmm yyyy"),"Open, due "&amp;TEXT($G225,"d mmm yyyy")),$H225&amp;""))</f>
        <v/>
      </c>
      <c r="L225" s="22">
        <f>IF($A225="","",IF($M225=1,"△ Needs one owner and a date",IF($N225=1,"△ Overdue, was due "&amp;TEXT($G225,"d mmm yyyy"),IF($O225=1,"△ Moved "&amp;$J225&amp;" times","○ Clear"))))</f>
        <v/>
      </c>
      <c r="M225" s="9">
        <f>IF($A225="",0,IF(OR($H225="Done",$H225="Dropped"),0,IF(OR($F225="",AND($B225="Action",NOT(ISNUMBER($G225))),LEN($F225)-LEN(SUBSTITUTE($F225,"(",""))&gt;=2,ISNUMBER(SEARCH(" and ",$Q225)),ISNUMBER(FIND("/",$Q225)),ISNUMBER(FIND("&amp;",$Q225)),ISNUMBER(FIND(",",$Q225))),1,0)))</f>
        <v/>
      </c>
      <c r="N225" s="9">
        <f>IF($A225="",0,IF(AND($H225="Open",ISNUMBER($G225)),IF($G225&lt;Dashboard!$B$16,1,0),0))</f>
        <v/>
      </c>
      <c r="O225" s="9">
        <f>IF($A225="",0,IF(AND($H225="Open",ISNUMBER($J225)),IF($J225&gt;=Dashboard!$H$9,1,0),0))</f>
        <v/>
      </c>
      <c r="P225" s="9">
        <f>IF($M225+$N225+$O225&gt;0,1,0)</f>
        <v/>
      </c>
      <c r="Q225" s="9">
        <f>LEFT($F225,IFERROR(FIND("(",$F225)-1,LEN($F225)))</f>
        <v/>
      </c>
    </row>
    <row r="226" ht="18" customHeight="1">
      <c r="A226" s="28" t="n"/>
      <c r="B226" s="28" t="n"/>
      <c r="C226" s="28" t="n"/>
      <c r="D226" s="14" t="n"/>
      <c r="E226" s="27" t="n"/>
      <c r="F226" s="27" t="n"/>
      <c r="G226" s="14" t="n"/>
      <c r="H226" s="28" t="n"/>
      <c r="I226" s="14" t="n"/>
      <c r="J226" s="36" t="n"/>
      <c r="K226" s="22">
        <f>IF($A226="","",IF(AND($H226="Open",ISNUMBER($G226)),IF($G226&lt;Dashboard!$B$16,"△ Overdue, was due "&amp;TEXT($G226,"d mmm yyyy"),"Open, due "&amp;TEXT($G226,"d mmm yyyy")),$H226&amp;""))</f>
        <v/>
      </c>
      <c r="L226" s="22">
        <f>IF($A226="","",IF($M226=1,"△ Needs one owner and a date",IF($N226=1,"△ Overdue, was due "&amp;TEXT($G226,"d mmm yyyy"),IF($O226=1,"△ Moved "&amp;$J226&amp;" times","○ Clear"))))</f>
        <v/>
      </c>
      <c r="M226" s="9">
        <f>IF($A226="",0,IF(OR($H226="Done",$H226="Dropped"),0,IF(OR($F226="",AND($B226="Action",NOT(ISNUMBER($G226))),LEN($F226)-LEN(SUBSTITUTE($F226,"(",""))&gt;=2,ISNUMBER(SEARCH(" and ",$Q226)),ISNUMBER(FIND("/",$Q226)),ISNUMBER(FIND("&amp;",$Q226)),ISNUMBER(FIND(",",$Q226))),1,0)))</f>
        <v/>
      </c>
      <c r="N226" s="9">
        <f>IF($A226="",0,IF(AND($H226="Open",ISNUMBER($G226)),IF($G226&lt;Dashboard!$B$16,1,0),0))</f>
        <v/>
      </c>
      <c r="O226" s="9">
        <f>IF($A226="",0,IF(AND($H226="Open",ISNUMBER($J226)),IF($J226&gt;=Dashboard!$H$9,1,0),0))</f>
        <v/>
      </c>
      <c r="P226" s="9">
        <f>IF($M226+$N226+$O226&gt;0,1,0)</f>
        <v/>
      </c>
      <c r="Q226" s="9">
        <f>LEFT($F226,IFERROR(FIND("(",$F226)-1,LEN($F226)))</f>
        <v/>
      </c>
    </row>
    <row r="227" ht="18" customHeight="1">
      <c r="A227" s="28" t="n"/>
      <c r="B227" s="28" t="n"/>
      <c r="C227" s="28" t="n"/>
      <c r="D227" s="14" t="n"/>
      <c r="E227" s="27" t="n"/>
      <c r="F227" s="27" t="n"/>
      <c r="G227" s="14" t="n"/>
      <c r="H227" s="28" t="n"/>
      <c r="I227" s="14" t="n"/>
      <c r="J227" s="36" t="n"/>
      <c r="K227" s="22">
        <f>IF($A227="","",IF(AND($H227="Open",ISNUMBER($G227)),IF($G227&lt;Dashboard!$B$16,"△ Overdue, was due "&amp;TEXT($G227,"d mmm yyyy"),"Open, due "&amp;TEXT($G227,"d mmm yyyy")),$H227&amp;""))</f>
        <v/>
      </c>
      <c r="L227" s="22">
        <f>IF($A227="","",IF($M227=1,"△ Needs one owner and a date",IF($N227=1,"△ Overdue, was due "&amp;TEXT($G227,"d mmm yyyy"),IF($O227=1,"△ Moved "&amp;$J227&amp;" times","○ Clear"))))</f>
        <v/>
      </c>
      <c r="M227" s="9">
        <f>IF($A227="",0,IF(OR($H227="Done",$H227="Dropped"),0,IF(OR($F227="",AND($B227="Action",NOT(ISNUMBER($G227))),LEN($F227)-LEN(SUBSTITUTE($F227,"(",""))&gt;=2,ISNUMBER(SEARCH(" and ",$Q227)),ISNUMBER(FIND("/",$Q227)),ISNUMBER(FIND("&amp;",$Q227)),ISNUMBER(FIND(",",$Q227))),1,0)))</f>
        <v/>
      </c>
      <c r="N227" s="9">
        <f>IF($A227="",0,IF(AND($H227="Open",ISNUMBER($G227)),IF($G227&lt;Dashboard!$B$16,1,0),0))</f>
        <v/>
      </c>
      <c r="O227" s="9">
        <f>IF($A227="",0,IF(AND($H227="Open",ISNUMBER($J227)),IF($J227&gt;=Dashboard!$H$9,1,0),0))</f>
        <v/>
      </c>
      <c r="P227" s="9">
        <f>IF($M227+$N227+$O227&gt;0,1,0)</f>
        <v/>
      </c>
      <c r="Q227" s="9">
        <f>LEFT($F227,IFERROR(FIND("(",$F227)-1,LEN($F227)))</f>
        <v/>
      </c>
    </row>
    <row r="228" ht="18" customHeight="1">
      <c r="A228" s="28" t="n"/>
      <c r="B228" s="28" t="n"/>
      <c r="C228" s="28" t="n"/>
      <c r="D228" s="14" t="n"/>
      <c r="E228" s="27" t="n"/>
      <c r="F228" s="27" t="n"/>
      <c r="G228" s="14" t="n"/>
      <c r="H228" s="28" t="n"/>
      <c r="I228" s="14" t="n"/>
      <c r="J228" s="36" t="n"/>
      <c r="K228" s="22">
        <f>IF($A228="","",IF(AND($H228="Open",ISNUMBER($G228)),IF($G228&lt;Dashboard!$B$16,"△ Overdue, was due "&amp;TEXT($G228,"d mmm yyyy"),"Open, due "&amp;TEXT($G228,"d mmm yyyy")),$H228&amp;""))</f>
        <v/>
      </c>
      <c r="L228" s="22">
        <f>IF($A228="","",IF($M228=1,"△ Needs one owner and a date",IF($N228=1,"△ Overdue, was due "&amp;TEXT($G228,"d mmm yyyy"),IF($O228=1,"△ Moved "&amp;$J228&amp;" times","○ Clear"))))</f>
        <v/>
      </c>
      <c r="M228" s="9">
        <f>IF($A228="",0,IF(OR($H228="Done",$H228="Dropped"),0,IF(OR($F228="",AND($B228="Action",NOT(ISNUMBER($G228))),LEN($F228)-LEN(SUBSTITUTE($F228,"(",""))&gt;=2,ISNUMBER(SEARCH(" and ",$Q228)),ISNUMBER(FIND("/",$Q228)),ISNUMBER(FIND("&amp;",$Q228)),ISNUMBER(FIND(",",$Q228))),1,0)))</f>
        <v/>
      </c>
      <c r="N228" s="9">
        <f>IF($A228="",0,IF(AND($H228="Open",ISNUMBER($G228)),IF($G228&lt;Dashboard!$B$16,1,0),0))</f>
        <v/>
      </c>
      <c r="O228" s="9">
        <f>IF($A228="",0,IF(AND($H228="Open",ISNUMBER($J228)),IF($J228&gt;=Dashboard!$H$9,1,0),0))</f>
        <v/>
      </c>
      <c r="P228" s="9">
        <f>IF($M228+$N228+$O228&gt;0,1,0)</f>
        <v/>
      </c>
      <c r="Q228" s="9">
        <f>LEFT($F228,IFERROR(FIND("(",$F228)-1,LEN($F228)))</f>
        <v/>
      </c>
    </row>
    <row r="229" ht="18" customHeight="1">
      <c r="A229" s="28" t="n"/>
      <c r="B229" s="28" t="n"/>
      <c r="C229" s="28" t="n"/>
      <c r="D229" s="14" t="n"/>
      <c r="E229" s="27" t="n"/>
      <c r="F229" s="27" t="n"/>
      <c r="G229" s="14" t="n"/>
      <c r="H229" s="28" t="n"/>
      <c r="I229" s="14" t="n"/>
      <c r="J229" s="36" t="n"/>
      <c r="K229" s="22">
        <f>IF($A229="","",IF(AND($H229="Open",ISNUMBER($G229)),IF($G229&lt;Dashboard!$B$16,"△ Overdue, was due "&amp;TEXT($G229,"d mmm yyyy"),"Open, due "&amp;TEXT($G229,"d mmm yyyy")),$H229&amp;""))</f>
        <v/>
      </c>
      <c r="L229" s="22">
        <f>IF($A229="","",IF($M229=1,"△ Needs one owner and a date",IF($N229=1,"△ Overdue, was due "&amp;TEXT($G229,"d mmm yyyy"),IF($O229=1,"△ Moved "&amp;$J229&amp;" times","○ Clear"))))</f>
        <v/>
      </c>
      <c r="M229" s="9">
        <f>IF($A229="",0,IF(OR($H229="Done",$H229="Dropped"),0,IF(OR($F229="",AND($B229="Action",NOT(ISNUMBER($G229))),LEN($F229)-LEN(SUBSTITUTE($F229,"(",""))&gt;=2,ISNUMBER(SEARCH(" and ",$Q229)),ISNUMBER(FIND("/",$Q229)),ISNUMBER(FIND("&amp;",$Q229)),ISNUMBER(FIND(",",$Q229))),1,0)))</f>
        <v/>
      </c>
      <c r="N229" s="9">
        <f>IF($A229="",0,IF(AND($H229="Open",ISNUMBER($G229)),IF($G229&lt;Dashboard!$B$16,1,0),0))</f>
        <v/>
      </c>
      <c r="O229" s="9">
        <f>IF($A229="",0,IF(AND($H229="Open",ISNUMBER($J229)),IF($J229&gt;=Dashboard!$H$9,1,0),0))</f>
        <v/>
      </c>
      <c r="P229" s="9">
        <f>IF($M229+$N229+$O229&gt;0,1,0)</f>
        <v/>
      </c>
      <c r="Q229" s="9">
        <f>LEFT($F229,IFERROR(FIND("(",$F229)-1,LEN($F229)))</f>
        <v/>
      </c>
    </row>
    <row r="230" ht="18" customHeight="1">
      <c r="A230" s="28" t="n"/>
      <c r="B230" s="28" t="n"/>
      <c r="C230" s="28" t="n"/>
      <c r="D230" s="14" t="n"/>
      <c r="E230" s="27" t="n"/>
      <c r="F230" s="27" t="n"/>
      <c r="G230" s="14" t="n"/>
      <c r="H230" s="28" t="n"/>
      <c r="I230" s="14" t="n"/>
      <c r="J230" s="36" t="n"/>
      <c r="K230" s="22">
        <f>IF($A230="","",IF(AND($H230="Open",ISNUMBER($G230)),IF($G230&lt;Dashboard!$B$16,"△ Overdue, was due "&amp;TEXT($G230,"d mmm yyyy"),"Open, due "&amp;TEXT($G230,"d mmm yyyy")),$H230&amp;""))</f>
        <v/>
      </c>
      <c r="L230" s="22">
        <f>IF($A230="","",IF($M230=1,"△ Needs one owner and a date",IF($N230=1,"△ Overdue, was due "&amp;TEXT($G230,"d mmm yyyy"),IF($O230=1,"△ Moved "&amp;$J230&amp;" times","○ Clear"))))</f>
        <v/>
      </c>
      <c r="M230" s="9">
        <f>IF($A230="",0,IF(OR($H230="Done",$H230="Dropped"),0,IF(OR($F230="",AND($B230="Action",NOT(ISNUMBER($G230))),LEN($F230)-LEN(SUBSTITUTE($F230,"(",""))&gt;=2,ISNUMBER(SEARCH(" and ",$Q230)),ISNUMBER(FIND("/",$Q230)),ISNUMBER(FIND("&amp;",$Q230)),ISNUMBER(FIND(",",$Q230))),1,0)))</f>
        <v/>
      </c>
      <c r="N230" s="9">
        <f>IF($A230="",0,IF(AND($H230="Open",ISNUMBER($G230)),IF($G230&lt;Dashboard!$B$16,1,0),0))</f>
        <v/>
      </c>
      <c r="O230" s="9">
        <f>IF($A230="",0,IF(AND($H230="Open",ISNUMBER($J230)),IF($J230&gt;=Dashboard!$H$9,1,0),0))</f>
        <v/>
      </c>
      <c r="P230" s="9">
        <f>IF($M230+$N230+$O230&gt;0,1,0)</f>
        <v/>
      </c>
      <c r="Q230" s="9">
        <f>LEFT($F230,IFERROR(FIND("(",$F230)-1,LEN($F230)))</f>
        <v/>
      </c>
    </row>
    <row r="231" ht="18" customHeight="1">
      <c r="A231" s="28" t="n"/>
      <c r="B231" s="28" t="n"/>
      <c r="C231" s="28" t="n"/>
      <c r="D231" s="14" t="n"/>
      <c r="E231" s="27" t="n"/>
      <c r="F231" s="27" t="n"/>
      <c r="G231" s="14" t="n"/>
      <c r="H231" s="28" t="n"/>
      <c r="I231" s="14" t="n"/>
      <c r="J231" s="36" t="n"/>
      <c r="K231" s="22">
        <f>IF($A231="","",IF(AND($H231="Open",ISNUMBER($G231)),IF($G231&lt;Dashboard!$B$16,"△ Overdue, was due "&amp;TEXT($G231,"d mmm yyyy"),"Open, due "&amp;TEXT($G231,"d mmm yyyy")),$H231&amp;""))</f>
        <v/>
      </c>
      <c r="L231" s="22">
        <f>IF($A231="","",IF($M231=1,"△ Needs one owner and a date",IF($N231=1,"△ Overdue, was due "&amp;TEXT($G231,"d mmm yyyy"),IF($O231=1,"△ Moved "&amp;$J231&amp;" times","○ Clear"))))</f>
        <v/>
      </c>
      <c r="M231" s="9">
        <f>IF($A231="",0,IF(OR($H231="Done",$H231="Dropped"),0,IF(OR($F231="",AND($B231="Action",NOT(ISNUMBER($G231))),LEN($F231)-LEN(SUBSTITUTE($F231,"(",""))&gt;=2,ISNUMBER(SEARCH(" and ",$Q231)),ISNUMBER(FIND("/",$Q231)),ISNUMBER(FIND("&amp;",$Q231)),ISNUMBER(FIND(",",$Q231))),1,0)))</f>
        <v/>
      </c>
      <c r="N231" s="9">
        <f>IF($A231="",0,IF(AND($H231="Open",ISNUMBER($G231)),IF($G231&lt;Dashboard!$B$16,1,0),0))</f>
        <v/>
      </c>
      <c r="O231" s="9">
        <f>IF($A231="",0,IF(AND($H231="Open",ISNUMBER($J231)),IF($J231&gt;=Dashboard!$H$9,1,0),0))</f>
        <v/>
      </c>
      <c r="P231" s="9">
        <f>IF($M231+$N231+$O231&gt;0,1,0)</f>
        <v/>
      </c>
      <c r="Q231" s="9">
        <f>LEFT($F231,IFERROR(FIND("(",$F231)-1,LEN($F231)))</f>
        <v/>
      </c>
    </row>
    <row r="232" ht="18" customHeight="1">
      <c r="A232" s="28" t="n"/>
      <c r="B232" s="28" t="n"/>
      <c r="C232" s="28" t="n"/>
      <c r="D232" s="14" t="n"/>
      <c r="E232" s="27" t="n"/>
      <c r="F232" s="27" t="n"/>
      <c r="G232" s="14" t="n"/>
      <c r="H232" s="28" t="n"/>
      <c r="I232" s="14" t="n"/>
      <c r="J232" s="36" t="n"/>
      <c r="K232" s="22">
        <f>IF($A232="","",IF(AND($H232="Open",ISNUMBER($G232)),IF($G232&lt;Dashboard!$B$16,"△ Overdue, was due "&amp;TEXT($G232,"d mmm yyyy"),"Open, due "&amp;TEXT($G232,"d mmm yyyy")),$H232&amp;""))</f>
        <v/>
      </c>
      <c r="L232" s="22">
        <f>IF($A232="","",IF($M232=1,"△ Needs one owner and a date",IF($N232=1,"△ Overdue, was due "&amp;TEXT($G232,"d mmm yyyy"),IF($O232=1,"△ Moved "&amp;$J232&amp;" times","○ Clear"))))</f>
        <v/>
      </c>
      <c r="M232" s="9">
        <f>IF($A232="",0,IF(OR($H232="Done",$H232="Dropped"),0,IF(OR($F232="",AND($B232="Action",NOT(ISNUMBER($G232))),LEN($F232)-LEN(SUBSTITUTE($F232,"(",""))&gt;=2,ISNUMBER(SEARCH(" and ",$Q232)),ISNUMBER(FIND("/",$Q232)),ISNUMBER(FIND("&amp;",$Q232)),ISNUMBER(FIND(",",$Q232))),1,0)))</f>
        <v/>
      </c>
      <c r="N232" s="9">
        <f>IF($A232="",0,IF(AND($H232="Open",ISNUMBER($G232)),IF($G232&lt;Dashboard!$B$16,1,0),0))</f>
        <v/>
      </c>
      <c r="O232" s="9">
        <f>IF($A232="",0,IF(AND($H232="Open",ISNUMBER($J232)),IF($J232&gt;=Dashboard!$H$9,1,0),0))</f>
        <v/>
      </c>
      <c r="P232" s="9">
        <f>IF($M232+$N232+$O232&gt;0,1,0)</f>
        <v/>
      </c>
      <c r="Q232" s="9">
        <f>LEFT($F232,IFERROR(FIND("(",$F232)-1,LEN($F232)))</f>
        <v/>
      </c>
    </row>
    <row r="233" ht="18" customHeight="1">
      <c r="A233" s="28" t="n"/>
      <c r="B233" s="28" t="n"/>
      <c r="C233" s="28" t="n"/>
      <c r="D233" s="14" t="n"/>
      <c r="E233" s="27" t="n"/>
      <c r="F233" s="27" t="n"/>
      <c r="G233" s="14" t="n"/>
      <c r="H233" s="28" t="n"/>
      <c r="I233" s="14" t="n"/>
      <c r="J233" s="36" t="n"/>
      <c r="K233" s="22">
        <f>IF($A233="","",IF(AND($H233="Open",ISNUMBER($G233)),IF($G233&lt;Dashboard!$B$16,"△ Overdue, was due "&amp;TEXT($G233,"d mmm yyyy"),"Open, due "&amp;TEXT($G233,"d mmm yyyy")),$H233&amp;""))</f>
        <v/>
      </c>
      <c r="L233" s="22">
        <f>IF($A233="","",IF($M233=1,"△ Needs one owner and a date",IF($N233=1,"△ Overdue, was due "&amp;TEXT($G233,"d mmm yyyy"),IF($O233=1,"△ Moved "&amp;$J233&amp;" times","○ Clear"))))</f>
        <v/>
      </c>
      <c r="M233" s="9">
        <f>IF($A233="",0,IF(OR($H233="Done",$H233="Dropped"),0,IF(OR($F233="",AND($B233="Action",NOT(ISNUMBER($G233))),LEN($F233)-LEN(SUBSTITUTE($F233,"(",""))&gt;=2,ISNUMBER(SEARCH(" and ",$Q233)),ISNUMBER(FIND("/",$Q233)),ISNUMBER(FIND("&amp;",$Q233)),ISNUMBER(FIND(",",$Q233))),1,0)))</f>
        <v/>
      </c>
      <c r="N233" s="9">
        <f>IF($A233="",0,IF(AND($H233="Open",ISNUMBER($G233)),IF($G233&lt;Dashboard!$B$16,1,0),0))</f>
        <v/>
      </c>
      <c r="O233" s="9">
        <f>IF($A233="",0,IF(AND($H233="Open",ISNUMBER($J233)),IF($J233&gt;=Dashboard!$H$9,1,0),0))</f>
        <v/>
      </c>
      <c r="P233" s="9">
        <f>IF($M233+$N233+$O233&gt;0,1,0)</f>
        <v/>
      </c>
      <c r="Q233" s="9">
        <f>LEFT($F233,IFERROR(FIND("(",$F233)-1,LEN($F233)))</f>
        <v/>
      </c>
    </row>
    <row r="234" ht="18" customHeight="1">
      <c r="A234" s="28" t="n"/>
      <c r="B234" s="28" t="n"/>
      <c r="C234" s="28" t="n"/>
      <c r="D234" s="14" t="n"/>
      <c r="E234" s="27" t="n"/>
      <c r="F234" s="27" t="n"/>
      <c r="G234" s="14" t="n"/>
      <c r="H234" s="28" t="n"/>
      <c r="I234" s="14" t="n"/>
      <c r="J234" s="36" t="n"/>
      <c r="K234" s="22">
        <f>IF($A234="","",IF(AND($H234="Open",ISNUMBER($G234)),IF($G234&lt;Dashboard!$B$16,"△ Overdue, was due "&amp;TEXT($G234,"d mmm yyyy"),"Open, due "&amp;TEXT($G234,"d mmm yyyy")),$H234&amp;""))</f>
        <v/>
      </c>
      <c r="L234" s="22">
        <f>IF($A234="","",IF($M234=1,"△ Needs one owner and a date",IF($N234=1,"△ Overdue, was due "&amp;TEXT($G234,"d mmm yyyy"),IF($O234=1,"△ Moved "&amp;$J234&amp;" times","○ Clear"))))</f>
        <v/>
      </c>
      <c r="M234" s="9">
        <f>IF($A234="",0,IF(OR($H234="Done",$H234="Dropped"),0,IF(OR($F234="",AND($B234="Action",NOT(ISNUMBER($G234))),LEN($F234)-LEN(SUBSTITUTE($F234,"(",""))&gt;=2,ISNUMBER(SEARCH(" and ",$Q234)),ISNUMBER(FIND("/",$Q234)),ISNUMBER(FIND("&amp;",$Q234)),ISNUMBER(FIND(",",$Q234))),1,0)))</f>
        <v/>
      </c>
      <c r="N234" s="9">
        <f>IF($A234="",0,IF(AND($H234="Open",ISNUMBER($G234)),IF($G234&lt;Dashboard!$B$16,1,0),0))</f>
        <v/>
      </c>
      <c r="O234" s="9">
        <f>IF($A234="",0,IF(AND($H234="Open",ISNUMBER($J234)),IF($J234&gt;=Dashboard!$H$9,1,0),0))</f>
        <v/>
      </c>
      <c r="P234" s="9">
        <f>IF($M234+$N234+$O234&gt;0,1,0)</f>
        <v/>
      </c>
      <c r="Q234" s="9">
        <f>LEFT($F234,IFERROR(FIND("(",$F234)-1,LEN($F234)))</f>
        <v/>
      </c>
    </row>
    <row r="235" ht="18" customHeight="1">
      <c r="A235" s="28" t="n"/>
      <c r="B235" s="28" t="n"/>
      <c r="C235" s="28" t="n"/>
      <c r="D235" s="14" t="n"/>
      <c r="E235" s="27" t="n"/>
      <c r="F235" s="27" t="n"/>
      <c r="G235" s="14" t="n"/>
      <c r="H235" s="28" t="n"/>
      <c r="I235" s="14" t="n"/>
      <c r="J235" s="36" t="n"/>
      <c r="K235" s="22">
        <f>IF($A235="","",IF(AND($H235="Open",ISNUMBER($G235)),IF($G235&lt;Dashboard!$B$16,"△ Overdue, was due "&amp;TEXT($G235,"d mmm yyyy"),"Open, due "&amp;TEXT($G235,"d mmm yyyy")),$H235&amp;""))</f>
        <v/>
      </c>
      <c r="L235" s="22">
        <f>IF($A235="","",IF($M235=1,"△ Needs one owner and a date",IF($N235=1,"△ Overdue, was due "&amp;TEXT($G235,"d mmm yyyy"),IF($O235=1,"△ Moved "&amp;$J235&amp;" times","○ Clear"))))</f>
        <v/>
      </c>
      <c r="M235" s="9">
        <f>IF($A235="",0,IF(OR($H235="Done",$H235="Dropped"),0,IF(OR($F235="",AND($B235="Action",NOT(ISNUMBER($G235))),LEN($F235)-LEN(SUBSTITUTE($F235,"(",""))&gt;=2,ISNUMBER(SEARCH(" and ",$Q235)),ISNUMBER(FIND("/",$Q235)),ISNUMBER(FIND("&amp;",$Q235)),ISNUMBER(FIND(",",$Q235))),1,0)))</f>
        <v/>
      </c>
      <c r="N235" s="9">
        <f>IF($A235="",0,IF(AND($H235="Open",ISNUMBER($G235)),IF($G235&lt;Dashboard!$B$16,1,0),0))</f>
        <v/>
      </c>
      <c r="O235" s="9">
        <f>IF($A235="",0,IF(AND($H235="Open",ISNUMBER($J235)),IF($J235&gt;=Dashboard!$H$9,1,0),0))</f>
        <v/>
      </c>
      <c r="P235" s="9">
        <f>IF($M235+$N235+$O235&gt;0,1,0)</f>
        <v/>
      </c>
      <c r="Q235" s="9">
        <f>LEFT($F235,IFERROR(FIND("(",$F235)-1,LEN($F235)))</f>
        <v/>
      </c>
    </row>
    <row r="236" ht="18" customHeight="1">
      <c r="A236" s="28" t="n"/>
      <c r="B236" s="28" t="n"/>
      <c r="C236" s="28" t="n"/>
      <c r="D236" s="14" t="n"/>
      <c r="E236" s="27" t="n"/>
      <c r="F236" s="27" t="n"/>
      <c r="G236" s="14" t="n"/>
      <c r="H236" s="28" t="n"/>
      <c r="I236" s="14" t="n"/>
      <c r="J236" s="36" t="n"/>
      <c r="K236" s="22">
        <f>IF($A236="","",IF(AND($H236="Open",ISNUMBER($G236)),IF($G236&lt;Dashboard!$B$16,"△ Overdue, was due "&amp;TEXT($G236,"d mmm yyyy"),"Open, due "&amp;TEXT($G236,"d mmm yyyy")),$H236&amp;""))</f>
        <v/>
      </c>
      <c r="L236" s="22">
        <f>IF($A236="","",IF($M236=1,"△ Needs one owner and a date",IF($N236=1,"△ Overdue, was due "&amp;TEXT($G236,"d mmm yyyy"),IF($O236=1,"△ Moved "&amp;$J236&amp;" times","○ Clear"))))</f>
        <v/>
      </c>
      <c r="M236" s="9">
        <f>IF($A236="",0,IF(OR($H236="Done",$H236="Dropped"),0,IF(OR($F236="",AND($B236="Action",NOT(ISNUMBER($G236))),LEN($F236)-LEN(SUBSTITUTE($F236,"(",""))&gt;=2,ISNUMBER(SEARCH(" and ",$Q236)),ISNUMBER(FIND("/",$Q236)),ISNUMBER(FIND("&amp;",$Q236)),ISNUMBER(FIND(",",$Q236))),1,0)))</f>
        <v/>
      </c>
      <c r="N236" s="9">
        <f>IF($A236="",0,IF(AND($H236="Open",ISNUMBER($G236)),IF($G236&lt;Dashboard!$B$16,1,0),0))</f>
        <v/>
      </c>
      <c r="O236" s="9">
        <f>IF($A236="",0,IF(AND($H236="Open",ISNUMBER($J236)),IF($J236&gt;=Dashboard!$H$9,1,0),0))</f>
        <v/>
      </c>
      <c r="P236" s="9">
        <f>IF($M236+$N236+$O236&gt;0,1,0)</f>
        <v/>
      </c>
      <c r="Q236" s="9">
        <f>LEFT($F236,IFERROR(FIND("(",$F236)-1,LEN($F236)))</f>
        <v/>
      </c>
    </row>
    <row r="237" ht="18" customHeight="1">
      <c r="A237" s="28" t="n"/>
      <c r="B237" s="28" t="n"/>
      <c r="C237" s="28" t="n"/>
      <c r="D237" s="14" t="n"/>
      <c r="E237" s="27" t="n"/>
      <c r="F237" s="27" t="n"/>
      <c r="G237" s="14" t="n"/>
      <c r="H237" s="28" t="n"/>
      <c r="I237" s="14" t="n"/>
      <c r="J237" s="36" t="n"/>
      <c r="K237" s="22">
        <f>IF($A237="","",IF(AND($H237="Open",ISNUMBER($G237)),IF($G237&lt;Dashboard!$B$16,"△ Overdue, was due "&amp;TEXT($G237,"d mmm yyyy"),"Open, due "&amp;TEXT($G237,"d mmm yyyy")),$H237&amp;""))</f>
        <v/>
      </c>
      <c r="L237" s="22">
        <f>IF($A237="","",IF($M237=1,"△ Needs one owner and a date",IF($N237=1,"△ Overdue, was due "&amp;TEXT($G237,"d mmm yyyy"),IF($O237=1,"△ Moved "&amp;$J237&amp;" times","○ Clear"))))</f>
        <v/>
      </c>
      <c r="M237" s="9">
        <f>IF($A237="",0,IF(OR($H237="Done",$H237="Dropped"),0,IF(OR($F237="",AND($B237="Action",NOT(ISNUMBER($G237))),LEN($F237)-LEN(SUBSTITUTE($F237,"(",""))&gt;=2,ISNUMBER(SEARCH(" and ",$Q237)),ISNUMBER(FIND("/",$Q237)),ISNUMBER(FIND("&amp;",$Q237)),ISNUMBER(FIND(",",$Q237))),1,0)))</f>
        <v/>
      </c>
      <c r="N237" s="9">
        <f>IF($A237="",0,IF(AND($H237="Open",ISNUMBER($G237)),IF($G237&lt;Dashboard!$B$16,1,0),0))</f>
        <v/>
      </c>
      <c r="O237" s="9">
        <f>IF($A237="",0,IF(AND($H237="Open",ISNUMBER($J237)),IF($J237&gt;=Dashboard!$H$9,1,0),0))</f>
        <v/>
      </c>
      <c r="P237" s="9">
        <f>IF($M237+$N237+$O237&gt;0,1,0)</f>
        <v/>
      </c>
      <c r="Q237" s="9">
        <f>LEFT($F237,IFERROR(FIND("(",$F237)-1,LEN($F237)))</f>
        <v/>
      </c>
    </row>
    <row r="238" ht="18" customHeight="1">
      <c r="A238" s="28" t="n"/>
      <c r="B238" s="28" t="n"/>
      <c r="C238" s="28" t="n"/>
      <c r="D238" s="14" t="n"/>
      <c r="E238" s="27" t="n"/>
      <c r="F238" s="27" t="n"/>
      <c r="G238" s="14" t="n"/>
      <c r="H238" s="28" t="n"/>
      <c r="I238" s="14" t="n"/>
      <c r="J238" s="36" t="n"/>
      <c r="K238" s="22">
        <f>IF($A238="","",IF(AND($H238="Open",ISNUMBER($G238)),IF($G238&lt;Dashboard!$B$16,"△ Overdue, was due "&amp;TEXT($G238,"d mmm yyyy"),"Open, due "&amp;TEXT($G238,"d mmm yyyy")),$H238&amp;""))</f>
        <v/>
      </c>
      <c r="L238" s="22">
        <f>IF($A238="","",IF($M238=1,"△ Needs one owner and a date",IF($N238=1,"△ Overdue, was due "&amp;TEXT($G238,"d mmm yyyy"),IF($O238=1,"△ Moved "&amp;$J238&amp;" times","○ Clear"))))</f>
        <v/>
      </c>
      <c r="M238" s="9">
        <f>IF($A238="",0,IF(OR($H238="Done",$H238="Dropped"),0,IF(OR($F238="",AND($B238="Action",NOT(ISNUMBER($G238))),LEN($F238)-LEN(SUBSTITUTE($F238,"(",""))&gt;=2,ISNUMBER(SEARCH(" and ",$Q238)),ISNUMBER(FIND("/",$Q238)),ISNUMBER(FIND("&amp;",$Q238)),ISNUMBER(FIND(",",$Q238))),1,0)))</f>
        <v/>
      </c>
      <c r="N238" s="9">
        <f>IF($A238="",0,IF(AND($H238="Open",ISNUMBER($G238)),IF($G238&lt;Dashboard!$B$16,1,0),0))</f>
        <v/>
      </c>
      <c r="O238" s="9">
        <f>IF($A238="",0,IF(AND($H238="Open",ISNUMBER($J238)),IF($J238&gt;=Dashboard!$H$9,1,0),0))</f>
        <v/>
      </c>
      <c r="P238" s="9">
        <f>IF($M238+$N238+$O238&gt;0,1,0)</f>
        <v/>
      </c>
      <c r="Q238" s="9">
        <f>LEFT($F238,IFERROR(FIND("(",$F238)-1,LEN($F238)))</f>
        <v/>
      </c>
    </row>
    <row r="239" ht="18" customHeight="1">
      <c r="A239" s="28" t="n"/>
      <c r="B239" s="28" t="n"/>
      <c r="C239" s="28" t="n"/>
      <c r="D239" s="14" t="n"/>
      <c r="E239" s="27" t="n"/>
      <c r="F239" s="27" t="n"/>
      <c r="G239" s="14" t="n"/>
      <c r="H239" s="28" t="n"/>
      <c r="I239" s="14" t="n"/>
      <c r="J239" s="36" t="n"/>
      <c r="K239" s="22">
        <f>IF($A239="","",IF(AND($H239="Open",ISNUMBER($G239)),IF($G239&lt;Dashboard!$B$16,"△ Overdue, was due "&amp;TEXT($G239,"d mmm yyyy"),"Open, due "&amp;TEXT($G239,"d mmm yyyy")),$H239&amp;""))</f>
        <v/>
      </c>
      <c r="L239" s="22">
        <f>IF($A239="","",IF($M239=1,"△ Needs one owner and a date",IF($N239=1,"△ Overdue, was due "&amp;TEXT($G239,"d mmm yyyy"),IF($O239=1,"△ Moved "&amp;$J239&amp;" times","○ Clear"))))</f>
        <v/>
      </c>
      <c r="M239" s="9">
        <f>IF($A239="",0,IF(OR($H239="Done",$H239="Dropped"),0,IF(OR($F239="",AND($B239="Action",NOT(ISNUMBER($G239))),LEN($F239)-LEN(SUBSTITUTE($F239,"(",""))&gt;=2,ISNUMBER(SEARCH(" and ",$Q239)),ISNUMBER(FIND("/",$Q239)),ISNUMBER(FIND("&amp;",$Q239)),ISNUMBER(FIND(",",$Q239))),1,0)))</f>
        <v/>
      </c>
      <c r="N239" s="9">
        <f>IF($A239="",0,IF(AND($H239="Open",ISNUMBER($G239)),IF($G239&lt;Dashboard!$B$16,1,0),0))</f>
        <v/>
      </c>
      <c r="O239" s="9">
        <f>IF($A239="",0,IF(AND($H239="Open",ISNUMBER($J239)),IF($J239&gt;=Dashboard!$H$9,1,0),0))</f>
        <v/>
      </c>
      <c r="P239" s="9">
        <f>IF($M239+$N239+$O239&gt;0,1,0)</f>
        <v/>
      </c>
      <c r="Q239" s="9">
        <f>LEFT($F239,IFERROR(FIND("(",$F239)-1,LEN($F239)))</f>
        <v/>
      </c>
    </row>
    <row r="240" ht="18" customHeight="1">
      <c r="A240" s="28" t="n"/>
      <c r="B240" s="28" t="n"/>
      <c r="C240" s="28" t="n"/>
      <c r="D240" s="14" t="n"/>
      <c r="E240" s="27" t="n"/>
      <c r="F240" s="27" t="n"/>
      <c r="G240" s="14" t="n"/>
      <c r="H240" s="28" t="n"/>
      <c r="I240" s="14" t="n"/>
      <c r="J240" s="36" t="n"/>
      <c r="K240" s="22">
        <f>IF($A240="","",IF(AND($H240="Open",ISNUMBER($G240)),IF($G240&lt;Dashboard!$B$16,"△ Overdue, was due "&amp;TEXT($G240,"d mmm yyyy"),"Open, due "&amp;TEXT($G240,"d mmm yyyy")),$H240&amp;""))</f>
        <v/>
      </c>
      <c r="L240" s="22">
        <f>IF($A240="","",IF($M240=1,"△ Needs one owner and a date",IF($N240=1,"△ Overdue, was due "&amp;TEXT($G240,"d mmm yyyy"),IF($O240=1,"△ Moved "&amp;$J240&amp;" times","○ Clear"))))</f>
        <v/>
      </c>
      <c r="M240" s="9">
        <f>IF($A240="",0,IF(OR($H240="Done",$H240="Dropped"),0,IF(OR($F240="",AND($B240="Action",NOT(ISNUMBER($G240))),LEN($F240)-LEN(SUBSTITUTE($F240,"(",""))&gt;=2,ISNUMBER(SEARCH(" and ",$Q240)),ISNUMBER(FIND("/",$Q240)),ISNUMBER(FIND("&amp;",$Q240)),ISNUMBER(FIND(",",$Q240))),1,0)))</f>
        <v/>
      </c>
      <c r="N240" s="9">
        <f>IF($A240="",0,IF(AND($H240="Open",ISNUMBER($G240)),IF($G240&lt;Dashboard!$B$16,1,0),0))</f>
        <v/>
      </c>
      <c r="O240" s="9">
        <f>IF($A240="",0,IF(AND($H240="Open",ISNUMBER($J240)),IF($J240&gt;=Dashboard!$H$9,1,0),0))</f>
        <v/>
      </c>
      <c r="P240" s="9">
        <f>IF($M240+$N240+$O240&gt;0,1,0)</f>
        <v/>
      </c>
      <c r="Q240" s="9">
        <f>LEFT($F240,IFERROR(FIND("(",$F240)-1,LEN($F240)))</f>
        <v/>
      </c>
    </row>
    <row r="241" ht="18" customHeight="1">
      <c r="A241" s="28" t="n"/>
      <c r="B241" s="28" t="n"/>
      <c r="C241" s="28" t="n"/>
      <c r="D241" s="14" t="n"/>
      <c r="E241" s="27" t="n"/>
      <c r="F241" s="27" t="n"/>
      <c r="G241" s="14" t="n"/>
      <c r="H241" s="28" t="n"/>
      <c r="I241" s="14" t="n"/>
      <c r="J241" s="36" t="n"/>
      <c r="K241" s="22">
        <f>IF($A241="","",IF(AND($H241="Open",ISNUMBER($G241)),IF($G241&lt;Dashboard!$B$16,"△ Overdue, was due "&amp;TEXT($G241,"d mmm yyyy"),"Open, due "&amp;TEXT($G241,"d mmm yyyy")),$H241&amp;""))</f>
        <v/>
      </c>
      <c r="L241" s="22">
        <f>IF($A241="","",IF($M241=1,"△ Needs one owner and a date",IF($N241=1,"△ Overdue, was due "&amp;TEXT($G241,"d mmm yyyy"),IF($O241=1,"△ Moved "&amp;$J241&amp;" times","○ Clear"))))</f>
        <v/>
      </c>
      <c r="M241" s="9">
        <f>IF($A241="",0,IF(OR($H241="Done",$H241="Dropped"),0,IF(OR($F241="",AND($B241="Action",NOT(ISNUMBER($G241))),LEN($F241)-LEN(SUBSTITUTE($F241,"(",""))&gt;=2,ISNUMBER(SEARCH(" and ",$Q241)),ISNUMBER(FIND("/",$Q241)),ISNUMBER(FIND("&amp;",$Q241)),ISNUMBER(FIND(",",$Q241))),1,0)))</f>
        <v/>
      </c>
      <c r="N241" s="9">
        <f>IF($A241="",0,IF(AND($H241="Open",ISNUMBER($G241)),IF($G241&lt;Dashboard!$B$16,1,0),0))</f>
        <v/>
      </c>
      <c r="O241" s="9">
        <f>IF($A241="",0,IF(AND($H241="Open",ISNUMBER($J241)),IF($J241&gt;=Dashboard!$H$9,1,0),0))</f>
        <v/>
      </c>
      <c r="P241" s="9">
        <f>IF($M241+$N241+$O241&gt;0,1,0)</f>
        <v/>
      </c>
      <c r="Q241" s="9">
        <f>LEFT($F241,IFERROR(FIND("(",$F241)-1,LEN($F241)))</f>
        <v/>
      </c>
    </row>
    <row r="242" ht="18" customHeight="1">
      <c r="A242" s="28" t="n"/>
      <c r="B242" s="28" t="n"/>
      <c r="C242" s="28" t="n"/>
      <c r="D242" s="14" t="n"/>
      <c r="E242" s="27" t="n"/>
      <c r="F242" s="27" t="n"/>
      <c r="G242" s="14" t="n"/>
      <c r="H242" s="28" t="n"/>
      <c r="I242" s="14" t="n"/>
      <c r="J242" s="36" t="n"/>
      <c r="K242" s="22">
        <f>IF($A242="","",IF(AND($H242="Open",ISNUMBER($G242)),IF($G242&lt;Dashboard!$B$16,"△ Overdue, was due "&amp;TEXT($G242,"d mmm yyyy"),"Open, due "&amp;TEXT($G242,"d mmm yyyy")),$H242&amp;""))</f>
        <v/>
      </c>
      <c r="L242" s="22">
        <f>IF($A242="","",IF($M242=1,"△ Needs one owner and a date",IF($N242=1,"△ Overdue, was due "&amp;TEXT($G242,"d mmm yyyy"),IF($O242=1,"△ Moved "&amp;$J242&amp;" times","○ Clear"))))</f>
        <v/>
      </c>
      <c r="M242" s="9">
        <f>IF($A242="",0,IF(OR($H242="Done",$H242="Dropped"),0,IF(OR($F242="",AND($B242="Action",NOT(ISNUMBER($G242))),LEN($F242)-LEN(SUBSTITUTE($F242,"(",""))&gt;=2,ISNUMBER(SEARCH(" and ",$Q242)),ISNUMBER(FIND("/",$Q242)),ISNUMBER(FIND("&amp;",$Q242)),ISNUMBER(FIND(",",$Q242))),1,0)))</f>
        <v/>
      </c>
      <c r="N242" s="9">
        <f>IF($A242="",0,IF(AND($H242="Open",ISNUMBER($G242)),IF($G242&lt;Dashboard!$B$16,1,0),0))</f>
        <v/>
      </c>
      <c r="O242" s="9">
        <f>IF($A242="",0,IF(AND($H242="Open",ISNUMBER($J242)),IF($J242&gt;=Dashboard!$H$9,1,0),0))</f>
        <v/>
      </c>
      <c r="P242" s="9">
        <f>IF($M242+$N242+$O242&gt;0,1,0)</f>
        <v/>
      </c>
      <c r="Q242" s="9">
        <f>LEFT($F242,IFERROR(FIND("(",$F242)-1,LEN($F242)))</f>
        <v/>
      </c>
    </row>
    <row r="243" ht="18" customHeight="1">
      <c r="A243" s="28" t="n"/>
      <c r="B243" s="28" t="n"/>
      <c r="C243" s="28" t="n"/>
      <c r="D243" s="14" t="n"/>
      <c r="E243" s="27" t="n"/>
      <c r="F243" s="27" t="n"/>
      <c r="G243" s="14" t="n"/>
      <c r="H243" s="28" t="n"/>
      <c r="I243" s="14" t="n"/>
      <c r="J243" s="36" t="n"/>
      <c r="K243" s="22">
        <f>IF($A243="","",IF(AND($H243="Open",ISNUMBER($G243)),IF($G243&lt;Dashboard!$B$16,"△ Overdue, was due "&amp;TEXT($G243,"d mmm yyyy"),"Open, due "&amp;TEXT($G243,"d mmm yyyy")),$H243&amp;""))</f>
        <v/>
      </c>
      <c r="L243" s="22">
        <f>IF($A243="","",IF($M243=1,"△ Needs one owner and a date",IF($N243=1,"△ Overdue, was due "&amp;TEXT($G243,"d mmm yyyy"),IF($O243=1,"△ Moved "&amp;$J243&amp;" times","○ Clear"))))</f>
        <v/>
      </c>
      <c r="M243" s="9">
        <f>IF($A243="",0,IF(OR($H243="Done",$H243="Dropped"),0,IF(OR($F243="",AND($B243="Action",NOT(ISNUMBER($G243))),LEN($F243)-LEN(SUBSTITUTE($F243,"(",""))&gt;=2,ISNUMBER(SEARCH(" and ",$Q243)),ISNUMBER(FIND("/",$Q243)),ISNUMBER(FIND("&amp;",$Q243)),ISNUMBER(FIND(",",$Q243))),1,0)))</f>
        <v/>
      </c>
      <c r="N243" s="9">
        <f>IF($A243="",0,IF(AND($H243="Open",ISNUMBER($G243)),IF($G243&lt;Dashboard!$B$16,1,0),0))</f>
        <v/>
      </c>
      <c r="O243" s="9">
        <f>IF($A243="",0,IF(AND($H243="Open",ISNUMBER($J243)),IF($J243&gt;=Dashboard!$H$9,1,0),0))</f>
        <v/>
      </c>
      <c r="P243" s="9">
        <f>IF($M243+$N243+$O243&gt;0,1,0)</f>
        <v/>
      </c>
      <c r="Q243" s="9">
        <f>LEFT($F243,IFERROR(FIND("(",$F243)-1,LEN($F243)))</f>
        <v/>
      </c>
    </row>
    <row r="244" ht="18" customHeight="1">
      <c r="A244" s="28" t="n"/>
      <c r="B244" s="28" t="n"/>
      <c r="C244" s="28" t="n"/>
      <c r="D244" s="14" t="n"/>
      <c r="E244" s="27" t="n"/>
      <c r="F244" s="27" t="n"/>
      <c r="G244" s="14" t="n"/>
      <c r="H244" s="28" t="n"/>
      <c r="I244" s="14" t="n"/>
      <c r="J244" s="36" t="n"/>
      <c r="K244" s="22">
        <f>IF($A244="","",IF(AND($H244="Open",ISNUMBER($G244)),IF($G244&lt;Dashboard!$B$16,"△ Overdue, was due "&amp;TEXT($G244,"d mmm yyyy"),"Open, due "&amp;TEXT($G244,"d mmm yyyy")),$H244&amp;""))</f>
        <v/>
      </c>
      <c r="L244" s="22">
        <f>IF($A244="","",IF($M244=1,"△ Needs one owner and a date",IF($N244=1,"△ Overdue, was due "&amp;TEXT($G244,"d mmm yyyy"),IF($O244=1,"△ Moved "&amp;$J244&amp;" times","○ Clear"))))</f>
        <v/>
      </c>
      <c r="M244" s="9">
        <f>IF($A244="",0,IF(OR($H244="Done",$H244="Dropped"),0,IF(OR($F244="",AND($B244="Action",NOT(ISNUMBER($G244))),LEN($F244)-LEN(SUBSTITUTE($F244,"(",""))&gt;=2,ISNUMBER(SEARCH(" and ",$Q244)),ISNUMBER(FIND("/",$Q244)),ISNUMBER(FIND("&amp;",$Q244)),ISNUMBER(FIND(",",$Q244))),1,0)))</f>
        <v/>
      </c>
      <c r="N244" s="9">
        <f>IF($A244="",0,IF(AND($H244="Open",ISNUMBER($G244)),IF($G244&lt;Dashboard!$B$16,1,0),0))</f>
        <v/>
      </c>
      <c r="O244" s="9">
        <f>IF($A244="",0,IF(AND($H244="Open",ISNUMBER($J244)),IF($J244&gt;=Dashboard!$H$9,1,0),0))</f>
        <v/>
      </c>
      <c r="P244" s="9">
        <f>IF($M244+$N244+$O244&gt;0,1,0)</f>
        <v/>
      </c>
      <c r="Q244" s="9">
        <f>LEFT($F244,IFERROR(FIND("(",$F244)-1,LEN($F244)))</f>
        <v/>
      </c>
    </row>
    <row r="245" ht="18" customHeight="1">
      <c r="A245" s="28" t="n"/>
      <c r="B245" s="28" t="n"/>
      <c r="C245" s="28" t="n"/>
      <c r="D245" s="14" t="n"/>
      <c r="E245" s="27" t="n"/>
      <c r="F245" s="27" t="n"/>
      <c r="G245" s="14" t="n"/>
      <c r="H245" s="28" t="n"/>
      <c r="I245" s="14" t="n"/>
      <c r="J245" s="36" t="n"/>
      <c r="K245" s="22">
        <f>IF($A245="","",IF(AND($H245="Open",ISNUMBER($G245)),IF($G245&lt;Dashboard!$B$16,"△ Overdue, was due "&amp;TEXT($G245,"d mmm yyyy"),"Open, due "&amp;TEXT($G245,"d mmm yyyy")),$H245&amp;""))</f>
        <v/>
      </c>
      <c r="L245" s="22">
        <f>IF($A245="","",IF($M245=1,"△ Needs one owner and a date",IF($N245=1,"△ Overdue, was due "&amp;TEXT($G245,"d mmm yyyy"),IF($O245=1,"△ Moved "&amp;$J245&amp;" times","○ Clear"))))</f>
        <v/>
      </c>
      <c r="M245" s="9">
        <f>IF($A245="",0,IF(OR($H245="Done",$H245="Dropped"),0,IF(OR($F245="",AND($B245="Action",NOT(ISNUMBER($G245))),LEN($F245)-LEN(SUBSTITUTE($F245,"(",""))&gt;=2,ISNUMBER(SEARCH(" and ",$Q245)),ISNUMBER(FIND("/",$Q245)),ISNUMBER(FIND("&amp;",$Q245)),ISNUMBER(FIND(",",$Q245))),1,0)))</f>
        <v/>
      </c>
      <c r="N245" s="9">
        <f>IF($A245="",0,IF(AND($H245="Open",ISNUMBER($G245)),IF($G245&lt;Dashboard!$B$16,1,0),0))</f>
        <v/>
      </c>
      <c r="O245" s="9">
        <f>IF($A245="",0,IF(AND($H245="Open",ISNUMBER($J245)),IF($J245&gt;=Dashboard!$H$9,1,0),0))</f>
        <v/>
      </c>
      <c r="P245" s="9">
        <f>IF($M245+$N245+$O245&gt;0,1,0)</f>
        <v/>
      </c>
      <c r="Q245" s="9">
        <f>LEFT($F245,IFERROR(FIND("(",$F245)-1,LEN($F245)))</f>
        <v/>
      </c>
    </row>
    <row r="246" ht="18" customHeight="1">
      <c r="A246" s="28" t="n"/>
      <c r="B246" s="28" t="n"/>
      <c r="C246" s="28" t="n"/>
      <c r="D246" s="14" t="n"/>
      <c r="E246" s="27" t="n"/>
      <c r="F246" s="27" t="n"/>
      <c r="G246" s="14" t="n"/>
      <c r="H246" s="28" t="n"/>
      <c r="I246" s="14" t="n"/>
      <c r="J246" s="36" t="n"/>
      <c r="K246" s="22">
        <f>IF($A246="","",IF(AND($H246="Open",ISNUMBER($G246)),IF($G246&lt;Dashboard!$B$16,"△ Overdue, was due "&amp;TEXT($G246,"d mmm yyyy"),"Open, due "&amp;TEXT($G246,"d mmm yyyy")),$H246&amp;""))</f>
        <v/>
      </c>
      <c r="L246" s="22">
        <f>IF($A246="","",IF($M246=1,"△ Needs one owner and a date",IF($N246=1,"△ Overdue, was due "&amp;TEXT($G246,"d mmm yyyy"),IF($O246=1,"△ Moved "&amp;$J246&amp;" times","○ Clear"))))</f>
        <v/>
      </c>
      <c r="M246" s="9">
        <f>IF($A246="",0,IF(OR($H246="Done",$H246="Dropped"),0,IF(OR($F246="",AND($B246="Action",NOT(ISNUMBER($G246))),LEN($F246)-LEN(SUBSTITUTE($F246,"(",""))&gt;=2,ISNUMBER(SEARCH(" and ",$Q246)),ISNUMBER(FIND("/",$Q246)),ISNUMBER(FIND("&amp;",$Q246)),ISNUMBER(FIND(",",$Q246))),1,0)))</f>
        <v/>
      </c>
      <c r="N246" s="9">
        <f>IF($A246="",0,IF(AND($H246="Open",ISNUMBER($G246)),IF($G246&lt;Dashboard!$B$16,1,0),0))</f>
        <v/>
      </c>
      <c r="O246" s="9">
        <f>IF($A246="",0,IF(AND($H246="Open",ISNUMBER($J246)),IF($J246&gt;=Dashboard!$H$9,1,0),0))</f>
        <v/>
      </c>
      <c r="P246" s="9">
        <f>IF($M246+$N246+$O246&gt;0,1,0)</f>
        <v/>
      </c>
      <c r="Q246" s="9">
        <f>LEFT($F246,IFERROR(FIND("(",$F246)-1,LEN($F246)))</f>
        <v/>
      </c>
    </row>
    <row r="247" ht="18" customHeight="1">
      <c r="A247" s="28" t="n"/>
      <c r="B247" s="28" t="n"/>
      <c r="C247" s="28" t="n"/>
      <c r="D247" s="14" t="n"/>
      <c r="E247" s="27" t="n"/>
      <c r="F247" s="27" t="n"/>
      <c r="G247" s="14" t="n"/>
      <c r="H247" s="28" t="n"/>
      <c r="I247" s="14" t="n"/>
      <c r="J247" s="36" t="n"/>
      <c r="K247" s="22">
        <f>IF($A247="","",IF(AND($H247="Open",ISNUMBER($G247)),IF($G247&lt;Dashboard!$B$16,"△ Overdue, was due "&amp;TEXT($G247,"d mmm yyyy"),"Open, due "&amp;TEXT($G247,"d mmm yyyy")),$H247&amp;""))</f>
        <v/>
      </c>
      <c r="L247" s="22">
        <f>IF($A247="","",IF($M247=1,"△ Needs one owner and a date",IF($N247=1,"△ Overdue, was due "&amp;TEXT($G247,"d mmm yyyy"),IF($O247=1,"△ Moved "&amp;$J247&amp;" times","○ Clear"))))</f>
        <v/>
      </c>
      <c r="M247" s="9">
        <f>IF($A247="",0,IF(OR($H247="Done",$H247="Dropped"),0,IF(OR($F247="",AND($B247="Action",NOT(ISNUMBER($G247))),LEN($F247)-LEN(SUBSTITUTE($F247,"(",""))&gt;=2,ISNUMBER(SEARCH(" and ",$Q247)),ISNUMBER(FIND("/",$Q247)),ISNUMBER(FIND("&amp;",$Q247)),ISNUMBER(FIND(",",$Q247))),1,0)))</f>
        <v/>
      </c>
      <c r="N247" s="9">
        <f>IF($A247="",0,IF(AND($H247="Open",ISNUMBER($G247)),IF($G247&lt;Dashboard!$B$16,1,0),0))</f>
        <v/>
      </c>
      <c r="O247" s="9">
        <f>IF($A247="",0,IF(AND($H247="Open",ISNUMBER($J247)),IF($J247&gt;=Dashboard!$H$9,1,0),0))</f>
        <v/>
      </c>
      <c r="P247" s="9">
        <f>IF($M247+$N247+$O247&gt;0,1,0)</f>
        <v/>
      </c>
      <c r="Q247" s="9">
        <f>LEFT($F247,IFERROR(FIND("(",$F247)-1,LEN($F247)))</f>
        <v/>
      </c>
    </row>
    <row r="248" ht="18" customHeight="1">
      <c r="A248" s="28" t="n"/>
      <c r="B248" s="28" t="n"/>
      <c r="C248" s="28" t="n"/>
      <c r="D248" s="14" t="n"/>
      <c r="E248" s="27" t="n"/>
      <c r="F248" s="27" t="n"/>
      <c r="G248" s="14" t="n"/>
      <c r="H248" s="28" t="n"/>
      <c r="I248" s="14" t="n"/>
      <c r="J248" s="36" t="n"/>
      <c r="K248" s="22">
        <f>IF($A248="","",IF(AND($H248="Open",ISNUMBER($G248)),IF($G248&lt;Dashboard!$B$16,"△ Overdue, was due "&amp;TEXT($G248,"d mmm yyyy"),"Open, due "&amp;TEXT($G248,"d mmm yyyy")),$H248&amp;""))</f>
        <v/>
      </c>
      <c r="L248" s="22">
        <f>IF($A248="","",IF($M248=1,"△ Needs one owner and a date",IF($N248=1,"△ Overdue, was due "&amp;TEXT($G248,"d mmm yyyy"),IF($O248=1,"△ Moved "&amp;$J248&amp;" times","○ Clear"))))</f>
        <v/>
      </c>
      <c r="M248" s="9">
        <f>IF($A248="",0,IF(OR($H248="Done",$H248="Dropped"),0,IF(OR($F248="",AND($B248="Action",NOT(ISNUMBER($G248))),LEN($F248)-LEN(SUBSTITUTE($F248,"(",""))&gt;=2,ISNUMBER(SEARCH(" and ",$Q248)),ISNUMBER(FIND("/",$Q248)),ISNUMBER(FIND("&amp;",$Q248)),ISNUMBER(FIND(",",$Q248))),1,0)))</f>
        <v/>
      </c>
      <c r="N248" s="9">
        <f>IF($A248="",0,IF(AND($H248="Open",ISNUMBER($G248)),IF($G248&lt;Dashboard!$B$16,1,0),0))</f>
        <v/>
      </c>
      <c r="O248" s="9">
        <f>IF($A248="",0,IF(AND($H248="Open",ISNUMBER($J248)),IF($J248&gt;=Dashboard!$H$9,1,0),0))</f>
        <v/>
      </c>
      <c r="P248" s="9">
        <f>IF($M248+$N248+$O248&gt;0,1,0)</f>
        <v/>
      </c>
      <c r="Q248" s="9">
        <f>LEFT($F248,IFERROR(FIND("(",$F248)-1,LEN($F248)))</f>
        <v/>
      </c>
    </row>
    <row r="249" ht="18" customHeight="1">
      <c r="A249" s="28" t="n"/>
      <c r="B249" s="28" t="n"/>
      <c r="C249" s="28" t="n"/>
      <c r="D249" s="14" t="n"/>
      <c r="E249" s="27" t="n"/>
      <c r="F249" s="27" t="n"/>
      <c r="G249" s="14" t="n"/>
      <c r="H249" s="28" t="n"/>
      <c r="I249" s="14" t="n"/>
      <c r="J249" s="36" t="n"/>
      <c r="K249" s="22">
        <f>IF($A249="","",IF(AND($H249="Open",ISNUMBER($G249)),IF($G249&lt;Dashboard!$B$16,"△ Overdue, was due "&amp;TEXT($G249,"d mmm yyyy"),"Open, due "&amp;TEXT($G249,"d mmm yyyy")),$H249&amp;""))</f>
        <v/>
      </c>
      <c r="L249" s="22">
        <f>IF($A249="","",IF($M249=1,"△ Needs one owner and a date",IF($N249=1,"△ Overdue, was due "&amp;TEXT($G249,"d mmm yyyy"),IF($O249=1,"△ Moved "&amp;$J249&amp;" times","○ Clear"))))</f>
        <v/>
      </c>
      <c r="M249" s="9">
        <f>IF($A249="",0,IF(OR($H249="Done",$H249="Dropped"),0,IF(OR($F249="",AND($B249="Action",NOT(ISNUMBER($G249))),LEN($F249)-LEN(SUBSTITUTE($F249,"(",""))&gt;=2,ISNUMBER(SEARCH(" and ",$Q249)),ISNUMBER(FIND("/",$Q249)),ISNUMBER(FIND("&amp;",$Q249)),ISNUMBER(FIND(",",$Q249))),1,0)))</f>
        <v/>
      </c>
      <c r="N249" s="9">
        <f>IF($A249="",0,IF(AND($H249="Open",ISNUMBER($G249)),IF($G249&lt;Dashboard!$B$16,1,0),0))</f>
        <v/>
      </c>
      <c r="O249" s="9">
        <f>IF($A249="",0,IF(AND($H249="Open",ISNUMBER($J249)),IF($J249&gt;=Dashboard!$H$9,1,0),0))</f>
        <v/>
      </c>
      <c r="P249" s="9">
        <f>IF($M249+$N249+$O249&gt;0,1,0)</f>
        <v/>
      </c>
      <c r="Q249" s="9">
        <f>LEFT($F249,IFERROR(FIND("(",$F249)-1,LEN($F249)))</f>
        <v/>
      </c>
    </row>
    <row r="250" ht="18" customHeight="1">
      <c r="A250" s="28" t="n"/>
      <c r="B250" s="28" t="n"/>
      <c r="C250" s="28" t="n"/>
      <c r="D250" s="14" t="n"/>
      <c r="E250" s="27" t="n"/>
      <c r="F250" s="27" t="n"/>
      <c r="G250" s="14" t="n"/>
      <c r="H250" s="28" t="n"/>
      <c r="I250" s="14" t="n"/>
      <c r="J250" s="36" t="n"/>
      <c r="K250" s="22">
        <f>IF($A250="","",IF(AND($H250="Open",ISNUMBER($G250)),IF($G250&lt;Dashboard!$B$16,"△ Overdue, was due "&amp;TEXT($G250,"d mmm yyyy"),"Open, due "&amp;TEXT($G250,"d mmm yyyy")),$H250&amp;""))</f>
        <v/>
      </c>
      <c r="L250" s="22">
        <f>IF($A250="","",IF($M250=1,"△ Needs one owner and a date",IF($N250=1,"△ Overdue, was due "&amp;TEXT($G250,"d mmm yyyy"),IF($O250=1,"△ Moved "&amp;$J250&amp;" times","○ Clear"))))</f>
        <v/>
      </c>
      <c r="M250" s="9">
        <f>IF($A250="",0,IF(OR($H250="Done",$H250="Dropped"),0,IF(OR($F250="",AND($B250="Action",NOT(ISNUMBER($G250))),LEN($F250)-LEN(SUBSTITUTE($F250,"(",""))&gt;=2,ISNUMBER(SEARCH(" and ",$Q250)),ISNUMBER(FIND("/",$Q250)),ISNUMBER(FIND("&amp;",$Q250)),ISNUMBER(FIND(",",$Q250))),1,0)))</f>
        <v/>
      </c>
      <c r="N250" s="9">
        <f>IF($A250="",0,IF(AND($H250="Open",ISNUMBER($G250)),IF($G250&lt;Dashboard!$B$16,1,0),0))</f>
        <v/>
      </c>
      <c r="O250" s="9">
        <f>IF($A250="",0,IF(AND($H250="Open",ISNUMBER($J250)),IF($J250&gt;=Dashboard!$H$9,1,0),0))</f>
        <v/>
      </c>
      <c r="P250" s="9">
        <f>IF($M250+$N250+$O250&gt;0,1,0)</f>
        <v/>
      </c>
      <c r="Q250" s="9">
        <f>LEFT($F250,IFERROR(FIND("(",$F250)-1,LEN($F250)))</f>
        <v/>
      </c>
    </row>
    <row r="251" ht="18" customHeight="1">
      <c r="A251" s="28" t="n"/>
      <c r="B251" s="28" t="n"/>
      <c r="C251" s="28" t="n"/>
      <c r="D251" s="14" t="n"/>
      <c r="E251" s="27" t="n"/>
      <c r="F251" s="27" t="n"/>
      <c r="G251" s="14" t="n"/>
      <c r="H251" s="28" t="n"/>
      <c r="I251" s="14" t="n"/>
      <c r="J251" s="36" t="n"/>
      <c r="K251" s="22">
        <f>IF($A251="","",IF(AND($H251="Open",ISNUMBER($G251)),IF($G251&lt;Dashboard!$B$16,"△ Overdue, was due "&amp;TEXT($G251,"d mmm yyyy"),"Open, due "&amp;TEXT($G251,"d mmm yyyy")),$H251&amp;""))</f>
        <v/>
      </c>
      <c r="L251" s="22">
        <f>IF($A251="","",IF($M251=1,"△ Needs one owner and a date",IF($N251=1,"△ Overdue, was due "&amp;TEXT($G251,"d mmm yyyy"),IF($O251=1,"△ Moved "&amp;$J251&amp;" times","○ Clear"))))</f>
        <v/>
      </c>
      <c r="M251" s="9">
        <f>IF($A251="",0,IF(OR($H251="Done",$H251="Dropped"),0,IF(OR($F251="",AND($B251="Action",NOT(ISNUMBER($G251))),LEN($F251)-LEN(SUBSTITUTE($F251,"(",""))&gt;=2,ISNUMBER(SEARCH(" and ",$Q251)),ISNUMBER(FIND("/",$Q251)),ISNUMBER(FIND("&amp;",$Q251)),ISNUMBER(FIND(",",$Q251))),1,0)))</f>
        <v/>
      </c>
      <c r="N251" s="9">
        <f>IF($A251="",0,IF(AND($H251="Open",ISNUMBER($G251)),IF($G251&lt;Dashboard!$B$16,1,0),0))</f>
        <v/>
      </c>
      <c r="O251" s="9">
        <f>IF($A251="",0,IF(AND($H251="Open",ISNUMBER($J251)),IF($J251&gt;=Dashboard!$H$9,1,0),0))</f>
        <v/>
      </c>
      <c r="P251" s="9">
        <f>IF($M251+$N251+$O251&gt;0,1,0)</f>
        <v/>
      </c>
      <c r="Q251" s="9">
        <f>LEFT($F251,IFERROR(FIND("(",$F251)-1,LEN($F251)))</f>
        <v/>
      </c>
    </row>
    <row r="252" ht="18" customHeight="1">
      <c r="A252" s="28" t="n"/>
      <c r="B252" s="28" t="n"/>
      <c r="C252" s="28" t="n"/>
      <c r="D252" s="14" t="n"/>
      <c r="E252" s="27" t="n"/>
      <c r="F252" s="27" t="n"/>
      <c r="G252" s="14" t="n"/>
      <c r="H252" s="28" t="n"/>
      <c r="I252" s="14" t="n"/>
      <c r="J252" s="36" t="n"/>
      <c r="K252" s="22">
        <f>IF($A252="","",IF(AND($H252="Open",ISNUMBER($G252)),IF($G252&lt;Dashboard!$B$16,"△ Overdue, was due "&amp;TEXT($G252,"d mmm yyyy"),"Open, due "&amp;TEXT($G252,"d mmm yyyy")),$H252&amp;""))</f>
        <v/>
      </c>
      <c r="L252" s="22">
        <f>IF($A252="","",IF($M252=1,"△ Needs one owner and a date",IF($N252=1,"△ Overdue, was due "&amp;TEXT($G252,"d mmm yyyy"),IF($O252=1,"△ Moved "&amp;$J252&amp;" times","○ Clear"))))</f>
        <v/>
      </c>
      <c r="M252" s="9">
        <f>IF($A252="",0,IF(OR($H252="Done",$H252="Dropped"),0,IF(OR($F252="",AND($B252="Action",NOT(ISNUMBER($G252))),LEN($F252)-LEN(SUBSTITUTE($F252,"(",""))&gt;=2,ISNUMBER(SEARCH(" and ",$Q252)),ISNUMBER(FIND("/",$Q252)),ISNUMBER(FIND("&amp;",$Q252)),ISNUMBER(FIND(",",$Q252))),1,0)))</f>
        <v/>
      </c>
      <c r="N252" s="9">
        <f>IF($A252="",0,IF(AND($H252="Open",ISNUMBER($G252)),IF($G252&lt;Dashboard!$B$16,1,0),0))</f>
        <v/>
      </c>
      <c r="O252" s="9">
        <f>IF($A252="",0,IF(AND($H252="Open",ISNUMBER($J252)),IF($J252&gt;=Dashboard!$H$9,1,0),0))</f>
        <v/>
      </c>
      <c r="P252" s="9">
        <f>IF($M252+$N252+$O252&gt;0,1,0)</f>
        <v/>
      </c>
      <c r="Q252" s="9">
        <f>LEFT($F252,IFERROR(FIND("(",$F252)-1,LEN($F252)))</f>
        <v/>
      </c>
    </row>
    <row r="253" ht="18" customHeight="1">
      <c r="A253" s="28" t="n"/>
      <c r="B253" s="28" t="n"/>
      <c r="C253" s="28" t="n"/>
      <c r="D253" s="14" t="n"/>
      <c r="E253" s="27" t="n"/>
      <c r="F253" s="27" t="n"/>
      <c r="G253" s="14" t="n"/>
      <c r="H253" s="28" t="n"/>
      <c r="I253" s="14" t="n"/>
      <c r="J253" s="36" t="n"/>
      <c r="K253" s="22">
        <f>IF($A253="","",IF(AND($H253="Open",ISNUMBER($G253)),IF($G253&lt;Dashboard!$B$16,"△ Overdue, was due "&amp;TEXT($G253,"d mmm yyyy"),"Open, due "&amp;TEXT($G253,"d mmm yyyy")),$H253&amp;""))</f>
        <v/>
      </c>
      <c r="L253" s="22">
        <f>IF($A253="","",IF($M253=1,"△ Needs one owner and a date",IF($N253=1,"△ Overdue, was due "&amp;TEXT($G253,"d mmm yyyy"),IF($O253=1,"△ Moved "&amp;$J253&amp;" times","○ Clear"))))</f>
        <v/>
      </c>
      <c r="M253" s="9">
        <f>IF($A253="",0,IF(OR($H253="Done",$H253="Dropped"),0,IF(OR($F253="",AND($B253="Action",NOT(ISNUMBER($G253))),LEN($F253)-LEN(SUBSTITUTE($F253,"(",""))&gt;=2,ISNUMBER(SEARCH(" and ",$Q253)),ISNUMBER(FIND("/",$Q253)),ISNUMBER(FIND("&amp;",$Q253)),ISNUMBER(FIND(",",$Q253))),1,0)))</f>
        <v/>
      </c>
      <c r="N253" s="9">
        <f>IF($A253="",0,IF(AND($H253="Open",ISNUMBER($G253)),IF($G253&lt;Dashboard!$B$16,1,0),0))</f>
        <v/>
      </c>
      <c r="O253" s="9">
        <f>IF($A253="",0,IF(AND($H253="Open",ISNUMBER($J253)),IF($J253&gt;=Dashboard!$H$9,1,0),0))</f>
        <v/>
      </c>
      <c r="P253" s="9">
        <f>IF($M253+$N253+$O253&gt;0,1,0)</f>
        <v/>
      </c>
      <c r="Q253" s="9">
        <f>LEFT($F253,IFERROR(FIND("(",$F253)-1,LEN($F253)))</f>
        <v/>
      </c>
    </row>
    <row r="254" ht="18" customHeight="1">
      <c r="A254" s="28" t="n"/>
      <c r="B254" s="28" t="n"/>
      <c r="C254" s="28" t="n"/>
      <c r="D254" s="14" t="n"/>
      <c r="E254" s="27" t="n"/>
      <c r="F254" s="27" t="n"/>
      <c r="G254" s="14" t="n"/>
      <c r="H254" s="28" t="n"/>
      <c r="I254" s="14" t="n"/>
      <c r="J254" s="36" t="n"/>
      <c r="K254" s="22">
        <f>IF($A254="","",IF(AND($H254="Open",ISNUMBER($G254)),IF($G254&lt;Dashboard!$B$16,"△ Overdue, was due "&amp;TEXT($G254,"d mmm yyyy"),"Open, due "&amp;TEXT($G254,"d mmm yyyy")),$H254&amp;""))</f>
        <v/>
      </c>
      <c r="L254" s="22">
        <f>IF($A254="","",IF($M254=1,"△ Needs one owner and a date",IF($N254=1,"△ Overdue, was due "&amp;TEXT($G254,"d mmm yyyy"),IF($O254=1,"△ Moved "&amp;$J254&amp;" times","○ Clear"))))</f>
        <v/>
      </c>
      <c r="M254" s="9">
        <f>IF($A254="",0,IF(OR($H254="Done",$H254="Dropped"),0,IF(OR($F254="",AND($B254="Action",NOT(ISNUMBER($G254))),LEN($F254)-LEN(SUBSTITUTE($F254,"(",""))&gt;=2,ISNUMBER(SEARCH(" and ",$Q254)),ISNUMBER(FIND("/",$Q254)),ISNUMBER(FIND("&amp;",$Q254)),ISNUMBER(FIND(",",$Q254))),1,0)))</f>
        <v/>
      </c>
      <c r="N254" s="9">
        <f>IF($A254="",0,IF(AND($H254="Open",ISNUMBER($G254)),IF($G254&lt;Dashboard!$B$16,1,0),0))</f>
        <v/>
      </c>
      <c r="O254" s="9">
        <f>IF($A254="",0,IF(AND($H254="Open",ISNUMBER($J254)),IF($J254&gt;=Dashboard!$H$9,1,0),0))</f>
        <v/>
      </c>
      <c r="P254" s="9">
        <f>IF($M254+$N254+$O254&gt;0,1,0)</f>
        <v/>
      </c>
      <c r="Q254" s="9">
        <f>LEFT($F254,IFERROR(FIND("(",$F254)-1,LEN($F254)))</f>
        <v/>
      </c>
    </row>
    <row r="255" ht="18" customHeight="1">
      <c r="A255" s="28" t="n"/>
      <c r="B255" s="28" t="n"/>
      <c r="C255" s="28" t="n"/>
      <c r="D255" s="14" t="n"/>
      <c r="E255" s="27" t="n"/>
      <c r="F255" s="27" t="n"/>
      <c r="G255" s="14" t="n"/>
      <c r="H255" s="28" t="n"/>
      <c r="I255" s="14" t="n"/>
      <c r="J255" s="36" t="n"/>
      <c r="K255" s="22">
        <f>IF($A255="","",IF(AND($H255="Open",ISNUMBER($G255)),IF($G255&lt;Dashboard!$B$16,"△ Overdue, was due "&amp;TEXT($G255,"d mmm yyyy"),"Open, due "&amp;TEXT($G255,"d mmm yyyy")),$H255&amp;""))</f>
        <v/>
      </c>
      <c r="L255" s="22">
        <f>IF($A255="","",IF($M255=1,"△ Needs one owner and a date",IF($N255=1,"△ Overdue, was due "&amp;TEXT($G255,"d mmm yyyy"),IF($O255=1,"△ Moved "&amp;$J255&amp;" times","○ Clear"))))</f>
        <v/>
      </c>
      <c r="M255" s="9">
        <f>IF($A255="",0,IF(OR($H255="Done",$H255="Dropped"),0,IF(OR($F255="",AND($B255="Action",NOT(ISNUMBER($G255))),LEN($F255)-LEN(SUBSTITUTE($F255,"(",""))&gt;=2,ISNUMBER(SEARCH(" and ",$Q255)),ISNUMBER(FIND("/",$Q255)),ISNUMBER(FIND("&amp;",$Q255)),ISNUMBER(FIND(",",$Q255))),1,0)))</f>
        <v/>
      </c>
      <c r="N255" s="9">
        <f>IF($A255="",0,IF(AND($H255="Open",ISNUMBER($G255)),IF($G255&lt;Dashboard!$B$16,1,0),0))</f>
        <v/>
      </c>
      <c r="O255" s="9">
        <f>IF($A255="",0,IF(AND($H255="Open",ISNUMBER($J255)),IF($J255&gt;=Dashboard!$H$9,1,0),0))</f>
        <v/>
      </c>
      <c r="P255" s="9">
        <f>IF($M255+$N255+$O255&gt;0,1,0)</f>
        <v/>
      </c>
      <c r="Q255" s="9">
        <f>LEFT($F255,IFERROR(FIND("(",$F255)-1,LEN($F255)))</f>
        <v/>
      </c>
    </row>
    <row r="256" ht="18" customHeight="1">
      <c r="A256" s="28" t="n"/>
      <c r="B256" s="28" t="n"/>
      <c r="C256" s="28" t="n"/>
      <c r="D256" s="14" t="n"/>
      <c r="E256" s="27" t="n"/>
      <c r="F256" s="27" t="n"/>
      <c r="G256" s="14" t="n"/>
      <c r="H256" s="28" t="n"/>
      <c r="I256" s="14" t="n"/>
      <c r="J256" s="36" t="n"/>
      <c r="K256" s="22">
        <f>IF($A256="","",IF(AND($H256="Open",ISNUMBER($G256)),IF($G256&lt;Dashboard!$B$16,"△ Overdue, was due "&amp;TEXT($G256,"d mmm yyyy"),"Open, due "&amp;TEXT($G256,"d mmm yyyy")),$H256&amp;""))</f>
        <v/>
      </c>
      <c r="L256" s="22">
        <f>IF($A256="","",IF($M256=1,"△ Needs one owner and a date",IF($N256=1,"△ Overdue, was due "&amp;TEXT($G256,"d mmm yyyy"),IF($O256=1,"△ Moved "&amp;$J256&amp;" times","○ Clear"))))</f>
        <v/>
      </c>
      <c r="M256" s="9">
        <f>IF($A256="",0,IF(OR($H256="Done",$H256="Dropped"),0,IF(OR($F256="",AND($B256="Action",NOT(ISNUMBER($G256))),LEN($F256)-LEN(SUBSTITUTE($F256,"(",""))&gt;=2,ISNUMBER(SEARCH(" and ",$Q256)),ISNUMBER(FIND("/",$Q256)),ISNUMBER(FIND("&amp;",$Q256)),ISNUMBER(FIND(",",$Q256))),1,0)))</f>
        <v/>
      </c>
      <c r="N256" s="9">
        <f>IF($A256="",0,IF(AND($H256="Open",ISNUMBER($G256)),IF($G256&lt;Dashboard!$B$16,1,0),0))</f>
        <v/>
      </c>
      <c r="O256" s="9">
        <f>IF($A256="",0,IF(AND($H256="Open",ISNUMBER($J256)),IF($J256&gt;=Dashboard!$H$9,1,0),0))</f>
        <v/>
      </c>
      <c r="P256" s="9">
        <f>IF($M256+$N256+$O256&gt;0,1,0)</f>
        <v/>
      </c>
      <c r="Q256" s="9">
        <f>LEFT($F256,IFERROR(FIND("(",$F256)-1,LEN($F256)))</f>
        <v/>
      </c>
    </row>
    <row r="257" ht="18" customHeight="1">
      <c r="A257" s="28" t="n"/>
      <c r="B257" s="28" t="n"/>
      <c r="C257" s="28" t="n"/>
      <c r="D257" s="14" t="n"/>
      <c r="E257" s="27" t="n"/>
      <c r="F257" s="27" t="n"/>
      <c r="G257" s="14" t="n"/>
      <c r="H257" s="28" t="n"/>
      <c r="I257" s="14" t="n"/>
      <c r="J257" s="36" t="n"/>
      <c r="K257" s="22">
        <f>IF($A257="","",IF(AND($H257="Open",ISNUMBER($G257)),IF($G257&lt;Dashboard!$B$16,"△ Overdue, was due "&amp;TEXT($G257,"d mmm yyyy"),"Open, due "&amp;TEXT($G257,"d mmm yyyy")),$H257&amp;""))</f>
        <v/>
      </c>
      <c r="L257" s="22">
        <f>IF($A257="","",IF($M257=1,"△ Needs one owner and a date",IF($N257=1,"△ Overdue, was due "&amp;TEXT($G257,"d mmm yyyy"),IF($O257=1,"△ Moved "&amp;$J257&amp;" times","○ Clear"))))</f>
        <v/>
      </c>
      <c r="M257" s="9">
        <f>IF($A257="",0,IF(OR($H257="Done",$H257="Dropped"),0,IF(OR($F257="",AND($B257="Action",NOT(ISNUMBER($G257))),LEN($F257)-LEN(SUBSTITUTE($F257,"(",""))&gt;=2,ISNUMBER(SEARCH(" and ",$Q257)),ISNUMBER(FIND("/",$Q257)),ISNUMBER(FIND("&amp;",$Q257)),ISNUMBER(FIND(",",$Q257))),1,0)))</f>
        <v/>
      </c>
      <c r="N257" s="9">
        <f>IF($A257="",0,IF(AND($H257="Open",ISNUMBER($G257)),IF($G257&lt;Dashboard!$B$16,1,0),0))</f>
        <v/>
      </c>
      <c r="O257" s="9">
        <f>IF($A257="",0,IF(AND($H257="Open",ISNUMBER($J257)),IF($J257&gt;=Dashboard!$H$9,1,0),0))</f>
        <v/>
      </c>
      <c r="P257" s="9">
        <f>IF($M257+$N257+$O257&gt;0,1,0)</f>
        <v/>
      </c>
      <c r="Q257" s="9">
        <f>LEFT($F257,IFERROR(FIND("(",$F257)-1,LEN($F257)))</f>
        <v/>
      </c>
    </row>
    <row r="258" ht="18" customHeight="1">
      <c r="A258" s="28" t="n"/>
      <c r="B258" s="28" t="n"/>
      <c r="C258" s="28" t="n"/>
      <c r="D258" s="14" t="n"/>
      <c r="E258" s="27" t="n"/>
      <c r="F258" s="27" t="n"/>
      <c r="G258" s="14" t="n"/>
      <c r="H258" s="28" t="n"/>
      <c r="I258" s="14" t="n"/>
      <c r="J258" s="36" t="n"/>
      <c r="K258" s="22">
        <f>IF($A258="","",IF(AND($H258="Open",ISNUMBER($G258)),IF($G258&lt;Dashboard!$B$16,"△ Overdue, was due "&amp;TEXT($G258,"d mmm yyyy"),"Open, due "&amp;TEXT($G258,"d mmm yyyy")),$H258&amp;""))</f>
        <v/>
      </c>
      <c r="L258" s="22">
        <f>IF($A258="","",IF($M258=1,"△ Needs one owner and a date",IF($N258=1,"△ Overdue, was due "&amp;TEXT($G258,"d mmm yyyy"),IF($O258=1,"△ Moved "&amp;$J258&amp;" times","○ Clear"))))</f>
        <v/>
      </c>
      <c r="M258" s="9">
        <f>IF($A258="",0,IF(OR($H258="Done",$H258="Dropped"),0,IF(OR($F258="",AND($B258="Action",NOT(ISNUMBER($G258))),LEN($F258)-LEN(SUBSTITUTE($F258,"(",""))&gt;=2,ISNUMBER(SEARCH(" and ",$Q258)),ISNUMBER(FIND("/",$Q258)),ISNUMBER(FIND("&amp;",$Q258)),ISNUMBER(FIND(",",$Q258))),1,0)))</f>
        <v/>
      </c>
      <c r="N258" s="9">
        <f>IF($A258="",0,IF(AND($H258="Open",ISNUMBER($G258)),IF($G258&lt;Dashboard!$B$16,1,0),0))</f>
        <v/>
      </c>
      <c r="O258" s="9">
        <f>IF($A258="",0,IF(AND($H258="Open",ISNUMBER($J258)),IF($J258&gt;=Dashboard!$H$9,1,0),0))</f>
        <v/>
      </c>
      <c r="P258" s="9">
        <f>IF($M258+$N258+$O258&gt;0,1,0)</f>
        <v/>
      </c>
      <c r="Q258" s="9">
        <f>LEFT($F258,IFERROR(FIND("(",$F258)-1,LEN($F258)))</f>
        <v/>
      </c>
    </row>
    <row r="259" ht="18" customHeight="1">
      <c r="A259" s="28" t="n"/>
      <c r="B259" s="28" t="n"/>
      <c r="C259" s="28" t="n"/>
      <c r="D259" s="14" t="n"/>
      <c r="E259" s="27" t="n"/>
      <c r="F259" s="27" t="n"/>
      <c r="G259" s="14" t="n"/>
      <c r="H259" s="28" t="n"/>
      <c r="I259" s="14" t="n"/>
      <c r="J259" s="36" t="n"/>
      <c r="K259" s="22">
        <f>IF($A259="","",IF(AND($H259="Open",ISNUMBER($G259)),IF($G259&lt;Dashboard!$B$16,"△ Overdue, was due "&amp;TEXT($G259,"d mmm yyyy"),"Open, due "&amp;TEXT($G259,"d mmm yyyy")),$H259&amp;""))</f>
        <v/>
      </c>
      <c r="L259" s="22">
        <f>IF($A259="","",IF($M259=1,"△ Needs one owner and a date",IF($N259=1,"△ Overdue, was due "&amp;TEXT($G259,"d mmm yyyy"),IF($O259=1,"△ Moved "&amp;$J259&amp;" times","○ Clear"))))</f>
        <v/>
      </c>
      <c r="M259" s="9">
        <f>IF($A259="",0,IF(OR($H259="Done",$H259="Dropped"),0,IF(OR($F259="",AND($B259="Action",NOT(ISNUMBER($G259))),LEN($F259)-LEN(SUBSTITUTE($F259,"(",""))&gt;=2,ISNUMBER(SEARCH(" and ",$Q259)),ISNUMBER(FIND("/",$Q259)),ISNUMBER(FIND("&amp;",$Q259)),ISNUMBER(FIND(",",$Q259))),1,0)))</f>
        <v/>
      </c>
      <c r="N259" s="9">
        <f>IF($A259="",0,IF(AND($H259="Open",ISNUMBER($G259)),IF($G259&lt;Dashboard!$B$16,1,0),0))</f>
        <v/>
      </c>
      <c r="O259" s="9">
        <f>IF($A259="",0,IF(AND($H259="Open",ISNUMBER($J259)),IF($J259&gt;=Dashboard!$H$9,1,0),0))</f>
        <v/>
      </c>
      <c r="P259" s="9">
        <f>IF($M259+$N259+$O259&gt;0,1,0)</f>
        <v/>
      </c>
      <c r="Q259" s="9">
        <f>LEFT($F259,IFERROR(FIND("(",$F259)-1,LEN($F259)))</f>
        <v/>
      </c>
    </row>
    <row r="260" ht="18" customHeight="1">
      <c r="A260" s="28" t="n"/>
      <c r="B260" s="28" t="n"/>
      <c r="C260" s="28" t="n"/>
      <c r="D260" s="14" t="n"/>
      <c r="E260" s="27" t="n"/>
      <c r="F260" s="27" t="n"/>
      <c r="G260" s="14" t="n"/>
      <c r="H260" s="28" t="n"/>
      <c r="I260" s="14" t="n"/>
      <c r="J260" s="36" t="n"/>
      <c r="K260" s="22">
        <f>IF($A260="","",IF(AND($H260="Open",ISNUMBER($G260)),IF($G260&lt;Dashboard!$B$16,"△ Overdue, was due "&amp;TEXT($G260,"d mmm yyyy"),"Open, due "&amp;TEXT($G260,"d mmm yyyy")),$H260&amp;""))</f>
        <v/>
      </c>
      <c r="L260" s="22">
        <f>IF($A260="","",IF($M260=1,"△ Needs one owner and a date",IF($N260=1,"△ Overdue, was due "&amp;TEXT($G260,"d mmm yyyy"),IF($O260=1,"△ Moved "&amp;$J260&amp;" times","○ Clear"))))</f>
        <v/>
      </c>
      <c r="M260" s="9">
        <f>IF($A260="",0,IF(OR($H260="Done",$H260="Dropped"),0,IF(OR($F260="",AND($B260="Action",NOT(ISNUMBER($G260))),LEN($F260)-LEN(SUBSTITUTE($F260,"(",""))&gt;=2,ISNUMBER(SEARCH(" and ",$Q260)),ISNUMBER(FIND("/",$Q260)),ISNUMBER(FIND("&amp;",$Q260)),ISNUMBER(FIND(",",$Q260))),1,0)))</f>
        <v/>
      </c>
      <c r="N260" s="9">
        <f>IF($A260="",0,IF(AND($H260="Open",ISNUMBER($G260)),IF($G260&lt;Dashboard!$B$16,1,0),0))</f>
        <v/>
      </c>
      <c r="O260" s="9">
        <f>IF($A260="",0,IF(AND($H260="Open",ISNUMBER($J260)),IF($J260&gt;=Dashboard!$H$9,1,0),0))</f>
        <v/>
      </c>
      <c r="P260" s="9">
        <f>IF($M260+$N260+$O260&gt;0,1,0)</f>
        <v/>
      </c>
      <c r="Q260" s="9">
        <f>LEFT($F260,IFERROR(FIND("(",$F260)-1,LEN($F260)))</f>
        <v/>
      </c>
    </row>
    <row r="261" ht="18" customHeight="1">
      <c r="A261" s="28" t="n"/>
      <c r="B261" s="28" t="n"/>
      <c r="C261" s="28" t="n"/>
      <c r="D261" s="14" t="n"/>
      <c r="E261" s="27" t="n"/>
      <c r="F261" s="27" t="n"/>
      <c r="G261" s="14" t="n"/>
      <c r="H261" s="28" t="n"/>
      <c r="I261" s="14" t="n"/>
      <c r="J261" s="36" t="n"/>
      <c r="K261" s="22">
        <f>IF($A261="","",IF(AND($H261="Open",ISNUMBER($G261)),IF($G261&lt;Dashboard!$B$16,"△ Overdue, was due "&amp;TEXT($G261,"d mmm yyyy"),"Open, due "&amp;TEXT($G261,"d mmm yyyy")),$H261&amp;""))</f>
        <v/>
      </c>
      <c r="L261" s="22">
        <f>IF($A261="","",IF($M261=1,"△ Needs one owner and a date",IF($N261=1,"△ Overdue, was due "&amp;TEXT($G261,"d mmm yyyy"),IF($O261=1,"△ Moved "&amp;$J261&amp;" times","○ Clear"))))</f>
        <v/>
      </c>
      <c r="M261" s="9">
        <f>IF($A261="",0,IF(OR($H261="Done",$H261="Dropped"),0,IF(OR($F261="",AND($B261="Action",NOT(ISNUMBER($G261))),LEN($F261)-LEN(SUBSTITUTE($F261,"(",""))&gt;=2,ISNUMBER(SEARCH(" and ",$Q261)),ISNUMBER(FIND("/",$Q261)),ISNUMBER(FIND("&amp;",$Q261)),ISNUMBER(FIND(",",$Q261))),1,0)))</f>
        <v/>
      </c>
      <c r="N261" s="9">
        <f>IF($A261="",0,IF(AND($H261="Open",ISNUMBER($G261)),IF($G261&lt;Dashboard!$B$16,1,0),0))</f>
        <v/>
      </c>
      <c r="O261" s="9">
        <f>IF($A261="",0,IF(AND($H261="Open",ISNUMBER($J261)),IF($J261&gt;=Dashboard!$H$9,1,0),0))</f>
        <v/>
      </c>
      <c r="P261" s="9">
        <f>IF($M261+$N261+$O261&gt;0,1,0)</f>
        <v/>
      </c>
      <c r="Q261" s="9">
        <f>LEFT($F261,IFERROR(FIND("(",$F261)-1,LEN($F261)))</f>
        <v/>
      </c>
    </row>
    <row r="262" ht="18" customHeight="1">
      <c r="A262" s="28" t="n"/>
      <c r="B262" s="28" t="n"/>
      <c r="C262" s="28" t="n"/>
      <c r="D262" s="14" t="n"/>
      <c r="E262" s="27" t="n"/>
      <c r="F262" s="27" t="n"/>
      <c r="G262" s="14" t="n"/>
      <c r="H262" s="28" t="n"/>
      <c r="I262" s="14" t="n"/>
      <c r="J262" s="36" t="n"/>
      <c r="K262" s="22">
        <f>IF($A262="","",IF(AND($H262="Open",ISNUMBER($G262)),IF($G262&lt;Dashboard!$B$16,"△ Overdue, was due "&amp;TEXT($G262,"d mmm yyyy"),"Open, due "&amp;TEXT($G262,"d mmm yyyy")),$H262&amp;""))</f>
        <v/>
      </c>
      <c r="L262" s="22">
        <f>IF($A262="","",IF($M262=1,"△ Needs one owner and a date",IF($N262=1,"△ Overdue, was due "&amp;TEXT($G262,"d mmm yyyy"),IF($O262=1,"△ Moved "&amp;$J262&amp;" times","○ Clear"))))</f>
        <v/>
      </c>
      <c r="M262" s="9">
        <f>IF($A262="",0,IF(OR($H262="Done",$H262="Dropped"),0,IF(OR($F262="",AND($B262="Action",NOT(ISNUMBER($G262))),LEN($F262)-LEN(SUBSTITUTE($F262,"(",""))&gt;=2,ISNUMBER(SEARCH(" and ",$Q262)),ISNUMBER(FIND("/",$Q262)),ISNUMBER(FIND("&amp;",$Q262)),ISNUMBER(FIND(",",$Q262))),1,0)))</f>
        <v/>
      </c>
      <c r="N262" s="9">
        <f>IF($A262="",0,IF(AND($H262="Open",ISNUMBER($G262)),IF($G262&lt;Dashboard!$B$16,1,0),0))</f>
        <v/>
      </c>
      <c r="O262" s="9">
        <f>IF($A262="",0,IF(AND($H262="Open",ISNUMBER($J262)),IF($J262&gt;=Dashboard!$H$9,1,0),0))</f>
        <v/>
      </c>
      <c r="P262" s="9">
        <f>IF($M262+$N262+$O262&gt;0,1,0)</f>
        <v/>
      </c>
      <c r="Q262" s="9">
        <f>LEFT($F262,IFERROR(FIND("(",$F262)-1,LEN($F262)))</f>
        <v/>
      </c>
    </row>
    <row r="263" ht="18" customHeight="1">
      <c r="A263" s="28" t="n"/>
      <c r="B263" s="28" t="n"/>
      <c r="C263" s="28" t="n"/>
      <c r="D263" s="14" t="n"/>
      <c r="E263" s="27" t="n"/>
      <c r="F263" s="27" t="n"/>
      <c r="G263" s="14" t="n"/>
      <c r="H263" s="28" t="n"/>
      <c r="I263" s="14" t="n"/>
      <c r="J263" s="36" t="n"/>
      <c r="K263" s="22">
        <f>IF($A263="","",IF(AND($H263="Open",ISNUMBER($G263)),IF($G263&lt;Dashboard!$B$16,"△ Overdue, was due "&amp;TEXT($G263,"d mmm yyyy"),"Open, due "&amp;TEXT($G263,"d mmm yyyy")),$H263&amp;""))</f>
        <v/>
      </c>
      <c r="L263" s="22">
        <f>IF($A263="","",IF($M263=1,"△ Needs one owner and a date",IF($N263=1,"△ Overdue, was due "&amp;TEXT($G263,"d mmm yyyy"),IF($O263=1,"△ Moved "&amp;$J263&amp;" times","○ Clear"))))</f>
        <v/>
      </c>
      <c r="M263" s="9">
        <f>IF($A263="",0,IF(OR($H263="Done",$H263="Dropped"),0,IF(OR($F263="",AND($B263="Action",NOT(ISNUMBER($G263))),LEN($F263)-LEN(SUBSTITUTE($F263,"(",""))&gt;=2,ISNUMBER(SEARCH(" and ",$Q263)),ISNUMBER(FIND("/",$Q263)),ISNUMBER(FIND("&amp;",$Q263)),ISNUMBER(FIND(",",$Q263))),1,0)))</f>
        <v/>
      </c>
      <c r="N263" s="9">
        <f>IF($A263="",0,IF(AND($H263="Open",ISNUMBER($G263)),IF($G263&lt;Dashboard!$B$16,1,0),0))</f>
        <v/>
      </c>
      <c r="O263" s="9">
        <f>IF($A263="",0,IF(AND($H263="Open",ISNUMBER($J263)),IF($J263&gt;=Dashboard!$H$9,1,0),0))</f>
        <v/>
      </c>
      <c r="P263" s="9">
        <f>IF($M263+$N263+$O263&gt;0,1,0)</f>
        <v/>
      </c>
      <c r="Q263" s="9">
        <f>LEFT($F263,IFERROR(FIND("(",$F263)-1,LEN($F263)))</f>
        <v/>
      </c>
    </row>
    <row r="264" ht="18" customHeight="1">
      <c r="A264" s="28" t="n"/>
      <c r="B264" s="28" t="n"/>
      <c r="C264" s="28" t="n"/>
      <c r="D264" s="14" t="n"/>
      <c r="E264" s="27" t="n"/>
      <c r="F264" s="27" t="n"/>
      <c r="G264" s="14" t="n"/>
      <c r="H264" s="28" t="n"/>
      <c r="I264" s="14" t="n"/>
      <c r="J264" s="36" t="n"/>
      <c r="K264" s="22">
        <f>IF($A264="","",IF(AND($H264="Open",ISNUMBER($G264)),IF($G264&lt;Dashboard!$B$16,"△ Overdue, was due "&amp;TEXT($G264,"d mmm yyyy"),"Open, due "&amp;TEXT($G264,"d mmm yyyy")),$H264&amp;""))</f>
        <v/>
      </c>
      <c r="L264" s="22">
        <f>IF($A264="","",IF($M264=1,"△ Needs one owner and a date",IF($N264=1,"△ Overdue, was due "&amp;TEXT($G264,"d mmm yyyy"),IF($O264=1,"△ Moved "&amp;$J264&amp;" times","○ Clear"))))</f>
        <v/>
      </c>
      <c r="M264" s="9">
        <f>IF($A264="",0,IF(OR($H264="Done",$H264="Dropped"),0,IF(OR($F264="",AND($B264="Action",NOT(ISNUMBER($G264))),LEN($F264)-LEN(SUBSTITUTE($F264,"(",""))&gt;=2,ISNUMBER(SEARCH(" and ",$Q264)),ISNUMBER(FIND("/",$Q264)),ISNUMBER(FIND("&amp;",$Q264)),ISNUMBER(FIND(",",$Q264))),1,0)))</f>
        <v/>
      </c>
      <c r="N264" s="9">
        <f>IF($A264="",0,IF(AND($H264="Open",ISNUMBER($G264)),IF($G264&lt;Dashboard!$B$16,1,0),0))</f>
        <v/>
      </c>
      <c r="O264" s="9">
        <f>IF($A264="",0,IF(AND($H264="Open",ISNUMBER($J264)),IF($J264&gt;=Dashboard!$H$9,1,0),0))</f>
        <v/>
      </c>
      <c r="P264" s="9">
        <f>IF($M264+$N264+$O264&gt;0,1,0)</f>
        <v/>
      </c>
      <c r="Q264" s="9">
        <f>LEFT($F264,IFERROR(FIND("(",$F264)-1,LEN($F264)))</f>
        <v/>
      </c>
    </row>
    <row r="265" ht="18" customHeight="1">
      <c r="A265" s="28" t="n"/>
      <c r="B265" s="28" t="n"/>
      <c r="C265" s="28" t="n"/>
      <c r="D265" s="14" t="n"/>
      <c r="E265" s="27" t="n"/>
      <c r="F265" s="27" t="n"/>
      <c r="G265" s="14" t="n"/>
      <c r="H265" s="28" t="n"/>
      <c r="I265" s="14" t="n"/>
      <c r="J265" s="36" t="n"/>
      <c r="K265" s="22">
        <f>IF($A265="","",IF(AND($H265="Open",ISNUMBER($G265)),IF($G265&lt;Dashboard!$B$16,"△ Overdue, was due "&amp;TEXT($G265,"d mmm yyyy"),"Open, due "&amp;TEXT($G265,"d mmm yyyy")),$H265&amp;""))</f>
        <v/>
      </c>
      <c r="L265" s="22">
        <f>IF($A265="","",IF($M265=1,"△ Needs one owner and a date",IF($N265=1,"△ Overdue, was due "&amp;TEXT($G265,"d mmm yyyy"),IF($O265=1,"△ Moved "&amp;$J265&amp;" times","○ Clear"))))</f>
        <v/>
      </c>
      <c r="M265" s="9">
        <f>IF($A265="",0,IF(OR($H265="Done",$H265="Dropped"),0,IF(OR($F265="",AND($B265="Action",NOT(ISNUMBER($G265))),LEN($F265)-LEN(SUBSTITUTE($F265,"(",""))&gt;=2,ISNUMBER(SEARCH(" and ",$Q265)),ISNUMBER(FIND("/",$Q265)),ISNUMBER(FIND("&amp;",$Q265)),ISNUMBER(FIND(",",$Q265))),1,0)))</f>
        <v/>
      </c>
      <c r="N265" s="9">
        <f>IF($A265="",0,IF(AND($H265="Open",ISNUMBER($G265)),IF($G265&lt;Dashboard!$B$16,1,0),0))</f>
        <v/>
      </c>
      <c r="O265" s="9">
        <f>IF($A265="",0,IF(AND($H265="Open",ISNUMBER($J265)),IF($J265&gt;=Dashboard!$H$9,1,0),0))</f>
        <v/>
      </c>
      <c r="P265" s="9">
        <f>IF($M265+$N265+$O265&gt;0,1,0)</f>
        <v/>
      </c>
      <c r="Q265" s="9">
        <f>LEFT($F265,IFERROR(FIND("(",$F265)-1,LEN($F265)))</f>
        <v/>
      </c>
    </row>
    <row r="266" ht="18" customHeight="1">
      <c r="A266" s="28" t="n"/>
      <c r="B266" s="28" t="n"/>
      <c r="C266" s="28" t="n"/>
      <c r="D266" s="14" t="n"/>
      <c r="E266" s="27" t="n"/>
      <c r="F266" s="27" t="n"/>
      <c r="G266" s="14" t="n"/>
      <c r="H266" s="28" t="n"/>
      <c r="I266" s="14" t="n"/>
      <c r="J266" s="36" t="n"/>
      <c r="K266" s="22">
        <f>IF($A266="","",IF(AND($H266="Open",ISNUMBER($G266)),IF($G266&lt;Dashboard!$B$16,"△ Overdue, was due "&amp;TEXT($G266,"d mmm yyyy"),"Open, due "&amp;TEXT($G266,"d mmm yyyy")),$H266&amp;""))</f>
        <v/>
      </c>
      <c r="L266" s="22">
        <f>IF($A266="","",IF($M266=1,"△ Needs one owner and a date",IF($N266=1,"△ Overdue, was due "&amp;TEXT($G266,"d mmm yyyy"),IF($O266=1,"△ Moved "&amp;$J266&amp;" times","○ Clear"))))</f>
        <v/>
      </c>
      <c r="M266" s="9">
        <f>IF($A266="",0,IF(OR($H266="Done",$H266="Dropped"),0,IF(OR($F266="",AND($B266="Action",NOT(ISNUMBER($G266))),LEN($F266)-LEN(SUBSTITUTE($F266,"(",""))&gt;=2,ISNUMBER(SEARCH(" and ",$Q266)),ISNUMBER(FIND("/",$Q266)),ISNUMBER(FIND("&amp;",$Q266)),ISNUMBER(FIND(",",$Q266))),1,0)))</f>
        <v/>
      </c>
      <c r="N266" s="9">
        <f>IF($A266="",0,IF(AND($H266="Open",ISNUMBER($G266)),IF($G266&lt;Dashboard!$B$16,1,0),0))</f>
        <v/>
      </c>
      <c r="O266" s="9">
        <f>IF($A266="",0,IF(AND($H266="Open",ISNUMBER($J266)),IF($J266&gt;=Dashboard!$H$9,1,0),0))</f>
        <v/>
      </c>
      <c r="P266" s="9">
        <f>IF($M266+$N266+$O266&gt;0,1,0)</f>
        <v/>
      </c>
      <c r="Q266" s="9">
        <f>LEFT($F266,IFERROR(FIND("(",$F266)-1,LEN($F266)))</f>
        <v/>
      </c>
    </row>
    <row r="267" ht="18" customHeight="1">
      <c r="A267" s="28" t="n"/>
      <c r="B267" s="28" t="n"/>
      <c r="C267" s="28" t="n"/>
      <c r="D267" s="14" t="n"/>
      <c r="E267" s="27" t="n"/>
      <c r="F267" s="27" t="n"/>
      <c r="G267" s="14" t="n"/>
      <c r="H267" s="28" t="n"/>
      <c r="I267" s="14" t="n"/>
      <c r="J267" s="36" t="n"/>
      <c r="K267" s="22">
        <f>IF($A267="","",IF(AND($H267="Open",ISNUMBER($G267)),IF($G267&lt;Dashboard!$B$16,"△ Overdue, was due "&amp;TEXT($G267,"d mmm yyyy"),"Open, due "&amp;TEXT($G267,"d mmm yyyy")),$H267&amp;""))</f>
        <v/>
      </c>
      <c r="L267" s="22">
        <f>IF($A267="","",IF($M267=1,"△ Needs one owner and a date",IF($N267=1,"△ Overdue, was due "&amp;TEXT($G267,"d mmm yyyy"),IF($O267=1,"△ Moved "&amp;$J267&amp;" times","○ Clear"))))</f>
        <v/>
      </c>
      <c r="M267" s="9">
        <f>IF($A267="",0,IF(OR($H267="Done",$H267="Dropped"),0,IF(OR($F267="",AND($B267="Action",NOT(ISNUMBER($G267))),LEN($F267)-LEN(SUBSTITUTE($F267,"(",""))&gt;=2,ISNUMBER(SEARCH(" and ",$Q267)),ISNUMBER(FIND("/",$Q267)),ISNUMBER(FIND("&amp;",$Q267)),ISNUMBER(FIND(",",$Q267))),1,0)))</f>
        <v/>
      </c>
      <c r="N267" s="9">
        <f>IF($A267="",0,IF(AND($H267="Open",ISNUMBER($G267)),IF($G267&lt;Dashboard!$B$16,1,0),0))</f>
        <v/>
      </c>
      <c r="O267" s="9">
        <f>IF($A267="",0,IF(AND($H267="Open",ISNUMBER($J267)),IF($J267&gt;=Dashboard!$H$9,1,0),0))</f>
        <v/>
      </c>
      <c r="P267" s="9">
        <f>IF($M267+$N267+$O267&gt;0,1,0)</f>
        <v/>
      </c>
      <c r="Q267" s="9">
        <f>LEFT($F267,IFERROR(FIND("(",$F267)-1,LEN($F267)))</f>
        <v/>
      </c>
    </row>
    <row r="268" ht="18" customHeight="1">
      <c r="A268" s="28" t="n"/>
      <c r="B268" s="28" t="n"/>
      <c r="C268" s="28" t="n"/>
      <c r="D268" s="14" t="n"/>
      <c r="E268" s="27" t="n"/>
      <c r="F268" s="27" t="n"/>
      <c r="G268" s="14" t="n"/>
      <c r="H268" s="28" t="n"/>
      <c r="I268" s="14" t="n"/>
      <c r="J268" s="36" t="n"/>
      <c r="K268" s="22">
        <f>IF($A268="","",IF(AND($H268="Open",ISNUMBER($G268)),IF($G268&lt;Dashboard!$B$16,"△ Overdue, was due "&amp;TEXT($G268,"d mmm yyyy"),"Open, due "&amp;TEXT($G268,"d mmm yyyy")),$H268&amp;""))</f>
        <v/>
      </c>
      <c r="L268" s="22">
        <f>IF($A268="","",IF($M268=1,"△ Needs one owner and a date",IF($N268=1,"△ Overdue, was due "&amp;TEXT($G268,"d mmm yyyy"),IF($O268=1,"△ Moved "&amp;$J268&amp;" times","○ Clear"))))</f>
        <v/>
      </c>
      <c r="M268" s="9">
        <f>IF($A268="",0,IF(OR($H268="Done",$H268="Dropped"),0,IF(OR($F268="",AND($B268="Action",NOT(ISNUMBER($G268))),LEN($F268)-LEN(SUBSTITUTE($F268,"(",""))&gt;=2,ISNUMBER(SEARCH(" and ",$Q268)),ISNUMBER(FIND("/",$Q268)),ISNUMBER(FIND("&amp;",$Q268)),ISNUMBER(FIND(",",$Q268))),1,0)))</f>
        <v/>
      </c>
      <c r="N268" s="9">
        <f>IF($A268="",0,IF(AND($H268="Open",ISNUMBER($G268)),IF($G268&lt;Dashboard!$B$16,1,0),0))</f>
        <v/>
      </c>
      <c r="O268" s="9">
        <f>IF($A268="",0,IF(AND($H268="Open",ISNUMBER($J268)),IF($J268&gt;=Dashboard!$H$9,1,0),0))</f>
        <v/>
      </c>
      <c r="P268" s="9">
        <f>IF($M268+$N268+$O268&gt;0,1,0)</f>
        <v/>
      </c>
      <c r="Q268" s="9">
        <f>LEFT($F268,IFERROR(FIND("(",$F268)-1,LEN($F268)))</f>
        <v/>
      </c>
    </row>
    <row r="269" ht="18" customHeight="1">
      <c r="A269" s="28" t="n"/>
      <c r="B269" s="28" t="n"/>
      <c r="C269" s="28" t="n"/>
      <c r="D269" s="14" t="n"/>
      <c r="E269" s="27" t="n"/>
      <c r="F269" s="27" t="n"/>
      <c r="G269" s="14" t="n"/>
      <c r="H269" s="28" t="n"/>
      <c r="I269" s="14" t="n"/>
      <c r="J269" s="36" t="n"/>
      <c r="K269" s="22">
        <f>IF($A269="","",IF(AND($H269="Open",ISNUMBER($G269)),IF($G269&lt;Dashboard!$B$16,"△ Overdue, was due "&amp;TEXT($G269,"d mmm yyyy"),"Open, due "&amp;TEXT($G269,"d mmm yyyy")),$H269&amp;""))</f>
        <v/>
      </c>
      <c r="L269" s="22">
        <f>IF($A269="","",IF($M269=1,"△ Needs one owner and a date",IF($N269=1,"△ Overdue, was due "&amp;TEXT($G269,"d mmm yyyy"),IF($O269=1,"△ Moved "&amp;$J269&amp;" times","○ Clear"))))</f>
        <v/>
      </c>
      <c r="M269" s="9">
        <f>IF($A269="",0,IF(OR($H269="Done",$H269="Dropped"),0,IF(OR($F269="",AND($B269="Action",NOT(ISNUMBER($G269))),LEN($F269)-LEN(SUBSTITUTE($F269,"(",""))&gt;=2,ISNUMBER(SEARCH(" and ",$Q269)),ISNUMBER(FIND("/",$Q269)),ISNUMBER(FIND("&amp;",$Q269)),ISNUMBER(FIND(",",$Q269))),1,0)))</f>
        <v/>
      </c>
      <c r="N269" s="9">
        <f>IF($A269="",0,IF(AND($H269="Open",ISNUMBER($G269)),IF($G269&lt;Dashboard!$B$16,1,0),0))</f>
        <v/>
      </c>
      <c r="O269" s="9">
        <f>IF($A269="",0,IF(AND($H269="Open",ISNUMBER($J269)),IF($J269&gt;=Dashboard!$H$9,1,0),0))</f>
        <v/>
      </c>
      <c r="P269" s="9">
        <f>IF($M269+$N269+$O269&gt;0,1,0)</f>
        <v/>
      </c>
      <c r="Q269" s="9">
        <f>LEFT($F269,IFERROR(FIND("(",$F269)-1,LEN($F269)))</f>
        <v/>
      </c>
    </row>
    <row r="270" ht="18" customHeight="1">
      <c r="A270" s="28" t="n"/>
      <c r="B270" s="28" t="n"/>
      <c r="C270" s="28" t="n"/>
      <c r="D270" s="14" t="n"/>
      <c r="E270" s="27" t="n"/>
      <c r="F270" s="27" t="n"/>
      <c r="G270" s="14" t="n"/>
      <c r="H270" s="28" t="n"/>
      <c r="I270" s="14" t="n"/>
      <c r="J270" s="36" t="n"/>
      <c r="K270" s="22">
        <f>IF($A270="","",IF(AND($H270="Open",ISNUMBER($G270)),IF($G270&lt;Dashboard!$B$16,"△ Overdue, was due "&amp;TEXT($G270,"d mmm yyyy"),"Open, due "&amp;TEXT($G270,"d mmm yyyy")),$H270&amp;""))</f>
        <v/>
      </c>
      <c r="L270" s="22">
        <f>IF($A270="","",IF($M270=1,"△ Needs one owner and a date",IF($N270=1,"△ Overdue, was due "&amp;TEXT($G270,"d mmm yyyy"),IF($O270=1,"△ Moved "&amp;$J270&amp;" times","○ Clear"))))</f>
        <v/>
      </c>
      <c r="M270" s="9">
        <f>IF($A270="",0,IF(OR($H270="Done",$H270="Dropped"),0,IF(OR($F270="",AND($B270="Action",NOT(ISNUMBER($G270))),LEN($F270)-LEN(SUBSTITUTE($F270,"(",""))&gt;=2,ISNUMBER(SEARCH(" and ",$Q270)),ISNUMBER(FIND("/",$Q270)),ISNUMBER(FIND("&amp;",$Q270)),ISNUMBER(FIND(",",$Q270))),1,0)))</f>
        <v/>
      </c>
      <c r="N270" s="9">
        <f>IF($A270="",0,IF(AND($H270="Open",ISNUMBER($G270)),IF($G270&lt;Dashboard!$B$16,1,0),0))</f>
        <v/>
      </c>
      <c r="O270" s="9">
        <f>IF($A270="",0,IF(AND($H270="Open",ISNUMBER($J270)),IF($J270&gt;=Dashboard!$H$9,1,0),0))</f>
        <v/>
      </c>
      <c r="P270" s="9">
        <f>IF($M270+$N270+$O270&gt;0,1,0)</f>
        <v/>
      </c>
      <c r="Q270" s="9">
        <f>LEFT($F270,IFERROR(FIND("(",$F270)-1,LEN($F270)))</f>
        <v/>
      </c>
    </row>
    <row r="271" ht="18" customHeight="1">
      <c r="A271" s="28" t="n"/>
      <c r="B271" s="28" t="n"/>
      <c r="C271" s="28" t="n"/>
      <c r="D271" s="14" t="n"/>
      <c r="E271" s="27" t="n"/>
      <c r="F271" s="27" t="n"/>
      <c r="G271" s="14" t="n"/>
      <c r="H271" s="28" t="n"/>
      <c r="I271" s="14" t="n"/>
      <c r="J271" s="36" t="n"/>
      <c r="K271" s="22">
        <f>IF($A271="","",IF(AND($H271="Open",ISNUMBER($G271)),IF($G271&lt;Dashboard!$B$16,"△ Overdue, was due "&amp;TEXT($G271,"d mmm yyyy"),"Open, due "&amp;TEXT($G271,"d mmm yyyy")),$H271&amp;""))</f>
        <v/>
      </c>
      <c r="L271" s="22">
        <f>IF($A271="","",IF($M271=1,"△ Needs one owner and a date",IF($N271=1,"△ Overdue, was due "&amp;TEXT($G271,"d mmm yyyy"),IF($O271=1,"△ Moved "&amp;$J271&amp;" times","○ Clear"))))</f>
        <v/>
      </c>
      <c r="M271" s="9">
        <f>IF($A271="",0,IF(OR($H271="Done",$H271="Dropped"),0,IF(OR($F271="",AND($B271="Action",NOT(ISNUMBER($G271))),LEN($F271)-LEN(SUBSTITUTE($F271,"(",""))&gt;=2,ISNUMBER(SEARCH(" and ",$Q271)),ISNUMBER(FIND("/",$Q271)),ISNUMBER(FIND("&amp;",$Q271)),ISNUMBER(FIND(",",$Q271))),1,0)))</f>
        <v/>
      </c>
      <c r="N271" s="9">
        <f>IF($A271="",0,IF(AND($H271="Open",ISNUMBER($G271)),IF($G271&lt;Dashboard!$B$16,1,0),0))</f>
        <v/>
      </c>
      <c r="O271" s="9">
        <f>IF($A271="",0,IF(AND($H271="Open",ISNUMBER($J271)),IF($J271&gt;=Dashboard!$H$9,1,0),0))</f>
        <v/>
      </c>
      <c r="P271" s="9">
        <f>IF($M271+$N271+$O271&gt;0,1,0)</f>
        <v/>
      </c>
      <c r="Q271" s="9">
        <f>LEFT($F271,IFERROR(FIND("(",$F271)-1,LEN($F271)))</f>
        <v/>
      </c>
    </row>
    <row r="272" ht="18" customHeight="1">
      <c r="A272" s="28" t="n"/>
      <c r="B272" s="28" t="n"/>
      <c r="C272" s="28" t="n"/>
      <c r="D272" s="14" t="n"/>
      <c r="E272" s="27" t="n"/>
      <c r="F272" s="27" t="n"/>
      <c r="G272" s="14" t="n"/>
      <c r="H272" s="28" t="n"/>
      <c r="I272" s="14" t="n"/>
      <c r="J272" s="36" t="n"/>
      <c r="K272" s="22">
        <f>IF($A272="","",IF(AND($H272="Open",ISNUMBER($G272)),IF($G272&lt;Dashboard!$B$16,"△ Overdue, was due "&amp;TEXT($G272,"d mmm yyyy"),"Open, due "&amp;TEXT($G272,"d mmm yyyy")),$H272&amp;""))</f>
        <v/>
      </c>
      <c r="L272" s="22">
        <f>IF($A272="","",IF($M272=1,"△ Needs one owner and a date",IF($N272=1,"△ Overdue, was due "&amp;TEXT($G272,"d mmm yyyy"),IF($O272=1,"△ Moved "&amp;$J272&amp;" times","○ Clear"))))</f>
        <v/>
      </c>
      <c r="M272" s="9">
        <f>IF($A272="",0,IF(OR($H272="Done",$H272="Dropped"),0,IF(OR($F272="",AND($B272="Action",NOT(ISNUMBER($G272))),LEN($F272)-LEN(SUBSTITUTE($F272,"(",""))&gt;=2,ISNUMBER(SEARCH(" and ",$Q272)),ISNUMBER(FIND("/",$Q272)),ISNUMBER(FIND("&amp;",$Q272)),ISNUMBER(FIND(",",$Q272))),1,0)))</f>
        <v/>
      </c>
      <c r="N272" s="9">
        <f>IF($A272="",0,IF(AND($H272="Open",ISNUMBER($G272)),IF($G272&lt;Dashboard!$B$16,1,0),0))</f>
        <v/>
      </c>
      <c r="O272" s="9">
        <f>IF($A272="",0,IF(AND($H272="Open",ISNUMBER($J272)),IF($J272&gt;=Dashboard!$H$9,1,0),0))</f>
        <v/>
      </c>
      <c r="P272" s="9">
        <f>IF($M272+$N272+$O272&gt;0,1,0)</f>
        <v/>
      </c>
      <c r="Q272" s="9">
        <f>LEFT($F272,IFERROR(FIND("(",$F272)-1,LEN($F272)))</f>
        <v/>
      </c>
    </row>
    <row r="273" ht="18" customHeight="1">
      <c r="A273" s="28" t="n"/>
      <c r="B273" s="28" t="n"/>
      <c r="C273" s="28" t="n"/>
      <c r="D273" s="14" t="n"/>
      <c r="E273" s="27" t="n"/>
      <c r="F273" s="27" t="n"/>
      <c r="G273" s="14" t="n"/>
      <c r="H273" s="28" t="n"/>
      <c r="I273" s="14" t="n"/>
      <c r="J273" s="36" t="n"/>
      <c r="K273" s="22">
        <f>IF($A273="","",IF(AND($H273="Open",ISNUMBER($G273)),IF($G273&lt;Dashboard!$B$16,"△ Overdue, was due "&amp;TEXT($G273,"d mmm yyyy"),"Open, due "&amp;TEXT($G273,"d mmm yyyy")),$H273&amp;""))</f>
        <v/>
      </c>
      <c r="L273" s="22">
        <f>IF($A273="","",IF($M273=1,"△ Needs one owner and a date",IF($N273=1,"△ Overdue, was due "&amp;TEXT($G273,"d mmm yyyy"),IF($O273=1,"△ Moved "&amp;$J273&amp;" times","○ Clear"))))</f>
        <v/>
      </c>
      <c r="M273" s="9">
        <f>IF($A273="",0,IF(OR($H273="Done",$H273="Dropped"),0,IF(OR($F273="",AND($B273="Action",NOT(ISNUMBER($G273))),LEN($F273)-LEN(SUBSTITUTE($F273,"(",""))&gt;=2,ISNUMBER(SEARCH(" and ",$Q273)),ISNUMBER(FIND("/",$Q273)),ISNUMBER(FIND("&amp;",$Q273)),ISNUMBER(FIND(",",$Q273))),1,0)))</f>
        <v/>
      </c>
      <c r="N273" s="9">
        <f>IF($A273="",0,IF(AND($H273="Open",ISNUMBER($G273)),IF($G273&lt;Dashboard!$B$16,1,0),0))</f>
        <v/>
      </c>
      <c r="O273" s="9">
        <f>IF($A273="",0,IF(AND($H273="Open",ISNUMBER($J273)),IF($J273&gt;=Dashboard!$H$9,1,0),0))</f>
        <v/>
      </c>
      <c r="P273" s="9">
        <f>IF($M273+$N273+$O273&gt;0,1,0)</f>
        <v/>
      </c>
      <c r="Q273" s="9">
        <f>LEFT($F273,IFERROR(FIND("(",$F273)-1,LEN($F273)))</f>
        <v/>
      </c>
    </row>
    <row r="274" ht="18" customHeight="1">
      <c r="A274" s="28" t="n"/>
      <c r="B274" s="28" t="n"/>
      <c r="C274" s="28" t="n"/>
      <c r="D274" s="14" t="n"/>
      <c r="E274" s="27" t="n"/>
      <c r="F274" s="27" t="n"/>
      <c r="G274" s="14" t="n"/>
      <c r="H274" s="28" t="n"/>
      <c r="I274" s="14" t="n"/>
      <c r="J274" s="36" t="n"/>
      <c r="K274" s="22">
        <f>IF($A274="","",IF(AND($H274="Open",ISNUMBER($G274)),IF($G274&lt;Dashboard!$B$16,"△ Overdue, was due "&amp;TEXT($G274,"d mmm yyyy"),"Open, due "&amp;TEXT($G274,"d mmm yyyy")),$H274&amp;""))</f>
        <v/>
      </c>
      <c r="L274" s="22">
        <f>IF($A274="","",IF($M274=1,"△ Needs one owner and a date",IF($N274=1,"△ Overdue, was due "&amp;TEXT($G274,"d mmm yyyy"),IF($O274=1,"△ Moved "&amp;$J274&amp;" times","○ Clear"))))</f>
        <v/>
      </c>
      <c r="M274" s="9">
        <f>IF($A274="",0,IF(OR($H274="Done",$H274="Dropped"),0,IF(OR($F274="",AND($B274="Action",NOT(ISNUMBER($G274))),LEN($F274)-LEN(SUBSTITUTE($F274,"(",""))&gt;=2,ISNUMBER(SEARCH(" and ",$Q274)),ISNUMBER(FIND("/",$Q274)),ISNUMBER(FIND("&amp;",$Q274)),ISNUMBER(FIND(",",$Q274))),1,0)))</f>
        <v/>
      </c>
      <c r="N274" s="9">
        <f>IF($A274="",0,IF(AND($H274="Open",ISNUMBER($G274)),IF($G274&lt;Dashboard!$B$16,1,0),0))</f>
        <v/>
      </c>
      <c r="O274" s="9">
        <f>IF($A274="",0,IF(AND($H274="Open",ISNUMBER($J274)),IF($J274&gt;=Dashboard!$H$9,1,0),0))</f>
        <v/>
      </c>
      <c r="P274" s="9">
        <f>IF($M274+$N274+$O274&gt;0,1,0)</f>
        <v/>
      </c>
      <c r="Q274" s="9">
        <f>LEFT($F274,IFERROR(FIND("(",$F274)-1,LEN($F274)))</f>
        <v/>
      </c>
    </row>
    <row r="275" ht="18" customHeight="1">
      <c r="A275" s="28" t="n"/>
      <c r="B275" s="28" t="n"/>
      <c r="C275" s="28" t="n"/>
      <c r="D275" s="14" t="n"/>
      <c r="E275" s="27" t="n"/>
      <c r="F275" s="27" t="n"/>
      <c r="G275" s="14" t="n"/>
      <c r="H275" s="28" t="n"/>
      <c r="I275" s="14" t="n"/>
      <c r="J275" s="36" t="n"/>
      <c r="K275" s="22">
        <f>IF($A275="","",IF(AND($H275="Open",ISNUMBER($G275)),IF($G275&lt;Dashboard!$B$16,"△ Overdue, was due "&amp;TEXT($G275,"d mmm yyyy"),"Open, due "&amp;TEXT($G275,"d mmm yyyy")),$H275&amp;""))</f>
        <v/>
      </c>
      <c r="L275" s="22">
        <f>IF($A275="","",IF($M275=1,"△ Needs one owner and a date",IF($N275=1,"△ Overdue, was due "&amp;TEXT($G275,"d mmm yyyy"),IF($O275=1,"△ Moved "&amp;$J275&amp;" times","○ Clear"))))</f>
        <v/>
      </c>
      <c r="M275" s="9">
        <f>IF($A275="",0,IF(OR($H275="Done",$H275="Dropped"),0,IF(OR($F275="",AND($B275="Action",NOT(ISNUMBER($G275))),LEN($F275)-LEN(SUBSTITUTE($F275,"(",""))&gt;=2,ISNUMBER(SEARCH(" and ",$Q275)),ISNUMBER(FIND("/",$Q275)),ISNUMBER(FIND("&amp;",$Q275)),ISNUMBER(FIND(",",$Q275))),1,0)))</f>
        <v/>
      </c>
      <c r="N275" s="9">
        <f>IF($A275="",0,IF(AND($H275="Open",ISNUMBER($G275)),IF($G275&lt;Dashboard!$B$16,1,0),0))</f>
        <v/>
      </c>
      <c r="O275" s="9">
        <f>IF($A275="",0,IF(AND($H275="Open",ISNUMBER($J275)),IF($J275&gt;=Dashboard!$H$9,1,0),0))</f>
        <v/>
      </c>
      <c r="P275" s="9">
        <f>IF($M275+$N275+$O275&gt;0,1,0)</f>
        <v/>
      </c>
      <c r="Q275" s="9">
        <f>LEFT($F275,IFERROR(FIND("(",$F275)-1,LEN($F275)))</f>
        <v/>
      </c>
    </row>
    <row r="276" ht="18" customHeight="1">
      <c r="A276" s="28" t="n"/>
      <c r="B276" s="28" t="n"/>
      <c r="C276" s="28" t="n"/>
      <c r="D276" s="14" t="n"/>
      <c r="E276" s="27" t="n"/>
      <c r="F276" s="27" t="n"/>
      <c r="G276" s="14" t="n"/>
      <c r="H276" s="28" t="n"/>
      <c r="I276" s="14" t="n"/>
      <c r="J276" s="36" t="n"/>
      <c r="K276" s="22">
        <f>IF($A276="","",IF(AND($H276="Open",ISNUMBER($G276)),IF($G276&lt;Dashboard!$B$16,"△ Overdue, was due "&amp;TEXT($G276,"d mmm yyyy"),"Open, due "&amp;TEXT($G276,"d mmm yyyy")),$H276&amp;""))</f>
        <v/>
      </c>
      <c r="L276" s="22">
        <f>IF($A276="","",IF($M276=1,"△ Needs one owner and a date",IF($N276=1,"△ Overdue, was due "&amp;TEXT($G276,"d mmm yyyy"),IF($O276=1,"△ Moved "&amp;$J276&amp;" times","○ Clear"))))</f>
        <v/>
      </c>
      <c r="M276" s="9">
        <f>IF($A276="",0,IF(OR($H276="Done",$H276="Dropped"),0,IF(OR($F276="",AND($B276="Action",NOT(ISNUMBER($G276))),LEN($F276)-LEN(SUBSTITUTE($F276,"(",""))&gt;=2,ISNUMBER(SEARCH(" and ",$Q276)),ISNUMBER(FIND("/",$Q276)),ISNUMBER(FIND("&amp;",$Q276)),ISNUMBER(FIND(",",$Q276))),1,0)))</f>
        <v/>
      </c>
      <c r="N276" s="9">
        <f>IF($A276="",0,IF(AND($H276="Open",ISNUMBER($G276)),IF($G276&lt;Dashboard!$B$16,1,0),0))</f>
        <v/>
      </c>
      <c r="O276" s="9">
        <f>IF($A276="",0,IF(AND($H276="Open",ISNUMBER($J276)),IF($J276&gt;=Dashboard!$H$9,1,0),0))</f>
        <v/>
      </c>
      <c r="P276" s="9">
        <f>IF($M276+$N276+$O276&gt;0,1,0)</f>
        <v/>
      </c>
      <c r="Q276" s="9">
        <f>LEFT($F276,IFERROR(FIND("(",$F276)-1,LEN($F276)))</f>
        <v/>
      </c>
    </row>
    <row r="277" ht="18" customHeight="1">
      <c r="A277" s="28" t="n"/>
      <c r="B277" s="28" t="n"/>
      <c r="C277" s="28" t="n"/>
      <c r="D277" s="14" t="n"/>
      <c r="E277" s="27" t="n"/>
      <c r="F277" s="27" t="n"/>
      <c r="G277" s="14" t="n"/>
      <c r="H277" s="28" t="n"/>
      <c r="I277" s="14" t="n"/>
      <c r="J277" s="36" t="n"/>
      <c r="K277" s="22">
        <f>IF($A277="","",IF(AND($H277="Open",ISNUMBER($G277)),IF($G277&lt;Dashboard!$B$16,"△ Overdue, was due "&amp;TEXT($G277,"d mmm yyyy"),"Open, due "&amp;TEXT($G277,"d mmm yyyy")),$H277&amp;""))</f>
        <v/>
      </c>
      <c r="L277" s="22">
        <f>IF($A277="","",IF($M277=1,"△ Needs one owner and a date",IF($N277=1,"△ Overdue, was due "&amp;TEXT($G277,"d mmm yyyy"),IF($O277=1,"△ Moved "&amp;$J277&amp;" times","○ Clear"))))</f>
        <v/>
      </c>
      <c r="M277" s="9">
        <f>IF($A277="",0,IF(OR($H277="Done",$H277="Dropped"),0,IF(OR($F277="",AND($B277="Action",NOT(ISNUMBER($G277))),LEN($F277)-LEN(SUBSTITUTE($F277,"(",""))&gt;=2,ISNUMBER(SEARCH(" and ",$Q277)),ISNUMBER(FIND("/",$Q277)),ISNUMBER(FIND("&amp;",$Q277)),ISNUMBER(FIND(",",$Q277))),1,0)))</f>
        <v/>
      </c>
      <c r="N277" s="9">
        <f>IF($A277="",0,IF(AND($H277="Open",ISNUMBER($G277)),IF($G277&lt;Dashboard!$B$16,1,0),0))</f>
        <v/>
      </c>
      <c r="O277" s="9">
        <f>IF($A277="",0,IF(AND($H277="Open",ISNUMBER($J277)),IF($J277&gt;=Dashboard!$H$9,1,0),0))</f>
        <v/>
      </c>
      <c r="P277" s="9">
        <f>IF($M277+$N277+$O277&gt;0,1,0)</f>
        <v/>
      </c>
      <c r="Q277" s="9">
        <f>LEFT($F277,IFERROR(FIND("(",$F277)-1,LEN($F277)))</f>
        <v/>
      </c>
    </row>
    <row r="278" ht="18" customHeight="1">
      <c r="A278" s="28" t="n"/>
      <c r="B278" s="28" t="n"/>
      <c r="C278" s="28" t="n"/>
      <c r="D278" s="14" t="n"/>
      <c r="E278" s="27" t="n"/>
      <c r="F278" s="27" t="n"/>
      <c r="G278" s="14" t="n"/>
      <c r="H278" s="28" t="n"/>
      <c r="I278" s="14" t="n"/>
      <c r="J278" s="36" t="n"/>
      <c r="K278" s="22">
        <f>IF($A278="","",IF(AND($H278="Open",ISNUMBER($G278)),IF($G278&lt;Dashboard!$B$16,"△ Overdue, was due "&amp;TEXT($G278,"d mmm yyyy"),"Open, due "&amp;TEXT($G278,"d mmm yyyy")),$H278&amp;""))</f>
        <v/>
      </c>
      <c r="L278" s="22">
        <f>IF($A278="","",IF($M278=1,"△ Needs one owner and a date",IF($N278=1,"△ Overdue, was due "&amp;TEXT($G278,"d mmm yyyy"),IF($O278=1,"△ Moved "&amp;$J278&amp;" times","○ Clear"))))</f>
        <v/>
      </c>
      <c r="M278" s="9">
        <f>IF($A278="",0,IF(OR($H278="Done",$H278="Dropped"),0,IF(OR($F278="",AND($B278="Action",NOT(ISNUMBER($G278))),LEN($F278)-LEN(SUBSTITUTE($F278,"(",""))&gt;=2,ISNUMBER(SEARCH(" and ",$Q278)),ISNUMBER(FIND("/",$Q278)),ISNUMBER(FIND("&amp;",$Q278)),ISNUMBER(FIND(",",$Q278))),1,0)))</f>
        <v/>
      </c>
      <c r="N278" s="9">
        <f>IF($A278="",0,IF(AND($H278="Open",ISNUMBER($G278)),IF($G278&lt;Dashboard!$B$16,1,0),0))</f>
        <v/>
      </c>
      <c r="O278" s="9">
        <f>IF($A278="",0,IF(AND($H278="Open",ISNUMBER($J278)),IF($J278&gt;=Dashboard!$H$9,1,0),0))</f>
        <v/>
      </c>
      <c r="P278" s="9">
        <f>IF($M278+$N278+$O278&gt;0,1,0)</f>
        <v/>
      </c>
      <c r="Q278" s="9">
        <f>LEFT($F278,IFERROR(FIND("(",$F278)-1,LEN($F278)))</f>
        <v/>
      </c>
    </row>
    <row r="279" ht="18" customHeight="1">
      <c r="A279" s="28" t="n"/>
      <c r="B279" s="28" t="n"/>
      <c r="C279" s="28" t="n"/>
      <c r="D279" s="14" t="n"/>
      <c r="E279" s="27" t="n"/>
      <c r="F279" s="27" t="n"/>
      <c r="G279" s="14" t="n"/>
      <c r="H279" s="28" t="n"/>
      <c r="I279" s="14" t="n"/>
      <c r="J279" s="36" t="n"/>
      <c r="K279" s="22">
        <f>IF($A279="","",IF(AND($H279="Open",ISNUMBER($G279)),IF($G279&lt;Dashboard!$B$16,"△ Overdue, was due "&amp;TEXT($G279,"d mmm yyyy"),"Open, due "&amp;TEXT($G279,"d mmm yyyy")),$H279&amp;""))</f>
        <v/>
      </c>
      <c r="L279" s="22">
        <f>IF($A279="","",IF($M279=1,"△ Needs one owner and a date",IF($N279=1,"△ Overdue, was due "&amp;TEXT($G279,"d mmm yyyy"),IF($O279=1,"△ Moved "&amp;$J279&amp;" times","○ Clear"))))</f>
        <v/>
      </c>
      <c r="M279" s="9">
        <f>IF($A279="",0,IF(OR($H279="Done",$H279="Dropped"),0,IF(OR($F279="",AND($B279="Action",NOT(ISNUMBER($G279))),LEN($F279)-LEN(SUBSTITUTE($F279,"(",""))&gt;=2,ISNUMBER(SEARCH(" and ",$Q279)),ISNUMBER(FIND("/",$Q279)),ISNUMBER(FIND("&amp;",$Q279)),ISNUMBER(FIND(",",$Q279))),1,0)))</f>
        <v/>
      </c>
      <c r="N279" s="9">
        <f>IF($A279="",0,IF(AND($H279="Open",ISNUMBER($G279)),IF($G279&lt;Dashboard!$B$16,1,0),0))</f>
        <v/>
      </c>
      <c r="O279" s="9">
        <f>IF($A279="",0,IF(AND($H279="Open",ISNUMBER($J279)),IF($J279&gt;=Dashboard!$H$9,1,0),0))</f>
        <v/>
      </c>
      <c r="P279" s="9">
        <f>IF($M279+$N279+$O279&gt;0,1,0)</f>
        <v/>
      </c>
      <c r="Q279" s="9">
        <f>LEFT($F279,IFERROR(FIND("(",$F279)-1,LEN($F279)))</f>
        <v/>
      </c>
    </row>
    <row r="280" ht="18" customHeight="1">
      <c r="A280" s="28" t="n"/>
      <c r="B280" s="28" t="n"/>
      <c r="C280" s="28" t="n"/>
      <c r="D280" s="14" t="n"/>
      <c r="E280" s="27" t="n"/>
      <c r="F280" s="27" t="n"/>
      <c r="G280" s="14" t="n"/>
      <c r="H280" s="28" t="n"/>
      <c r="I280" s="14" t="n"/>
      <c r="J280" s="36" t="n"/>
      <c r="K280" s="22">
        <f>IF($A280="","",IF(AND($H280="Open",ISNUMBER($G280)),IF($G280&lt;Dashboard!$B$16,"△ Overdue, was due "&amp;TEXT($G280,"d mmm yyyy"),"Open, due "&amp;TEXT($G280,"d mmm yyyy")),$H280&amp;""))</f>
        <v/>
      </c>
      <c r="L280" s="22">
        <f>IF($A280="","",IF($M280=1,"△ Needs one owner and a date",IF($N280=1,"△ Overdue, was due "&amp;TEXT($G280,"d mmm yyyy"),IF($O280=1,"△ Moved "&amp;$J280&amp;" times","○ Clear"))))</f>
        <v/>
      </c>
      <c r="M280" s="9">
        <f>IF($A280="",0,IF(OR($H280="Done",$H280="Dropped"),0,IF(OR($F280="",AND($B280="Action",NOT(ISNUMBER($G280))),LEN($F280)-LEN(SUBSTITUTE($F280,"(",""))&gt;=2,ISNUMBER(SEARCH(" and ",$Q280)),ISNUMBER(FIND("/",$Q280)),ISNUMBER(FIND("&amp;",$Q280)),ISNUMBER(FIND(",",$Q280))),1,0)))</f>
        <v/>
      </c>
      <c r="N280" s="9">
        <f>IF($A280="",0,IF(AND($H280="Open",ISNUMBER($G280)),IF($G280&lt;Dashboard!$B$16,1,0),0))</f>
        <v/>
      </c>
      <c r="O280" s="9">
        <f>IF($A280="",0,IF(AND($H280="Open",ISNUMBER($J280)),IF($J280&gt;=Dashboard!$H$9,1,0),0))</f>
        <v/>
      </c>
      <c r="P280" s="9">
        <f>IF($M280+$N280+$O280&gt;0,1,0)</f>
        <v/>
      </c>
      <c r="Q280" s="9">
        <f>LEFT($F280,IFERROR(FIND("(",$F280)-1,LEN($F280)))</f>
        <v/>
      </c>
    </row>
    <row r="281" ht="18" customHeight="1">
      <c r="A281" s="28" t="n"/>
      <c r="B281" s="28" t="n"/>
      <c r="C281" s="28" t="n"/>
      <c r="D281" s="14" t="n"/>
      <c r="E281" s="27" t="n"/>
      <c r="F281" s="27" t="n"/>
      <c r="G281" s="14" t="n"/>
      <c r="H281" s="28" t="n"/>
      <c r="I281" s="14" t="n"/>
      <c r="J281" s="36" t="n"/>
      <c r="K281" s="22">
        <f>IF($A281="","",IF(AND($H281="Open",ISNUMBER($G281)),IF($G281&lt;Dashboard!$B$16,"△ Overdue, was due "&amp;TEXT($G281,"d mmm yyyy"),"Open, due "&amp;TEXT($G281,"d mmm yyyy")),$H281&amp;""))</f>
        <v/>
      </c>
      <c r="L281" s="22">
        <f>IF($A281="","",IF($M281=1,"△ Needs one owner and a date",IF($N281=1,"△ Overdue, was due "&amp;TEXT($G281,"d mmm yyyy"),IF($O281=1,"△ Moved "&amp;$J281&amp;" times","○ Clear"))))</f>
        <v/>
      </c>
      <c r="M281" s="9">
        <f>IF($A281="",0,IF(OR($H281="Done",$H281="Dropped"),0,IF(OR($F281="",AND($B281="Action",NOT(ISNUMBER($G281))),LEN($F281)-LEN(SUBSTITUTE($F281,"(",""))&gt;=2,ISNUMBER(SEARCH(" and ",$Q281)),ISNUMBER(FIND("/",$Q281)),ISNUMBER(FIND("&amp;",$Q281)),ISNUMBER(FIND(",",$Q281))),1,0)))</f>
        <v/>
      </c>
      <c r="N281" s="9">
        <f>IF($A281="",0,IF(AND($H281="Open",ISNUMBER($G281)),IF($G281&lt;Dashboard!$B$16,1,0),0))</f>
        <v/>
      </c>
      <c r="O281" s="9">
        <f>IF($A281="",0,IF(AND($H281="Open",ISNUMBER($J281)),IF($J281&gt;=Dashboard!$H$9,1,0),0))</f>
        <v/>
      </c>
      <c r="P281" s="9">
        <f>IF($M281+$N281+$O281&gt;0,1,0)</f>
        <v/>
      </c>
      <c r="Q281" s="9">
        <f>LEFT($F281,IFERROR(FIND("(",$F281)-1,LEN($F281)))</f>
        <v/>
      </c>
    </row>
    <row r="282" ht="18" customHeight="1">
      <c r="A282" s="28" t="n"/>
      <c r="B282" s="28" t="n"/>
      <c r="C282" s="28" t="n"/>
      <c r="D282" s="14" t="n"/>
      <c r="E282" s="27" t="n"/>
      <c r="F282" s="27" t="n"/>
      <c r="G282" s="14" t="n"/>
      <c r="H282" s="28" t="n"/>
      <c r="I282" s="14" t="n"/>
      <c r="J282" s="36" t="n"/>
      <c r="K282" s="22">
        <f>IF($A282="","",IF(AND($H282="Open",ISNUMBER($G282)),IF($G282&lt;Dashboard!$B$16,"△ Overdue, was due "&amp;TEXT($G282,"d mmm yyyy"),"Open, due "&amp;TEXT($G282,"d mmm yyyy")),$H282&amp;""))</f>
        <v/>
      </c>
      <c r="L282" s="22">
        <f>IF($A282="","",IF($M282=1,"△ Needs one owner and a date",IF($N282=1,"△ Overdue, was due "&amp;TEXT($G282,"d mmm yyyy"),IF($O282=1,"△ Moved "&amp;$J282&amp;" times","○ Clear"))))</f>
        <v/>
      </c>
      <c r="M282" s="9">
        <f>IF($A282="",0,IF(OR($H282="Done",$H282="Dropped"),0,IF(OR($F282="",AND($B282="Action",NOT(ISNUMBER($G282))),LEN($F282)-LEN(SUBSTITUTE($F282,"(",""))&gt;=2,ISNUMBER(SEARCH(" and ",$Q282)),ISNUMBER(FIND("/",$Q282)),ISNUMBER(FIND("&amp;",$Q282)),ISNUMBER(FIND(",",$Q282))),1,0)))</f>
        <v/>
      </c>
      <c r="N282" s="9">
        <f>IF($A282="",0,IF(AND($H282="Open",ISNUMBER($G282)),IF($G282&lt;Dashboard!$B$16,1,0),0))</f>
        <v/>
      </c>
      <c r="O282" s="9">
        <f>IF($A282="",0,IF(AND($H282="Open",ISNUMBER($J282)),IF($J282&gt;=Dashboard!$H$9,1,0),0))</f>
        <v/>
      </c>
      <c r="P282" s="9">
        <f>IF($M282+$N282+$O282&gt;0,1,0)</f>
        <v/>
      </c>
      <c r="Q282" s="9">
        <f>LEFT($F282,IFERROR(FIND("(",$F282)-1,LEN($F282)))</f>
        <v/>
      </c>
    </row>
    <row r="283" ht="18" customHeight="1">
      <c r="A283" s="28" t="n"/>
      <c r="B283" s="28" t="n"/>
      <c r="C283" s="28" t="n"/>
      <c r="D283" s="14" t="n"/>
      <c r="E283" s="27" t="n"/>
      <c r="F283" s="27" t="n"/>
      <c r="G283" s="14" t="n"/>
      <c r="H283" s="28" t="n"/>
      <c r="I283" s="14" t="n"/>
      <c r="J283" s="36" t="n"/>
      <c r="K283" s="22">
        <f>IF($A283="","",IF(AND($H283="Open",ISNUMBER($G283)),IF($G283&lt;Dashboard!$B$16,"△ Overdue, was due "&amp;TEXT($G283,"d mmm yyyy"),"Open, due "&amp;TEXT($G283,"d mmm yyyy")),$H283&amp;""))</f>
        <v/>
      </c>
      <c r="L283" s="22">
        <f>IF($A283="","",IF($M283=1,"△ Needs one owner and a date",IF($N283=1,"△ Overdue, was due "&amp;TEXT($G283,"d mmm yyyy"),IF($O283=1,"△ Moved "&amp;$J283&amp;" times","○ Clear"))))</f>
        <v/>
      </c>
      <c r="M283" s="9">
        <f>IF($A283="",0,IF(OR($H283="Done",$H283="Dropped"),0,IF(OR($F283="",AND($B283="Action",NOT(ISNUMBER($G283))),LEN($F283)-LEN(SUBSTITUTE($F283,"(",""))&gt;=2,ISNUMBER(SEARCH(" and ",$Q283)),ISNUMBER(FIND("/",$Q283)),ISNUMBER(FIND("&amp;",$Q283)),ISNUMBER(FIND(",",$Q283))),1,0)))</f>
        <v/>
      </c>
      <c r="N283" s="9">
        <f>IF($A283="",0,IF(AND($H283="Open",ISNUMBER($G283)),IF($G283&lt;Dashboard!$B$16,1,0),0))</f>
        <v/>
      </c>
      <c r="O283" s="9">
        <f>IF($A283="",0,IF(AND($H283="Open",ISNUMBER($J283)),IF($J283&gt;=Dashboard!$H$9,1,0),0))</f>
        <v/>
      </c>
      <c r="P283" s="9">
        <f>IF($M283+$N283+$O283&gt;0,1,0)</f>
        <v/>
      </c>
      <c r="Q283" s="9">
        <f>LEFT($F283,IFERROR(FIND("(",$F283)-1,LEN($F283)))</f>
        <v/>
      </c>
    </row>
    <row r="284" ht="18" customHeight="1">
      <c r="A284" s="28" t="n"/>
      <c r="B284" s="28" t="n"/>
      <c r="C284" s="28" t="n"/>
      <c r="D284" s="14" t="n"/>
      <c r="E284" s="27" t="n"/>
      <c r="F284" s="27" t="n"/>
      <c r="G284" s="14" t="n"/>
      <c r="H284" s="28" t="n"/>
      <c r="I284" s="14" t="n"/>
      <c r="J284" s="36" t="n"/>
      <c r="K284" s="22">
        <f>IF($A284="","",IF(AND($H284="Open",ISNUMBER($G284)),IF($G284&lt;Dashboard!$B$16,"△ Overdue, was due "&amp;TEXT($G284,"d mmm yyyy"),"Open, due "&amp;TEXT($G284,"d mmm yyyy")),$H284&amp;""))</f>
        <v/>
      </c>
      <c r="L284" s="22">
        <f>IF($A284="","",IF($M284=1,"△ Needs one owner and a date",IF($N284=1,"△ Overdue, was due "&amp;TEXT($G284,"d mmm yyyy"),IF($O284=1,"△ Moved "&amp;$J284&amp;" times","○ Clear"))))</f>
        <v/>
      </c>
      <c r="M284" s="9">
        <f>IF($A284="",0,IF(OR($H284="Done",$H284="Dropped"),0,IF(OR($F284="",AND($B284="Action",NOT(ISNUMBER($G284))),LEN($F284)-LEN(SUBSTITUTE($F284,"(",""))&gt;=2,ISNUMBER(SEARCH(" and ",$Q284)),ISNUMBER(FIND("/",$Q284)),ISNUMBER(FIND("&amp;",$Q284)),ISNUMBER(FIND(",",$Q284))),1,0)))</f>
        <v/>
      </c>
      <c r="N284" s="9">
        <f>IF($A284="",0,IF(AND($H284="Open",ISNUMBER($G284)),IF($G284&lt;Dashboard!$B$16,1,0),0))</f>
        <v/>
      </c>
      <c r="O284" s="9">
        <f>IF($A284="",0,IF(AND($H284="Open",ISNUMBER($J284)),IF($J284&gt;=Dashboard!$H$9,1,0),0))</f>
        <v/>
      </c>
      <c r="P284" s="9">
        <f>IF($M284+$N284+$O284&gt;0,1,0)</f>
        <v/>
      </c>
      <c r="Q284" s="9">
        <f>LEFT($F284,IFERROR(FIND("(",$F284)-1,LEN($F284)))</f>
        <v/>
      </c>
    </row>
    <row r="285" ht="18" customHeight="1">
      <c r="A285" s="28" t="n"/>
      <c r="B285" s="28" t="n"/>
      <c r="C285" s="28" t="n"/>
      <c r="D285" s="14" t="n"/>
      <c r="E285" s="27" t="n"/>
      <c r="F285" s="27" t="n"/>
      <c r="G285" s="14" t="n"/>
      <c r="H285" s="28" t="n"/>
      <c r="I285" s="14" t="n"/>
      <c r="J285" s="36" t="n"/>
      <c r="K285" s="22">
        <f>IF($A285="","",IF(AND($H285="Open",ISNUMBER($G285)),IF($G285&lt;Dashboard!$B$16,"△ Overdue, was due "&amp;TEXT($G285,"d mmm yyyy"),"Open, due "&amp;TEXT($G285,"d mmm yyyy")),$H285&amp;""))</f>
        <v/>
      </c>
      <c r="L285" s="22">
        <f>IF($A285="","",IF($M285=1,"△ Needs one owner and a date",IF($N285=1,"△ Overdue, was due "&amp;TEXT($G285,"d mmm yyyy"),IF($O285=1,"△ Moved "&amp;$J285&amp;" times","○ Clear"))))</f>
        <v/>
      </c>
      <c r="M285" s="9">
        <f>IF($A285="",0,IF(OR($H285="Done",$H285="Dropped"),0,IF(OR($F285="",AND($B285="Action",NOT(ISNUMBER($G285))),LEN($F285)-LEN(SUBSTITUTE($F285,"(",""))&gt;=2,ISNUMBER(SEARCH(" and ",$Q285)),ISNUMBER(FIND("/",$Q285)),ISNUMBER(FIND("&amp;",$Q285)),ISNUMBER(FIND(",",$Q285))),1,0)))</f>
        <v/>
      </c>
      <c r="N285" s="9">
        <f>IF($A285="",0,IF(AND($H285="Open",ISNUMBER($G285)),IF($G285&lt;Dashboard!$B$16,1,0),0))</f>
        <v/>
      </c>
      <c r="O285" s="9">
        <f>IF($A285="",0,IF(AND($H285="Open",ISNUMBER($J285)),IF($J285&gt;=Dashboard!$H$9,1,0),0))</f>
        <v/>
      </c>
      <c r="P285" s="9">
        <f>IF($M285+$N285+$O285&gt;0,1,0)</f>
        <v/>
      </c>
      <c r="Q285" s="9">
        <f>LEFT($F285,IFERROR(FIND("(",$F285)-1,LEN($F285)))</f>
        <v/>
      </c>
    </row>
    <row r="286" ht="18" customHeight="1">
      <c r="A286" s="28" t="n"/>
      <c r="B286" s="28" t="n"/>
      <c r="C286" s="28" t="n"/>
      <c r="D286" s="14" t="n"/>
      <c r="E286" s="27" t="n"/>
      <c r="F286" s="27" t="n"/>
      <c r="G286" s="14" t="n"/>
      <c r="H286" s="28" t="n"/>
      <c r="I286" s="14" t="n"/>
      <c r="J286" s="36" t="n"/>
      <c r="K286" s="22">
        <f>IF($A286="","",IF(AND($H286="Open",ISNUMBER($G286)),IF($G286&lt;Dashboard!$B$16,"△ Overdue, was due "&amp;TEXT($G286,"d mmm yyyy"),"Open, due "&amp;TEXT($G286,"d mmm yyyy")),$H286&amp;""))</f>
        <v/>
      </c>
      <c r="L286" s="22">
        <f>IF($A286="","",IF($M286=1,"△ Needs one owner and a date",IF($N286=1,"△ Overdue, was due "&amp;TEXT($G286,"d mmm yyyy"),IF($O286=1,"△ Moved "&amp;$J286&amp;" times","○ Clear"))))</f>
        <v/>
      </c>
      <c r="M286" s="9">
        <f>IF($A286="",0,IF(OR($H286="Done",$H286="Dropped"),0,IF(OR($F286="",AND($B286="Action",NOT(ISNUMBER($G286))),LEN($F286)-LEN(SUBSTITUTE($F286,"(",""))&gt;=2,ISNUMBER(SEARCH(" and ",$Q286)),ISNUMBER(FIND("/",$Q286)),ISNUMBER(FIND("&amp;",$Q286)),ISNUMBER(FIND(",",$Q286))),1,0)))</f>
        <v/>
      </c>
      <c r="N286" s="9">
        <f>IF($A286="",0,IF(AND($H286="Open",ISNUMBER($G286)),IF($G286&lt;Dashboard!$B$16,1,0),0))</f>
        <v/>
      </c>
      <c r="O286" s="9">
        <f>IF($A286="",0,IF(AND($H286="Open",ISNUMBER($J286)),IF($J286&gt;=Dashboard!$H$9,1,0),0))</f>
        <v/>
      </c>
      <c r="P286" s="9">
        <f>IF($M286+$N286+$O286&gt;0,1,0)</f>
        <v/>
      </c>
      <c r="Q286" s="9">
        <f>LEFT($F286,IFERROR(FIND("(",$F286)-1,LEN($F286)))</f>
        <v/>
      </c>
    </row>
    <row r="287" ht="18" customHeight="1">
      <c r="A287" s="28" t="n"/>
      <c r="B287" s="28" t="n"/>
      <c r="C287" s="28" t="n"/>
      <c r="D287" s="14" t="n"/>
      <c r="E287" s="27" t="n"/>
      <c r="F287" s="27" t="n"/>
      <c r="G287" s="14" t="n"/>
      <c r="H287" s="28" t="n"/>
      <c r="I287" s="14" t="n"/>
      <c r="J287" s="36" t="n"/>
      <c r="K287" s="22">
        <f>IF($A287="","",IF(AND($H287="Open",ISNUMBER($G287)),IF($G287&lt;Dashboard!$B$16,"△ Overdue, was due "&amp;TEXT($G287,"d mmm yyyy"),"Open, due "&amp;TEXT($G287,"d mmm yyyy")),$H287&amp;""))</f>
        <v/>
      </c>
      <c r="L287" s="22">
        <f>IF($A287="","",IF($M287=1,"△ Needs one owner and a date",IF($N287=1,"△ Overdue, was due "&amp;TEXT($G287,"d mmm yyyy"),IF($O287=1,"△ Moved "&amp;$J287&amp;" times","○ Clear"))))</f>
        <v/>
      </c>
      <c r="M287" s="9">
        <f>IF($A287="",0,IF(OR($H287="Done",$H287="Dropped"),0,IF(OR($F287="",AND($B287="Action",NOT(ISNUMBER($G287))),LEN($F287)-LEN(SUBSTITUTE($F287,"(",""))&gt;=2,ISNUMBER(SEARCH(" and ",$Q287)),ISNUMBER(FIND("/",$Q287)),ISNUMBER(FIND("&amp;",$Q287)),ISNUMBER(FIND(",",$Q287))),1,0)))</f>
        <v/>
      </c>
      <c r="N287" s="9">
        <f>IF($A287="",0,IF(AND($H287="Open",ISNUMBER($G287)),IF($G287&lt;Dashboard!$B$16,1,0),0))</f>
        <v/>
      </c>
      <c r="O287" s="9">
        <f>IF($A287="",0,IF(AND($H287="Open",ISNUMBER($J287)),IF($J287&gt;=Dashboard!$H$9,1,0),0))</f>
        <v/>
      </c>
      <c r="P287" s="9">
        <f>IF($M287+$N287+$O287&gt;0,1,0)</f>
        <v/>
      </c>
      <c r="Q287" s="9">
        <f>LEFT($F287,IFERROR(FIND("(",$F287)-1,LEN($F287)))</f>
        <v/>
      </c>
    </row>
    <row r="288" ht="18" customHeight="1">
      <c r="A288" s="28" t="n"/>
      <c r="B288" s="28" t="n"/>
      <c r="C288" s="28" t="n"/>
      <c r="D288" s="14" t="n"/>
      <c r="E288" s="27" t="n"/>
      <c r="F288" s="27" t="n"/>
      <c r="G288" s="14" t="n"/>
      <c r="H288" s="28" t="n"/>
      <c r="I288" s="14" t="n"/>
      <c r="J288" s="36" t="n"/>
      <c r="K288" s="22">
        <f>IF($A288="","",IF(AND($H288="Open",ISNUMBER($G288)),IF($G288&lt;Dashboard!$B$16,"△ Overdue, was due "&amp;TEXT($G288,"d mmm yyyy"),"Open, due "&amp;TEXT($G288,"d mmm yyyy")),$H288&amp;""))</f>
        <v/>
      </c>
      <c r="L288" s="22">
        <f>IF($A288="","",IF($M288=1,"△ Needs one owner and a date",IF($N288=1,"△ Overdue, was due "&amp;TEXT($G288,"d mmm yyyy"),IF($O288=1,"△ Moved "&amp;$J288&amp;" times","○ Clear"))))</f>
        <v/>
      </c>
      <c r="M288" s="9">
        <f>IF($A288="",0,IF(OR($H288="Done",$H288="Dropped"),0,IF(OR($F288="",AND($B288="Action",NOT(ISNUMBER($G288))),LEN($F288)-LEN(SUBSTITUTE($F288,"(",""))&gt;=2,ISNUMBER(SEARCH(" and ",$Q288)),ISNUMBER(FIND("/",$Q288)),ISNUMBER(FIND("&amp;",$Q288)),ISNUMBER(FIND(",",$Q288))),1,0)))</f>
        <v/>
      </c>
      <c r="N288" s="9">
        <f>IF($A288="",0,IF(AND($H288="Open",ISNUMBER($G288)),IF($G288&lt;Dashboard!$B$16,1,0),0))</f>
        <v/>
      </c>
      <c r="O288" s="9">
        <f>IF($A288="",0,IF(AND($H288="Open",ISNUMBER($J288)),IF($J288&gt;=Dashboard!$H$9,1,0),0))</f>
        <v/>
      </c>
      <c r="P288" s="9">
        <f>IF($M288+$N288+$O288&gt;0,1,0)</f>
        <v/>
      </c>
      <c r="Q288" s="9">
        <f>LEFT($F288,IFERROR(FIND("(",$F288)-1,LEN($F288)))</f>
        <v/>
      </c>
    </row>
    <row r="289" ht="18" customHeight="1">
      <c r="A289" s="28" t="n"/>
      <c r="B289" s="28" t="n"/>
      <c r="C289" s="28" t="n"/>
      <c r="D289" s="14" t="n"/>
      <c r="E289" s="27" t="n"/>
      <c r="F289" s="27" t="n"/>
      <c r="G289" s="14" t="n"/>
      <c r="H289" s="28" t="n"/>
      <c r="I289" s="14" t="n"/>
      <c r="J289" s="36" t="n"/>
      <c r="K289" s="22">
        <f>IF($A289="","",IF(AND($H289="Open",ISNUMBER($G289)),IF($G289&lt;Dashboard!$B$16,"△ Overdue, was due "&amp;TEXT($G289,"d mmm yyyy"),"Open, due "&amp;TEXT($G289,"d mmm yyyy")),$H289&amp;""))</f>
        <v/>
      </c>
      <c r="L289" s="22">
        <f>IF($A289="","",IF($M289=1,"△ Needs one owner and a date",IF($N289=1,"△ Overdue, was due "&amp;TEXT($G289,"d mmm yyyy"),IF($O289=1,"△ Moved "&amp;$J289&amp;" times","○ Clear"))))</f>
        <v/>
      </c>
      <c r="M289" s="9">
        <f>IF($A289="",0,IF(OR($H289="Done",$H289="Dropped"),0,IF(OR($F289="",AND($B289="Action",NOT(ISNUMBER($G289))),LEN($F289)-LEN(SUBSTITUTE($F289,"(",""))&gt;=2,ISNUMBER(SEARCH(" and ",$Q289)),ISNUMBER(FIND("/",$Q289)),ISNUMBER(FIND("&amp;",$Q289)),ISNUMBER(FIND(",",$Q289))),1,0)))</f>
        <v/>
      </c>
      <c r="N289" s="9">
        <f>IF($A289="",0,IF(AND($H289="Open",ISNUMBER($G289)),IF($G289&lt;Dashboard!$B$16,1,0),0))</f>
        <v/>
      </c>
      <c r="O289" s="9">
        <f>IF($A289="",0,IF(AND($H289="Open",ISNUMBER($J289)),IF($J289&gt;=Dashboard!$H$9,1,0),0))</f>
        <v/>
      </c>
      <c r="P289" s="9">
        <f>IF($M289+$N289+$O289&gt;0,1,0)</f>
        <v/>
      </c>
      <c r="Q289" s="9">
        <f>LEFT($F289,IFERROR(FIND("(",$F289)-1,LEN($F289)))</f>
        <v/>
      </c>
    </row>
    <row r="290" ht="18" customHeight="1">
      <c r="A290" s="28" t="n"/>
      <c r="B290" s="28" t="n"/>
      <c r="C290" s="28" t="n"/>
      <c r="D290" s="14" t="n"/>
      <c r="E290" s="27" t="n"/>
      <c r="F290" s="27" t="n"/>
      <c r="G290" s="14" t="n"/>
      <c r="H290" s="28" t="n"/>
      <c r="I290" s="14" t="n"/>
      <c r="J290" s="36" t="n"/>
      <c r="K290" s="22">
        <f>IF($A290="","",IF(AND($H290="Open",ISNUMBER($G290)),IF($G290&lt;Dashboard!$B$16,"△ Overdue, was due "&amp;TEXT($G290,"d mmm yyyy"),"Open, due "&amp;TEXT($G290,"d mmm yyyy")),$H290&amp;""))</f>
        <v/>
      </c>
      <c r="L290" s="22">
        <f>IF($A290="","",IF($M290=1,"△ Needs one owner and a date",IF($N290=1,"△ Overdue, was due "&amp;TEXT($G290,"d mmm yyyy"),IF($O290=1,"△ Moved "&amp;$J290&amp;" times","○ Clear"))))</f>
        <v/>
      </c>
      <c r="M290" s="9">
        <f>IF($A290="",0,IF(OR($H290="Done",$H290="Dropped"),0,IF(OR($F290="",AND($B290="Action",NOT(ISNUMBER($G290))),LEN($F290)-LEN(SUBSTITUTE($F290,"(",""))&gt;=2,ISNUMBER(SEARCH(" and ",$Q290)),ISNUMBER(FIND("/",$Q290)),ISNUMBER(FIND("&amp;",$Q290)),ISNUMBER(FIND(",",$Q290))),1,0)))</f>
        <v/>
      </c>
      <c r="N290" s="9">
        <f>IF($A290="",0,IF(AND($H290="Open",ISNUMBER($G290)),IF($G290&lt;Dashboard!$B$16,1,0),0))</f>
        <v/>
      </c>
      <c r="O290" s="9">
        <f>IF($A290="",0,IF(AND($H290="Open",ISNUMBER($J290)),IF($J290&gt;=Dashboard!$H$9,1,0),0))</f>
        <v/>
      </c>
      <c r="P290" s="9">
        <f>IF($M290+$N290+$O290&gt;0,1,0)</f>
        <v/>
      </c>
      <c r="Q290" s="9">
        <f>LEFT($F290,IFERROR(FIND("(",$F290)-1,LEN($F290)))</f>
        <v/>
      </c>
    </row>
    <row r="291" ht="18" customHeight="1">
      <c r="A291" s="28" t="n"/>
      <c r="B291" s="28" t="n"/>
      <c r="C291" s="28" t="n"/>
      <c r="D291" s="14" t="n"/>
      <c r="E291" s="27" t="n"/>
      <c r="F291" s="27" t="n"/>
      <c r="G291" s="14" t="n"/>
      <c r="H291" s="28" t="n"/>
      <c r="I291" s="14" t="n"/>
      <c r="J291" s="36" t="n"/>
      <c r="K291" s="22">
        <f>IF($A291="","",IF(AND($H291="Open",ISNUMBER($G291)),IF($G291&lt;Dashboard!$B$16,"△ Overdue, was due "&amp;TEXT($G291,"d mmm yyyy"),"Open, due "&amp;TEXT($G291,"d mmm yyyy")),$H291&amp;""))</f>
        <v/>
      </c>
      <c r="L291" s="22">
        <f>IF($A291="","",IF($M291=1,"△ Needs one owner and a date",IF($N291=1,"△ Overdue, was due "&amp;TEXT($G291,"d mmm yyyy"),IF($O291=1,"△ Moved "&amp;$J291&amp;" times","○ Clear"))))</f>
        <v/>
      </c>
      <c r="M291" s="9">
        <f>IF($A291="",0,IF(OR($H291="Done",$H291="Dropped"),0,IF(OR($F291="",AND($B291="Action",NOT(ISNUMBER($G291))),LEN($F291)-LEN(SUBSTITUTE($F291,"(",""))&gt;=2,ISNUMBER(SEARCH(" and ",$Q291)),ISNUMBER(FIND("/",$Q291)),ISNUMBER(FIND("&amp;",$Q291)),ISNUMBER(FIND(",",$Q291))),1,0)))</f>
        <v/>
      </c>
      <c r="N291" s="9">
        <f>IF($A291="",0,IF(AND($H291="Open",ISNUMBER($G291)),IF($G291&lt;Dashboard!$B$16,1,0),0))</f>
        <v/>
      </c>
      <c r="O291" s="9">
        <f>IF($A291="",0,IF(AND($H291="Open",ISNUMBER($J291)),IF($J291&gt;=Dashboard!$H$9,1,0),0))</f>
        <v/>
      </c>
      <c r="P291" s="9">
        <f>IF($M291+$N291+$O291&gt;0,1,0)</f>
        <v/>
      </c>
      <c r="Q291" s="9">
        <f>LEFT($F291,IFERROR(FIND("(",$F291)-1,LEN($F291)))</f>
        <v/>
      </c>
    </row>
    <row r="292" ht="18" customHeight="1">
      <c r="A292" s="28" t="n"/>
      <c r="B292" s="28" t="n"/>
      <c r="C292" s="28" t="n"/>
      <c r="D292" s="14" t="n"/>
      <c r="E292" s="27" t="n"/>
      <c r="F292" s="27" t="n"/>
      <c r="G292" s="14" t="n"/>
      <c r="H292" s="28" t="n"/>
      <c r="I292" s="14" t="n"/>
      <c r="J292" s="36" t="n"/>
      <c r="K292" s="22">
        <f>IF($A292="","",IF(AND($H292="Open",ISNUMBER($G292)),IF($G292&lt;Dashboard!$B$16,"△ Overdue, was due "&amp;TEXT($G292,"d mmm yyyy"),"Open, due "&amp;TEXT($G292,"d mmm yyyy")),$H292&amp;""))</f>
        <v/>
      </c>
      <c r="L292" s="22">
        <f>IF($A292="","",IF($M292=1,"△ Needs one owner and a date",IF($N292=1,"△ Overdue, was due "&amp;TEXT($G292,"d mmm yyyy"),IF($O292=1,"△ Moved "&amp;$J292&amp;" times","○ Clear"))))</f>
        <v/>
      </c>
      <c r="M292" s="9">
        <f>IF($A292="",0,IF(OR($H292="Done",$H292="Dropped"),0,IF(OR($F292="",AND($B292="Action",NOT(ISNUMBER($G292))),LEN($F292)-LEN(SUBSTITUTE($F292,"(",""))&gt;=2,ISNUMBER(SEARCH(" and ",$Q292)),ISNUMBER(FIND("/",$Q292)),ISNUMBER(FIND("&amp;",$Q292)),ISNUMBER(FIND(",",$Q292))),1,0)))</f>
        <v/>
      </c>
      <c r="N292" s="9">
        <f>IF($A292="",0,IF(AND($H292="Open",ISNUMBER($G292)),IF($G292&lt;Dashboard!$B$16,1,0),0))</f>
        <v/>
      </c>
      <c r="O292" s="9">
        <f>IF($A292="",0,IF(AND($H292="Open",ISNUMBER($J292)),IF($J292&gt;=Dashboard!$H$9,1,0),0))</f>
        <v/>
      </c>
      <c r="P292" s="9">
        <f>IF($M292+$N292+$O292&gt;0,1,0)</f>
        <v/>
      </c>
      <c r="Q292" s="9">
        <f>LEFT($F292,IFERROR(FIND("(",$F292)-1,LEN($F292)))</f>
        <v/>
      </c>
    </row>
    <row r="293" ht="18" customHeight="1">
      <c r="A293" s="28" t="n"/>
      <c r="B293" s="28" t="n"/>
      <c r="C293" s="28" t="n"/>
      <c r="D293" s="14" t="n"/>
      <c r="E293" s="27" t="n"/>
      <c r="F293" s="27" t="n"/>
      <c r="G293" s="14" t="n"/>
      <c r="H293" s="28" t="n"/>
      <c r="I293" s="14" t="n"/>
      <c r="J293" s="36" t="n"/>
      <c r="K293" s="22">
        <f>IF($A293="","",IF(AND($H293="Open",ISNUMBER($G293)),IF($G293&lt;Dashboard!$B$16,"△ Overdue, was due "&amp;TEXT($G293,"d mmm yyyy"),"Open, due "&amp;TEXT($G293,"d mmm yyyy")),$H293&amp;""))</f>
        <v/>
      </c>
      <c r="L293" s="22">
        <f>IF($A293="","",IF($M293=1,"△ Needs one owner and a date",IF($N293=1,"△ Overdue, was due "&amp;TEXT($G293,"d mmm yyyy"),IF($O293=1,"△ Moved "&amp;$J293&amp;" times","○ Clear"))))</f>
        <v/>
      </c>
      <c r="M293" s="9">
        <f>IF($A293="",0,IF(OR($H293="Done",$H293="Dropped"),0,IF(OR($F293="",AND($B293="Action",NOT(ISNUMBER($G293))),LEN($F293)-LEN(SUBSTITUTE($F293,"(",""))&gt;=2,ISNUMBER(SEARCH(" and ",$Q293)),ISNUMBER(FIND("/",$Q293)),ISNUMBER(FIND("&amp;",$Q293)),ISNUMBER(FIND(",",$Q293))),1,0)))</f>
        <v/>
      </c>
      <c r="N293" s="9">
        <f>IF($A293="",0,IF(AND($H293="Open",ISNUMBER($G293)),IF($G293&lt;Dashboard!$B$16,1,0),0))</f>
        <v/>
      </c>
      <c r="O293" s="9">
        <f>IF($A293="",0,IF(AND($H293="Open",ISNUMBER($J293)),IF($J293&gt;=Dashboard!$H$9,1,0),0))</f>
        <v/>
      </c>
      <c r="P293" s="9">
        <f>IF($M293+$N293+$O293&gt;0,1,0)</f>
        <v/>
      </c>
      <c r="Q293" s="9">
        <f>LEFT($F293,IFERROR(FIND("(",$F293)-1,LEN($F293)))</f>
        <v/>
      </c>
    </row>
    <row r="294" ht="18" customHeight="1">
      <c r="A294" s="28" t="n"/>
      <c r="B294" s="28" t="n"/>
      <c r="C294" s="28" t="n"/>
      <c r="D294" s="14" t="n"/>
      <c r="E294" s="27" t="n"/>
      <c r="F294" s="27" t="n"/>
      <c r="G294" s="14" t="n"/>
      <c r="H294" s="28" t="n"/>
      <c r="I294" s="14" t="n"/>
      <c r="J294" s="36" t="n"/>
      <c r="K294" s="22">
        <f>IF($A294="","",IF(AND($H294="Open",ISNUMBER($G294)),IF($G294&lt;Dashboard!$B$16,"△ Overdue, was due "&amp;TEXT($G294,"d mmm yyyy"),"Open, due "&amp;TEXT($G294,"d mmm yyyy")),$H294&amp;""))</f>
        <v/>
      </c>
      <c r="L294" s="22">
        <f>IF($A294="","",IF($M294=1,"△ Needs one owner and a date",IF($N294=1,"△ Overdue, was due "&amp;TEXT($G294,"d mmm yyyy"),IF($O294=1,"△ Moved "&amp;$J294&amp;" times","○ Clear"))))</f>
        <v/>
      </c>
      <c r="M294" s="9">
        <f>IF($A294="",0,IF(OR($H294="Done",$H294="Dropped"),0,IF(OR($F294="",AND($B294="Action",NOT(ISNUMBER($G294))),LEN($F294)-LEN(SUBSTITUTE($F294,"(",""))&gt;=2,ISNUMBER(SEARCH(" and ",$Q294)),ISNUMBER(FIND("/",$Q294)),ISNUMBER(FIND("&amp;",$Q294)),ISNUMBER(FIND(",",$Q294))),1,0)))</f>
        <v/>
      </c>
      <c r="N294" s="9">
        <f>IF($A294="",0,IF(AND($H294="Open",ISNUMBER($G294)),IF($G294&lt;Dashboard!$B$16,1,0),0))</f>
        <v/>
      </c>
      <c r="O294" s="9">
        <f>IF($A294="",0,IF(AND($H294="Open",ISNUMBER($J294)),IF($J294&gt;=Dashboard!$H$9,1,0),0))</f>
        <v/>
      </c>
      <c r="P294" s="9">
        <f>IF($M294+$N294+$O294&gt;0,1,0)</f>
        <v/>
      </c>
      <c r="Q294" s="9">
        <f>LEFT($F294,IFERROR(FIND("(",$F294)-1,LEN($F294)))</f>
        <v/>
      </c>
    </row>
    <row r="295" ht="18" customHeight="1">
      <c r="A295" s="28" t="n"/>
      <c r="B295" s="28" t="n"/>
      <c r="C295" s="28" t="n"/>
      <c r="D295" s="14" t="n"/>
      <c r="E295" s="27" t="n"/>
      <c r="F295" s="27" t="n"/>
      <c r="G295" s="14" t="n"/>
      <c r="H295" s="28" t="n"/>
      <c r="I295" s="14" t="n"/>
      <c r="J295" s="36" t="n"/>
      <c r="K295" s="22">
        <f>IF($A295="","",IF(AND($H295="Open",ISNUMBER($G295)),IF($G295&lt;Dashboard!$B$16,"△ Overdue, was due "&amp;TEXT($G295,"d mmm yyyy"),"Open, due "&amp;TEXT($G295,"d mmm yyyy")),$H295&amp;""))</f>
        <v/>
      </c>
      <c r="L295" s="22">
        <f>IF($A295="","",IF($M295=1,"△ Needs one owner and a date",IF($N295=1,"△ Overdue, was due "&amp;TEXT($G295,"d mmm yyyy"),IF($O295=1,"△ Moved "&amp;$J295&amp;" times","○ Clear"))))</f>
        <v/>
      </c>
      <c r="M295" s="9">
        <f>IF($A295="",0,IF(OR($H295="Done",$H295="Dropped"),0,IF(OR($F295="",AND($B295="Action",NOT(ISNUMBER($G295))),LEN($F295)-LEN(SUBSTITUTE($F295,"(",""))&gt;=2,ISNUMBER(SEARCH(" and ",$Q295)),ISNUMBER(FIND("/",$Q295)),ISNUMBER(FIND("&amp;",$Q295)),ISNUMBER(FIND(",",$Q295))),1,0)))</f>
        <v/>
      </c>
      <c r="N295" s="9">
        <f>IF($A295="",0,IF(AND($H295="Open",ISNUMBER($G295)),IF($G295&lt;Dashboard!$B$16,1,0),0))</f>
        <v/>
      </c>
      <c r="O295" s="9">
        <f>IF($A295="",0,IF(AND($H295="Open",ISNUMBER($J295)),IF($J295&gt;=Dashboard!$H$9,1,0),0))</f>
        <v/>
      </c>
      <c r="P295" s="9">
        <f>IF($M295+$N295+$O295&gt;0,1,0)</f>
        <v/>
      </c>
      <c r="Q295" s="9">
        <f>LEFT($F295,IFERROR(FIND("(",$F295)-1,LEN($F295)))</f>
        <v/>
      </c>
    </row>
    <row r="296" ht="18" customHeight="1">
      <c r="A296" s="28" t="n"/>
      <c r="B296" s="28" t="n"/>
      <c r="C296" s="28" t="n"/>
      <c r="D296" s="14" t="n"/>
      <c r="E296" s="27" t="n"/>
      <c r="F296" s="27" t="n"/>
      <c r="G296" s="14" t="n"/>
      <c r="H296" s="28" t="n"/>
      <c r="I296" s="14" t="n"/>
      <c r="J296" s="36" t="n"/>
      <c r="K296" s="22">
        <f>IF($A296="","",IF(AND($H296="Open",ISNUMBER($G296)),IF($G296&lt;Dashboard!$B$16,"△ Overdue, was due "&amp;TEXT($G296,"d mmm yyyy"),"Open, due "&amp;TEXT($G296,"d mmm yyyy")),$H296&amp;""))</f>
        <v/>
      </c>
      <c r="L296" s="22">
        <f>IF($A296="","",IF($M296=1,"△ Needs one owner and a date",IF($N296=1,"△ Overdue, was due "&amp;TEXT($G296,"d mmm yyyy"),IF($O296=1,"△ Moved "&amp;$J296&amp;" times","○ Clear"))))</f>
        <v/>
      </c>
      <c r="M296" s="9">
        <f>IF($A296="",0,IF(OR($H296="Done",$H296="Dropped"),0,IF(OR($F296="",AND($B296="Action",NOT(ISNUMBER($G296))),LEN($F296)-LEN(SUBSTITUTE($F296,"(",""))&gt;=2,ISNUMBER(SEARCH(" and ",$Q296)),ISNUMBER(FIND("/",$Q296)),ISNUMBER(FIND("&amp;",$Q296)),ISNUMBER(FIND(",",$Q296))),1,0)))</f>
        <v/>
      </c>
      <c r="N296" s="9">
        <f>IF($A296="",0,IF(AND($H296="Open",ISNUMBER($G296)),IF($G296&lt;Dashboard!$B$16,1,0),0))</f>
        <v/>
      </c>
      <c r="O296" s="9">
        <f>IF($A296="",0,IF(AND($H296="Open",ISNUMBER($J296)),IF($J296&gt;=Dashboard!$H$9,1,0),0))</f>
        <v/>
      </c>
      <c r="P296" s="9">
        <f>IF($M296+$N296+$O296&gt;0,1,0)</f>
        <v/>
      </c>
      <c r="Q296" s="9">
        <f>LEFT($F296,IFERROR(FIND("(",$F296)-1,LEN($F296)))</f>
        <v/>
      </c>
    </row>
    <row r="297" ht="18" customHeight="1">
      <c r="A297" s="28" t="n"/>
      <c r="B297" s="28" t="n"/>
      <c r="C297" s="28" t="n"/>
      <c r="D297" s="14" t="n"/>
      <c r="E297" s="27" t="n"/>
      <c r="F297" s="27" t="n"/>
      <c r="G297" s="14" t="n"/>
      <c r="H297" s="28" t="n"/>
      <c r="I297" s="14" t="n"/>
      <c r="J297" s="36" t="n"/>
      <c r="K297" s="22">
        <f>IF($A297="","",IF(AND($H297="Open",ISNUMBER($G297)),IF($G297&lt;Dashboard!$B$16,"△ Overdue, was due "&amp;TEXT($G297,"d mmm yyyy"),"Open, due "&amp;TEXT($G297,"d mmm yyyy")),$H297&amp;""))</f>
        <v/>
      </c>
      <c r="L297" s="22">
        <f>IF($A297="","",IF($M297=1,"△ Needs one owner and a date",IF($N297=1,"△ Overdue, was due "&amp;TEXT($G297,"d mmm yyyy"),IF($O297=1,"△ Moved "&amp;$J297&amp;" times","○ Clear"))))</f>
        <v/>
      </c>
      <c r="M297" s="9">
        <f>IF($A297="",0,IF(OR($H297="Done",$H297="Dropped"),0,IF(OR($F297="",AND($B297="Action",NOT(ISNUMBER($G297))),LEN($F297)-LEN(SUBSTITUTE($F297,"(",""))&gt;=2,ISNUMBER(SEARCH(" and ",$Q297)),ISNUMBER(FIND("/",$Q297)),ISNUMBER(FIND("&amp;",$Q297)),ISNUMBER(FIND(",",$Q297))),1,0)))</f>
        <v/>
      </c>
      <c r="N297" s="9">
        <f>IF($A297="",0,IF(AND($H297="Open",ISNUMBER($G297)),IF($G297&lt;Dashboard!$B$16,1,0),0))</f>
        <v/>
      </c>
      <c r="O297" s="9">
        <f>IF($A297="",0,IF(AND($H297="Open",ISNUMBER($J297)),IF($J297&gt;=Dashboard!$H$9,1,0),0))</f>
        <v/>
      </c>
      <c r="P297" s="9">
        <f>IF($M297+$N297+$O297&gt;0,1,0)</f>
        <v/>
      </c>
      <c r="Q297" s="9">
        <f>LEFT($F297,IFERROR(FIND("(",$F297)-1,LEN($F297)))</f>
        <v/>
      </c>
    </row>
    <row r="298" ht="18" customHeight="1">
      <c r="A298" s="28" t="n"/>
      <c r="B298" s="28" t="n"/>
      <c r="C298" s="28" t="n"/>
      <c r="D298" s="14" t="n"/>
      <c r="E298" s="27" t="n"/>
      <c r="F298" s="27" t="n"/>
      <c r="G298" s="14" t="n"/>
      <c r="H298" s="28" t="n"/>
      <c r="I298" s="14" t="n"/>
      <c r="J298" s="36" t="n"/>
      <c r="K298" s="22">
        <f>IF($A298="","",IF(AND($H298="Open",ISNUMBER($G298)),IF($G298&lt;Dashboard!$B$16,"△ Overdue, was due "&amp;TEXT($G298,"d mmm yyyy"),"Open, due "&amp;TEXT($G298,"d mmm yyyy")),$H298&amp;""))</f>
        <v/>
      </c>
      <c r="L298" s="22">
        <f>IF($A298="","",IF($M298=1,"△ Needs one owner and a date",IF($N298=1,"△ Overdue, was due "&amp;TEXT($G298,"d mmm yyyy"),IF($O298=1,"△ Moved "&amp;$J298&amp;" times","○ Clear"))))</f>
        <v/>
      </c>
      <c r="M298" s="9">
        <f>IF($A298="",0,IF(OR($H298="Done",$H298="Dropped"),0,IF(OR($F298="",AND($B298="Action",NOT(ISNUMBER($G298))),LEN($F298)-LEN(SUBSTITUTE($F298,"(",""))&gt;=2,ISNUMBER(SEARCH(" and ",$Q298)),ISNUMBER(FIND("/",$Q298)),ISNUMBER(FIND("&amp;",$Q298)),ISNUMBER(FIND(",",$Q298))),1,0)))</f>
        <v/>
      </c>
      <c r="N298" s="9">
        <f>IF($A298="",0,IF(AND($H298="Open",ISNUMBER($G298)),IF($G298&lt;Dashboard!$B$16,1,0),0))</f>
        <v/>
      </c>
      <c r="O298" s="9">
        <f>IF($A298="",0,IF(AND($H298="Open",ISNUMBER($J298)),IF($J298&gt;=Dashboard!$H$9,1,0),0))</f>
        <v/>
      </c>
      <c r="P298" s="9">
        <f>IF($M298+$N298+$O298&gt;0,1,0)</f>
        <v/>
      </c>
      <c r="Q298" s="9">
        <f>LEFT($F298,IFERROR(FIND("(",$F298)-1,LEN($F298)))</f>
        <v/>
      </c>
    </row>
    <row r="299" ht="18" customHeight="1">
      <c r="A299" s="28" t="n"/>
      <c r="B299" s="28" t="n"/>
      <c r="C299" s="28" t="n"/>
      <c r="D299" s="14" t="n"/>
      <c r="E299" s="27" t="n"/>
      <c r="F299" s="27" t="n"/>
      <c r="G299" s="14" t="n"/>
      <c r="H299" s="28" t="n"/>
      <c r="I299" s="14" t="n"/>
      <c r="J299" s="36" t="n"/>
      <c r="K299" s="22">
        <f>IF($A299="","",IF(AND($H299="Open",ISNUMBER($G299)),IF($G299&lt;Dashboard!$B$16,"△ Overdue, was due "&amp;TEXT($G299,"d mmm yyyy"),"Open, due "&amp;TEXT($G299,"d mmm yyyy")),$H299&amp;""))</f>
        <v/>
      </c>
      <c r="L299" s="22">
        <f>IF($A299="","",IF($M299=1,"△ Needs one owner and a date",IF($N299=1,"△ Overdue, was due "&amp;TEXT($G299,"d mmm yyyy"),IF($O299=1,"△ Moved "&amp;$J299&amp;" times","○ Clear"))))</f>
        <v/>
      </c>
      <c r="M299" s="9">
        <f>IF($A299="",0,IF(OR($H299="Done",$H299="Dropped"),0,IF(OR($F299="",AND($B299="Action",NOT(ISNUMBER($G299))),LEN($F299)-LEN(SUBSTITUTE($F299,"(",""))&gt;=2,ISNUMBER(SEARCH(" and ",$Q299)),ISNUMBER(FIND("/",$Q299)),ISNUMBER(FIND("&amp;",$Q299)),ISNUMBER(FIND(",",$Q299))),1,0)))</f>
        <v/>
      </c>
      <c r="N299" s="9">
        <f>IF($A299="",0,IF(AND($H299="Open",ISNUMBER($G299)),IF($G299&lt;Dashboard!$B$16,1,0),0))</f>
        <v/>
      </c>
      <c r="O299" s="9">
        <f>IF($A299="",0,IF(AND($H299="Open",ISNUMBER($J299)),IF($J299&gt;=Dashboard!$H$9,1,0),0))</f>
        <v/>
      </c>
      <c r="P299" s="9">
        <f>IF($M299+$N299+$O299&gt;0,1,0)</f>
        <v/>
      </c>
      <c r="Q299" s="9">
        <f>LEFT($F299,IFERROR(FIND("(",$F299)-1,LEN($F299)))</f>
        <v/>
      </c>
    </row>
    <row r="300" ht="18" customHeight="1">
      <c r="A300" s="28" t="n"/>
      <c r="B300" s="28" t="n"/>
      <c r="C300" s="28" t="n"/>
      <c r="D300" s="14" t="n"/>
      <c r="E300" s="27" t="n"/>
      <c r="F300" s="27" t="n"/>
      <c r="G300" s="14" t="n"/>
      <c r="H300" s="28" t="n"/>
      <c r="I300" s="14" t="n"/>
      <c r="J300" s="36" t="n"/>
      <c r="K300" s="22">
        <f>IF($A300="","",IF(AND($H300="Open",ISNUMBER($G300)),IF($G300&lt;Dashboard!$B$16,"△ Overdue, was due "&amp;TEXT($G300,"d mmm yyyy"),"Open, due "&amp;TEXT($G300,"d mmm yyyy")),$H300&amp;""))</f>
        <v/>
      </c>
      <c r="L300" s="22">
        <f>IF($A300="","",IF($M300=1,"△ Needs one owner and a date",IF($N300=1,"△ Overdue, was due "&amp;TEXT($G300,"d mmm yyyy"),IF($O300=1,"△ Moved "&amp;$J300&amp;" times","○ Clear"))))</f>
        <v/>
      </c>
      <c r="M300" s="9">
        <f>IF($A300="",0,IF(OR($H300="Done",$H300="Dropped"),0,IF(OR($F300="",AND($B300="Action",NOT(ISNUMBER($G300))),LEN($F300)-LEN(SUBSTITUTE($F300,"(",""))&gt;=2,ISNUMBER(SEARCH(" and ",$Q300)),ISNUMBER(FIND("/",$Q300)),ISNUMBER(FIND("&amp;",$Q300)),ISNUMBER(FIND(",",$Q300))),1,0)))</f>
        <v/>
      </c>
      <c r="N300" s="9">
        <f>IF($A300="",0,IF(AND($H300="Open",ISNUMBER($G300)),IF($G300&lt;Dashboard!$B$16,1,0),0))</f>
        <v/>
      </c>
      <c r="O300" s="9">
        <f>IF($A300="",0,IF(AND($H300="Open",ISNUMBER($J300)),IF($J300&gt;=Dashboard!$H$9,1,0),0))</f>
        <v/>
      </c>
      <c r="P300" s="9">
        <f>IF($M300+$N300+$O300&gt;0,1,0)</f>
        <v/>
      </c>
      <c r="Q300" s="9">
        <f>LEFT($F300,IFERROR(FIND("(",$F300)-1,LEN($F300)))</f>
        <v/>
      </c>
    </row>
    <row r="301" ht="18" customHeight="1">
      <c r="A301" s="28" t="n"/>
      <c r="B301" s="28" t="n"/>
      <c r="C301" s="28" t="n"/>
      <c r="D301" s="14" t="n"/>
      <c r="E301" s="27" t="n"/>
      <c r="F301" s="27" t="n"/>
      <c r="G301" s="14" t="n"/>
      <c r="H301" s="28" t="n"/>
      <c r="I301" s="14" t="n"/>
      <c r="J301" s="36" t="n"/>
      <c r="K301" s="22">
        <f>IF($A301="","",IF(AND($H301="Open",ISNUMBER($G301)),IF($G301&lt;Dashboard!$B$16,"△ Overdue, was due "&amp;TEXT($G301,"d mmm yyyy"),"Open, due "&amp;TEXT($G301,"d mmm yyyy")),$H301&amp;""))</f>
        <v/>
      </c>
      <c r="L301" s="22">
        <f>IF($A301="","",IF($M301=1,"△ Needs one owner and a date",IF($N301=1,"△ Overdue, was due "&amp;TEXT($G301,"d mmm yyyy"),IF($O301=1,"△ Moved "&amp;$J301&amp;" times","○ Clear"))))</f>
        <v/>
      </c>
      <c r="M301" s="9">
        <f>IF($A301="",0,IF(OR($H301="Done",$H301="Dropped"),0,IF(OR($F301="",AND($B301="Action",NOT(ISNUMBER($G301))),LEN($F301)-LEN(SUBSTITUTE($F301,"(",""))&gt;=2,ISNUMBER(SEARCH(" and ",$Q301)),ISNUMBER(FIND("/",$Q301)),ISNUMBER(FIND("&amp;",$Q301)),ISNUMBER(FIND(",",$Q301))),1,0)))</f>
        <v/>
      </c>
      <c r="N301" s="9">
        <f>IF($A301="",0,IF(AND($H301="Open",ISNUMBER($G301)),IF($G301&lt;Dashboard!$B$16,1,0),0))</f>
        <v/>
      </c>
      <c r="O301" s="9">
        <f>IF($A301="",0,IF(AND($H301="Open",ISNUMBER($J301)),IF($J301&gt;=Dashboard!$H$9,1,0),0))</f>
        <v/>
      </c>
      <c r="P301" s="9">
        <f>IF($M301+$N301+$O301&gt;0,1,0)</f>
        <v/>
      </c>
      <c r="Q301" s="9">
        <f>LEFT($F301,IFERROR(FIND("(",$F301)-1,LEN($F301)))</f>
        <v/>
      </c>
    </row>
    <row r="302" ht="18" customHeight="1">
      <c r="A302" s="28" t="n"/>
      <c r="B302" s="28" t="n"/>
      <c r="C302" s="28" t="n"/>
      <c r="D302" s="14" t="n"/>
      <c r="E302" s="27" t="n"/>
      <c r="F302" s="27" t="n"/>
      <c r="G302" s="14" t="n"/>
      <c r="H302" s="28" t="n"/>
      <c r="I302" s="14" t="n"/>
      <c r="J302" s="36" t="n"/>
      <c r="K302" s="22">
        <f>IF($A302="","",IF(AND($H302="Open",ISNUMBER($G302)),IF($G302&lt;Dashboard!$B$16,"△ Overdue, was due "&amp;TEXT($G302,"d mmm yyyy"),"Open, due "&amp;TEXT($G302,"d mmm yyyy")),$H302&amp;""))</f>
        <v/>
      </c>
      <c r="L302" s="22">
        <f>IF($A302="","",IF($M302=1,"△ Needs one owner and a date",IF($N302=1,"△ Overdue, was due "&amp;TEXT($G302,"d mmm yyyy"),IF($O302=1,"△ Moved "&amp;$J302&amp;" times","○ Clear"))))</f>
        <v/>
      </c>
      <c r="M302" s="9">
        <f>IF($A302="",0,IF(OR($H302="Done",$H302="Dropped"),0,IF(OR($F302="",AND($B302="Action",NOT(ISNUMBER($G302))),LEN($F302)-LEN(SUBSTITUTE($F302,"(",""))&gt;=2,ISNUMBER(SEARCH(" and ",$Q302)),ISNUMBER(FIND("/",$Q302)),ISNUMBER(FIND("&amp;",$Q302)),ISNUMBER(FIND(",",$Q302))),1,0)))</f>
        <v/>
      </c>
      <c r="N302" s="9">
        <f>IF($A302="",0,IF(AND($H302="Open",ISNUMBER($G302)),IF($G302&lt;Dashboard!$B$16,1,0),0))</f>
        <v/>
      </c>
      <c r="O302" s="9">
        <f>IF($A302="",0,IF(AND($H302="Open",ISNUMBER($J302)),IF($J302&gt;=Dashboard!$H$9,1,0),0))</f>
        <v/>
      </c>
      <c r="P302" s="9">
        <f>IF($M302+$N302+$O302&gt;0,1,0)</f>
        <v/>
      </c>
      <c r="Q302" s="9">
        <f>LEFT($F302,IFERROR(FIND("(",$F302)-1,LEN($F302)))</f>
        <v/>
      </c>
    </row>
    <row r="303" ht="18" customHeight="1">
      <c r="A303" s="28" t="n"/>
      <c r="B303" s="28" t="n"/>
      <c r="C303" s="28" t="n"/>
      <c r="D303" s="14" t="n"/>
      <c r="E303" s="27" t="n"/>
      <c r="F303" s="27" t="n"/>
      <c r="G303" s="14" t="n"/>
      <c r="H303" s="28" t="n"/>
      <c r="I303" s="14" t="n"/>
      <c r="J303" s="36" t="n"/>
      <c r="K303" s="22">
        <f>IF($A303="","",IF(AND($H303="Open",ISNUMBER($G303)),IF($G303&lt;Dashboard!$B$16,"△ Overdue, was due "&amp;TEXT($G303,"d mmm yyyy"),"Open, due "&amp;TEXT($G303,"d mmm yyyy")),$H303&amp;""))</f>
        <v/>
      </c>
      <c r="L303" s="22">
        <f>IF($A303="","",IF($M303=1,"△ Needs one owner and a date",IF($N303=1,"△ Overdue, was due "&amp;TEXT($G303,"d mmm yyyy"),IF($O303=1,"△ Moved "&amp;$J303&amp;" times","○ Clear"))))</f>
        <v/>
      </c>
      <c r="M303" s="9">
        <f>IF($A303="",0,IF(OR($H303="Done",$H303="Dropped"),0,IF(OR($F303="",AND($B303="Action",NOT(ISNUMBER($G303))),LEN($F303)-LEN(SUBSTITUTE($F303,"(",""))&gt;=2,ISNUMBER(SEARCH(" and ",$Q303)),ISNUMBER(FIND("/",$Q303)),ISNUMBER(FIND("&amp;",$Q303)),ISNUMBER(FIND(",",$Q303))),1,0)))</f>
        <v/>
      </c>
      <c r="N303" s="9">
        <f>IF($A303="",0,IF(AND($H303="Open",ISNUMBER($G303)),IF($G303&lt;Dashboard!$B$16,1,0),0))</f>
        <v/>
      </c>
      <c r="O303" s="9">
        <f>IF($A303="",0,IF(AND($H303="Open",ISNUMBER($J303)),IF($J303&gt;=Dashboard!$H$9,1,0),0))</f>
        <v/>
      </c>
      <c r="P303" s="9">
        <f>IF($M303+$N303+$O303&gt;0,1,0)</f>
        <v/>
      </c>
      <c r="Q303" s="9">
        <f>LEFT($F303,IFERROR(FIND("(",$F303)-1,LEN($F303)))</f>
        <v/>
      </c>
    </row>
    <row r="304" ht="18" customHeight="1">
      <c r="A304" s="28" t="n"/>
      <c r="B304" s="28" t="n"/>
      <c r="C304" s="28" t="n"/>
      <c r="D304" s="14" t="n"/>
      <c r="E304" s="27" t="n"/>
      <c r="F304" s="27" t="n"/>
      <c r="G304" s="14" t="n"/>
      <c r="H304" s="28" t="n"/>
      <c r="I304" s="14" t="n"/>
      <c r="J304" s="36" t="n"/>
      <c r="K304" s="22">
        <f>IF($A304="","",IF(AND($H304="Open",ISNUMBER($G304)),IF($G304&lt;Dashboard!$B$16,"△ Overdue, was due "&amp;TEXT($G304,"d mmm yyyy"),"Open, due "&amp;TEXT($G304,"d mmm yyyy")),$H304&amp;""))</f>
        <v/>
      </c>
      <c r="L304" s="22">
        <f>IF($A304="","",IF($M304=1,"△ Needs one owner and a date",IF($N304=1,"△ Overdue, was due "&amp;TEXT($G304,"d mmm yyyy"),IF($O304=1,"△ Moved "&amp;$J304&amp;" times","○ Clear"))))</f>
        <v/>
      </c>
      <c r="M304" s="9">
        <f>IF($A304="",0,IF(OR($H304="Done",$H304="Dropped"),0,IF(OR($F304="",AND($B304="Action",NOT(ISNUMBER($G304))),LEN($F304)-LEN(SUBSTITUTE($F304,"(",""))&gt;=2,ISNUMBER(SEARCH(" and ",$Q304)),ISNUMBER(FIND("/",$Q304)),ISNUMBER(FIND("&amp;",$Q304)),ISNUMBER(FIND(",",$Q304))),1,0)))</f>
        <v/>
      </c>
      <c r="N304" s="9">
        <f>IF($A304="",0,IF(AND($H304="Open",ISNUMBER($G304)),IF($G304&lt;Dashboard!$B$16,1,0),0))</f>
        <v/>
      </c>
      <c r="O304" s="9">
        <f>IF($A304="",0,IF(AND($H304="Open",ISNUMBER($J304)),IF($J304&gt;=Dashboard!$H$9,1,0),0))</f>
        <v/>
      </c>
      <c r="P304" s="9">
        <f>IF($M304+$N304+$O304&gt;0,1,0)</f>
        <v/>
      </c>
      <c r="Q304" s="9">
        <f>LEFT($F304,IFERROR(FIND("(",$F304)-1,LEN($F304)))</f>
        <v/>
      </c>
    </row>
    <row r="305" ht="18" customHeight="1">
      <c r="A305" s="28" t="n"/>
      <c r="B305" s="28" t="n"/>
      <c r="C305" s="28" t="n"/>
      <c r="D305" s="14" t="n"/>
      <c r="E305" s="27" t="n"/>
      <c r="F305" s="27" t="n"/>
      <c r="G305" s="14" t="n"/>
      <c r="H305" s="28" t="n"/>
      <c r="I305" s="14" t="n"/>
      <c r="J305" s="36" t="n"/>
      <c r="K305" s="22">
        <f>IF($A305="","",IF(AND($H305="Open",ISNUMBER($G305)),IF($G305&lt;Dashboard!$B$16,"△ Overdue, was due "&amp;TEXT($G305,"d mmm yyyy"),"Open, due "&amp;TEXT($G305,"d mmm yyyy")),$H305&amp;""))</f>
        <v/>
      </c>
      <c r="L305" s="22">
        <f>IF($A305="","",IF($M305=1,"△ Needs one owner and a date",IF($N305=1,"△ Overdue, was due "&amp;TEXT($G305,"d mmm yyyy"),IF($O305=1,"△ Moved "&amp;$J305&amp;" times","○ Clear"))))</f>
        <v/>
      </c>
      <c r="M305" s="9">
        <f>IF($A305="",0,IF(OR($H305="Done",$H305="Dropped"),0,IF(OR($F305="",AND($B305="Action",NOT(ISNUMBER($G305))),LEN($F305)-LEN(SUBSTITUTE($F305,"(",""))&gt;=2,ISNUMBER(SEARCH(" and ",$Q305)),ISNUMBER(FIND("/",$Q305)),ISNUMBER(FIND("&amp;",$Q305)),ISNUMBER(FIND(",",$Q305))),1,0)))</f>
        <v/>
      </c>
      <c r="N305" s="9">
        <f>IF($A305="",0,IF(AND($H305="Open",ISNUMBER($G305)),IF($G305&lt;Dashboard!$B$16,1,0),0))</f>
        <v/>
      </c>
      <c r="O305" s="9">
        <f>IF($A305="",0,IF(AND($H305="Open",ISNUMBER($J305)),IF($J305&gt;=Dashboard!$H$9,1,0),0))</f>
        <v/>
      </c>
      <c r="P305" s="9">
        <f>IF($M305+$N305+$O305&gt;0,1,0)</f>
        <v/>
      </c>
      <c r="Q305" s="9">
        <f>LEFT($F305,IFERROR(FIND("(",$F305)-1,LEN($F305)))</f>
        <v/>
      </c>
    </row>
    <row r="306" ht="18" customHeight="1">
      <c r="A306" s="28" t="n"/>
      <c r="B306" s="28" t="n"/>
      <c r="C306" s="28" t="n"/>
      <c r="D306" s="14" t="n"/>
      <c r="E306" s="27" t="n"/>
      <c r="F306" s="27" t="n"/>
      <c r="G306" s="14" t="n"/>
      <c r="H306" s="28" t="n"/>
      <c r="I306" s="14" t="n"/>
      <c r="J306" s="36" t="n"/>
      <c r="K306" s="22">
        <f>IF($A306="","",IF(AND($H306="Open",ISNUMBER($G306)),IF($G306&lt;Dashboard!$B$16,"△ Overdue, was due "&amp;TEXT($G306,"d mmm yyyy"),"Open, due "&amp;TEXT($G306,"d mmm yyyy")),$H306&amp;""))</f>
        <v/>
      </c>
      <c r="L306" s="22">
        <f>IF($A306="","",IF($M306=1,"△ Needs one owner and a date",IF($N306=1,"△ Overdue, was due "&amp;TEXT($G306,"d mmm yyyy"),IF($O306=1,"△ Moved "&amp;$J306&amp;" times","○ Clear"))))</f>
        <v/>
      </c>
      <c r="M306" s="9">
        <f>IF($A306="",0,IF(OR($H306="Done",$H306="Dropped"),0,IF(OR($F306="",AND($B306="Action",NOT(ISNUMBER($G306))),LEN($F306)-LEN(SUBSTITUTE($F306,"(",""))&gt;=2,ISNUMBER(SEARCH(" and ",$Q306)),ISNUMBER(FIND("/",$Q306)),ISNUMBER(FIND("&amp;",$Q306)),ISNUMBER(FIND(",",$Q306))),1,0)))</f>
        <v/>
      </c>
      <c r="N306" s="9">
        <f>IF($A306="",0,IF(AND($H306="Open",ISNUMBER($G306)),IF($G306&lt;Dashboard!$B$16,1,0),0))</f>
        <v/>
      </c>
      <c r="O306" s="9">
        <f>IF($A306="",0,IF(AND($H306="Open",ISNUMBER($J306)),IF($J306&gt;=Dashboard!$H$9,1,0),0))</f>
        <v/>
      </c>
      <c r="P306" s="9">
        <f>IF($M306+$N306+$O306&gt;0,1,0)</f>
        <v/>
      </c>
      <c r="Q306" s="9">
        <f>LEFT($F306,IFERROR(FIND("(",$F306)-1,LEN($F306)))</f>
        <v/>
      </c>
    </row>
    <row r="307" ht="18" customHeight="1">
      <c r="A307" s="28" t="n"/>
      <c r="B307" s="28" t="n"/>
      <c r="C307" s="28" t="n"/>
      <c r="D307" s="14" t="n"/>
      <c r="E307" s="27" t="n"/>
      <c r="F307" s="27" t="n"/>
      <c r="G307" s="14" t="n"/>
      <c r="H307" s="28" t="n"/>
      <c r="I307" s="14" t="n"/>
      <c r="J307" s="36" t="n"/>
      <c r="K307" s="22">
        <f>IF($A307="","",IF(AND($H307="Open",ISNUMBER($G307)),IF($G307&lt;Dashboard!$B$16,"△ Overdue, was due "&amp;TEXT($G307,"d mmm yyyy"),"Open, due "&amp;TEXT($G307,"d mmm yyyy")),$H307&amp;""))</f>
        <v/>
      </c>
      <c r="L307" s="22">
        <f>IF($A307="","",IF($M307=1,"△ Needs one owner and a date",IF($N307=1,"△ Overdue, was due "&amp;TEXT($G307,"d mmm yyyy"),IF($O307=1,"△ Moved "&amp;$J307&amp;" times","○ Clear"))))</f>
        <v/>
      </c>
      <c r="M307" s="9">
        <f>IF($A307="",0,IF(OR($H307="Done",$H307="Dropped"),0,IF(OR($F307="",AND($B307="Action",NOT(ISNUMBER($G307))),LEN($F307)-LEN(SUBSTITUTE($F307,"(",""))&gt;=2,ISNUMBER(SEARCH(" and ",$Q307)),ISNUMBER(FIND("/",$Q307)),ISNUMBER(FIND("&amp;",$Q307)),ISNUMBER(FIND(",",$Q307))),1,0)))</f>
        <v/>
      </c>
      <c r="N307" s="9">
        <f>IF($A307="",0,IF(AND($H307="Open",ISNUMBER($G307)),IF($G307&lt;Dashboard!$B$16,1,0),0))</f>
        <v/>
      </c>
      <c r="O307" s="9">
        <f>IF($A307="",0,IF(AND($H307="Open",ISNUMBER($J307)),IF($J307&gt;=Dashboard!$H$9,1,0),0))</f>
        <v/>
      </c>
      <c r="P307" s="9">
        <f>IF($M307+$N307+$O307&gt;0,1,0)</f>
        <v/>
      </c>
      <c r="Q307" s="9">
        <f>LEFT($F307,IFERROR(FIND("(",$F307)-1,LEN($F307)))</f>
        <v/>
      </c>
    </row>
    <row r="308" ht="18" customHeight="1">
      <c r="A308" s="28" t="n"/>
      <c r="B308" s="28" t="n"/>
      <c r="C308" s="28" t="n"/>
      <c r="D308" s="14" t="n"/>
      <c r="E308" s="27" t="n"/>
      <c r="F308" s="27" t="n"/>
      <c r="G308" s="14" t="n"/>
      <c r="H308" s="28" t="n"/>
      <c r="I308" s="14" t="n"/>
      <c r="J308" s="36" t="n"/>
      <c r="K308" s="22">
        <f>IF($A308="","",IF(AND($H308="Open",ISNUMBER($G308)),IF($G308&lt;Dashboard!$B$16,"△ Overdue, was due "&amp;TEXT($G308,"d mmm yyyy"),"Open, due "&amp;TEXT($G308,"d mmm yyyy")),$H308&amp;""))</f>
        <v/>
      </c>
      <c r="L308" s="22">
        <f>IF($A308="","",IF($M308=1,"△ Needs one owner and a date",IF($N308=1,"△ Overdue, was due "&amp;TEXT($G308,"d mmm yyyy"),IF($O308=1,"△ Moved "&amp;$J308&amp;" times","○ Clear"))))</f>
        <v/>
      </c>
      <c r="M308" s="9">
        <f>IF($A308="",0,IF(OR($H308="Done",$H308="Dropped"),0,IF(OR($F308="",AND($B308="Action",NOT(ISNUMBER($G308))),LEN($F308)-LEN(SUBSTITUTE($F308,"(",""))&gt;=2,ISNUMBER(SEARCH(" and ",$Q308)),ISNUMBER(FIND("/",$Q308)),ISNUMBER(FIND("&amp;",$Q308)),ISNUMBER(FIND(",",$Q308))),1,0)))</f>
        <v/>
      </c>
      <c r="N308" s="9">
        <f>IF($A308="",0,IF(AND($H308="Open",ISNUMBER($G308)),IF($G308&lt;Dashboard!$B$16,1,0),0))</f>
        <v/>
      </c>
      <c r="O308" s="9">
        <f>IF($A308="",0,IF(AND($H308="Open",ISNUMBER($J308)),IF($J308&gt;=Dashboard!$H$9,1,0),0))</f>
        <v/>
      </c>
      <c r="P308" s="9">
        <f>IF($M308+$N308+$O308&gt;0,1,0)</f>
        <v/>
      </c>
      <c r="Q308" s="9">
        <f>LEFT($F308,IFERROR(FIND("(",$F308)-1,LEN($F308)))</f>
        <v/>
      </c>
    </row>
    <row r="309" ht="18" customHeight="1">
      <c r="A309" s="28" t="n"/>
      <c r="B309" s="28" t="n"/>
      <c r="C309" s="28" t="n"/>
      <c r="D309" s="14" t="n"/>
      <c r="E309" s="27" t="n"/>
      <c r="F309" s="27" t="n"/>
      <c r="G309" s="14" t="n"/>
      <c r="H309" s="28" t="n"/>
      <c r="I309" s="14" t="n"/>
      <c r="J309" s="36" t="n"/>
      <c r="K309" s="22">
        <f>IF($A309="","",IF(AND($H309="Open",ISNUMBER($G309)),IF($G309&lt;Dashboard!$B$16,"△ Overdue, was due "&amp;TEXT($G309,"d mmm yyyy"),"Open, due "&amp;TEXT($G309,"d mmm yyyy")),$H309&amp;""))</f>
        <v/>
      </c>
      <c r="L309" s="22">
        <f>IF($A309="","",IF($M309=1,"△ Needs one owner and a date",IF($N309=1,"△ Overdue, was due "&amp;TEXT($G309,"d mmm yyyy"),IF($O309=1,"△ Moved "&amp;$J309&amp;" times","○ Clear"))))</f>
        <v/>
      </c>
      <c r="M309" s="9">
        <f>IF($A309="",0,IF(OR($H309="Done",$H309="Dropped"),0,IF(OR($F309="",AND($B309="Action",NOT(ISNUMBER($G309))),LEN($F309)-LEN(SUBSTITUTE($F309,"(",""))&gt;=2,ISNUMBER(SEARCH(" and ",$Q309)),ISNUMBER(FIND("/",$Q309)),ISNUMBER(FIND("&amp;",$Q309)),ISNUMBER(FIND(",",$Q309))),1,0)))</f>
        <v/>
      </c>
      <c r="N309" s="9">
        <f>IF($A309="",0,IF(AND($H309="Open",ISNUMBER($G309)),IF($G309&lt;Dashboard!$B$16,1,0),0))</f>
        <v/>
      </c>
      <c r="O309" s="9">
        <f>IF($A309="",0,IF(AND($H309="Open",ISNUMBER($J309)),IF($J309&gt;=Dashboard!$H$9,1,0),0))</f>
        <v/>
      </c>
      <c r="P309" s="9">
        <f>IF($M309+$N309+$O309&gt;0,1,0)</f>
        <v/>
      </c>
      <c r="Q309" s="9">
        <f>LEFT($F309,IFERROR(FIND("(",$F309)-1,LEN($F309)))</f>
        <v/>
      </c>
    </row>
    <row r="310" ht="18" customHeight="1">
      <c r="A310" s="28" t="n"/>
      <c r="B310" s="28" t="n"/>
      <c r="C310" s="28" t="n"/>
      <c r="D310" s="14" t="n"/>
      <c r="E310" s="27" t="n"/>
      <c r="F310" s="27" t="n"/>
      <c r="G310" s="14" t="n"/>
      <c r="H310" s="28" t="n"/>
      <c r="I310" s="14" t="n"/>
      <c r="J310" s="36" t="n"/>
      <c r="K310" s="22">
        <f>IF($A310="","",IF(AND($H310="Open",ISNUMBER($G310)),IF($G310&lt;Dashboard!$B$16,"△ Overdue, was due "&amp;TEXT($G310,"d mmm yyyy"),"Open, due "&amp;TEXT($G310,"d mmm yyyy")),$H310&amp;""))</f>
        <v/>
      </c>
      <c r="L310" s="22">
        <f>IF($A310="","",IF($M310=1,"△ Needs one owner and a date",IF($N310=1,"△ Overdue, was due "&amp;TEXT($G310,"d mmm yyyy"),IF($O310=1,"△ Moved "&amp;$J310&amp;" times","○ Clear"))))</f>
        <v/>
      </c>
      <c r="M310" s="9">
        <f>IF($A310="",0,IF(OR($H310="Done",$H310="Dropped"),0,IF(OR($F310="",AND($B310="Action",NOT(ISNUMBER($G310))),LEN($F310)-LEN(SUBSTITUTE($F310,"(",""))&gt;=2,ISNUMBER(SEARCH(" and ",$Q310)),ISNUMBER(FIND("/",$Q310)),ISNUMBER(FIND("&amp;",$Q310)),ISNUMBER(FIND(",",$Q310))),1,0)))</f>
        <v/>
      </c>
      <c r="N310" s="9">
        <f>IF($A310="",0,IF(AND($H310="Open",ISNUMBER($G310)),IF($G310&lt;Dashboard!$B$16,1,0),0))</f>
        <v/>
      </c>
      <c r="O310" s="9">
        <f>IF($A310="",0,IF(AND($H310="Open",ISNUMBER($J310)),IF($J310&gt;=Dashboard!$H$9,1,0),0))</f>
        <v/>
      </c>
      <c r="P310" s="9">
        <f>IF($M310+$N310+$O310&gt;0,1,0)</f>
        <v/>
      </c>
      <c r="Q310" s="9">
        <f>LEFT($F310,IFERROR(FIND("(",$F310)-1,LEN($F310)))</f>
        <v/>
      </c>
    </row>
    <row r="311" ht="18" customHeight="1">
      <c r="A311" s="28" t="n"/>
      <c r="B311" s="28" t="n"/>
      <c r="C311" s="28" t="n"/>
      <c r="D311" s="14" t="n"/>
      <c r="E311" s="27" t="n"/>
      <c r="F311" s="27" t="n"/>
      <c r="G311" s="14" t="n"/>
      <c r="H311" s="28" t="n"/>
      <c r="I311" s="14" t="n"/>
      <c r="J311" s="36" t="n"/>
      <c r="K311" s="22">
        <f>IF($A311="","",IF(AND($H311="Open",ISNUMBER($G311)),IF($G311&lt;Dashboard!$B$16,"△ Overdue, was due "&amp;TEXT($G311,"d mmm yyyy"),"Open, due "&amp;TEXT($G311,"d mmm yyyy")),$H311&amp;""))</f>
        <v/>
      </c>
      <c r="L311" s="22">
        <f>IF($A311="","",IF($M311=1,"△ Needs one owner and a date",IF($N311=1,"△ Overdue, was due "&amp;TEXT($G311,"d mmm yyyy"),IF($O311=1,"△ Moved "&amp;$J311&amp;" times","○ Clear"))))</f>
        <v/>
      </c>
      <c r="M311" s="9">
        <f>IF($A311="",0,IF(OR($H311="Done",$H311="Dropped"),0,IF(OR($F311="",AND($B311="Action",NOT(ISNUMBER($G311))),LEN($F311)-LEN(SUBSTITUTE($F311,"(",""))&gt;=2,ISNUMBER(SEARCH(" and ",$Q311)),ISNUMBER(FIND("/",$Q311)),ISNUMBER(FIND("&amp;",$Q311)),ISNUMBER(FIND(",",$Q311))),1,0)))</f>
        <v/>
      </c>
      <c r="N311" s="9">
        <f>IF($A311="",0,IF(AND($H311="Open",ISNUMBER($G311)),IF($G311&lt;Dashboard!$B$16,1,0),0))</f>
        <v/>
      </c>
      <c r="O311" s="9">
        <f>IF($A311="",0,IF(AND($H311="Open",ISNUMBER($J311)),IF($J311&gt;=Dashboard!$H$9,1,0),0))</f>
        <v/>
      </c>
      <c r="P311" s="9">
        <f>IF($M311+$N311+$O311&gt;0,1,0)</f>
        <v/>
      </c>
      <c r="Q311" s="9">
        <f>LEFT($F311,IFERROR(FIND("(",$F311)-1,LEN($F311)))</f>
        <v/>
      </c>
    </row>
    <row r="312" ht="18" customHeight="1">
      <c r="A312" s="28" t="n"/>
      <c r="B312" s="28" t="n"/>
      <c r="C312" s="28" t="n"/>
      <c r="D312" s="14" t="n"/>
      <c r="E312" s="27" t="n"/>
      <c r="F312" s="27" t="n"/>
      <c r="G312" s="14" t="n"/>
      <c r="H312" s="28" t="n"/>
      <c r="I312" s="14" t="n"/>
      <c r="J312" s="36" t="n"/>
      <c r="K312" s="22">
        <f>IF($A312="","",IF(AND($H312="Open",ISNUMBER($G312)),IF($G312&lt;Dashboard!$B$16,"△ Overdue, was due "&amp;TEXT($G312,"d mmm yyyy"),"Open, due "&amp;TEXT($G312,"d mmm yyyy")),$H312&amp;""))</f>
        <v/>
      </c>
      <c r="L312" s="22">
        <f>IF($A312="","",IF($M312=1,"△ Needs one owner and a date",IF($N312=1,"△ Overdue, was due "&amp;TEXT($G312,"d mmm yyyy"),IF($O312=1,"△ Moved "&amp;$J312&amp;" times","○ Clear"))))</f>
        <v/>
      </c>
      <c r="M312" s="9">
        <f>IF($A312="",0,IF(OR($H312="Done",$H312="Dropped"),0,IF(OR($F312="",AND($B312="Action",NOT(ISNUMBER($G312))),LEN($F312)-LEN(SUBSTITUTE($F312,"(",""))&gt;=2,ISNUMBER(SEARCH(" and ",$Q312)),ISNUMBER(FIND("/",$Q312)),ISNUMBER(FIND("&amp;",$Q312)),ISNUMBER(FIND(",",$Q312))),1,0)))</f>
        <v/>
      </c>
      <c r="N312" s="9">
        <f>IF($A312="",0,IF(AND($H312="Open",ISNUMBER($G312)),IF($G312&lt;Dashboard!$B$16,1,0),0))</f>
        <v/>
      </c>
      <c r="O312" s="9">
        <f>IF($A312="",0,IF(AND($H312="Open",ISNUMBER($J312)),IF($J312&gt;=Dashboard!$H$9,1,0),0))</f>
        <v/>
      </c>
      <c r="P312" s="9">
        <f>IF($M312+$N312+$O312&gt;0,1,0)</f>
        <v/>
      </c>
      <c r="Q312" s="9">
        <f>LEFT($F312,IFERROR(FIND("(",$F312)-1,LEN($F312)))</f>
        <v/>
      </c>
    </row>
    <row r="313" ht="18" customHeight="1">
      <c r="A313" s="28" t="n"/>
      <c r="B313" s="28" t="n"/>
      <c r="C313" s="28" t="n"/>
      <c r="D313" s="14" t="n"/>
      <c r="E313" s="27" t="n"/>
      <c r="F313" s="27" t="n"/>
      <c r="G313" s="14" t="n"/>
      <c r="H313" s="28" t="n"/>
      <c r="I313" s="14" t="n"/>
      <c r="J313" s="36" t="n"/>
      <c r="K313" s="22">
        <f>IF($A313="","",IF(AND($H313="Open",ISNUMBER($G313)),IF($G313&lt;Dashboard!$B$16,"△ Overdue, was due "&amp;TEXT($G313,"d mmm yyyy"),"Open, due "&amp;TEXT($G313,"d mmm yyyy")),$H313&amp;""))</f>
        <v/>
      </c>
      <c r="L313" s="22">
        <f>IF($A313="","",IF($M313=1,"△ Needs one owner and a date",IF($N313=1,"△ Overdue, was due "&amp;TEXT($G313,"d mmm yyyy"),IF($O313=1,"△ Moved "&amp;$J313&amp;" times","○ Clear"))))</f>
        <v/>
      </c>
      <c r="M313" s="9">
        <f>IF($A313="",0,IF(OR($H313="Done",$H313="Dropped"),0,IF(OR($F313="",AND($B313="Action",NOT(ISNUMBER($G313))),LEN($F313)-LEN(SUBSTITUTE($F313,"(",""))&gt;=2,ISNUMBER(SEARCH(" and ",$Q313)),ISNUMBER(FIND("/",$Q313)),ISNUMBER(FIND("&amp;",$Q313)),ISNUMBER(FIND(",",$Q313))),1,0)))</f>
        <v/>
      </c>
      <c r="N313" s="9">
        <f>IF($A313="",0,IF(AND($H313="Open",ISNUMBER($G313)),IF($G313&lt;Dashboard!$B$16,1,0),0))</f>
        <v/>
      </c>
      <c r="O313" s="9">
        <f>IF($A313="",0,IF(AND($H313="Open",ISNUMBER($J313)),IF($J313&gt;=Dashboard!$H$9,1,0),0))</f>
        <v/>
      </c>
      <c r="P313" s="9">
        <f>IF($M313+$N313+$O313&gt;0,1,0)</f>
        <v/>
      </c>
      <c r="Q313" s="9">
        <f>LEFT($F313,IFERROR(FIND("(",$F313)-1,LEN($F313)))</f>
        <v/>
      </c>
    </row>
    <row r="314" ht="18" customHeight="1">
      <c r="A314" s="28" t="n"/>
      <c r="B314" s="28" t="n"/>
      <c r="C314" s="28" t="n"/>
      <c r="D314" s="14" t="n"/>
      <c r="E314" s="27" t="n"/>
      <c r="F314" s="27" t="n"/>
      <c r="G314" s="14" t="n"/>
      <c r="H314" s="28" t="n"/>
      <c r="I314" s="14" t="n"/>
      <c r="J314" s="36" t="n"/>
      <c r="K314" s="22">
        <f>IF($A314="","",IF(AND($H314="Open",ISNUMBER($G314)),IF($G314&lt;Dashboard!$B$16,"△ Overdue, was due "&amp;TEXT($G314,"d mmm yyyy"),"Open, due "&amp;TEXT($G314,"d mmm yyyy")),$H314&amp;""))</f>
        <v/>
      </c>
      <c r="L314" s="22">
        <f>IF($A314="","",IF($M314=1,"△ Needs one owner and a date",IF($N314=1,"△ Overdue, was due "&amp;TEXT($G314,"d mmm yyyy"),IF($O314=1,"△ Moved "&amp;$J314&amp;" times","○ Clear"))))</f>
        <v/>
      </c>
      <c r="M314" s="9">
        <f>IF($A314="",0,IF(OR($H314="Done",$H314="Dropped"),0,IF(OR($F314="",AND($B314="Action",NOT(ISNUMBER($G314))),LEN($F314)-LEN(SUBSTITUTE($F314,"(",""))&gt;=2,ISNUMBER(SEARCH(" and ",$Q314)),ISNUMBER(FIND("/",$Q314)),ISNUMBER(FIND("&amp;",$Q314)),ISNUMBER(FIND(",",$Q314))),1,0)))</f>
        <v/>
      </c>
      <c r="N314" s="9">
        <f>IF($A314="",0,IF(AND($H314="Open",ISNUMBER($G314)),IF($G314&lt;Dashboard!$B$16,1,0),0))</f>
        <v/>
      </c>
      <c r="O314" s="9">
        <f>IF($A314="",0,IF(AND($H314="Open",ISNUMBER($J314)),IF($J314&gt;=Dashboard!$H$9,1,0),0))</f>
        <v/>
      </c>
      <c r="P314" s="9">
        <f>IF($M314+$N314+$O314&gt;0,1,0)</f>
        <v/>
      </c>
      <c r="Q314" s="9">
        <f>LEFT($F314,IFERROR(FIND("(",$F314)-1,LEN($F314)))</f>
        <v/>
      </c>
    </row>
    <row r="315" ht="18" customHeight="1">
      <c r="A315" s="28" t="n"/>
      <c r="B315" s="28" t="n"/>
      <c r="C315" s="28" t="n"/>
      <c r="D315" s="14" t="n"/>
      <c r="E315" s="27" t="n"/>
      <c r="F315" s="27" t="n"/>
      <c r="G315" s="14" t="n"/>
      <c r="H315" s="28" t="n"/>
      <c r="I315" s="14" t="n"/>
      <c r="J315" s="36" t="n"/>
      <c r="K315" s="22">
        <f>IF($A315="","",IF(AND($H315="Open",ISNUMBER($G315)),IF($G315&lt;Dashboard!$B$16,"△ Overdue, was due "&amp;TEXT($G315,"d mmm yyyy"),"Open, due "&amp;TEXT($G315,"d mmm yyyy")),$H315&amp;""))</f>
        <v/>
      </c>
      <c r="L315" s="22">
        <f>IF($A315="","",IF($M315=1,"△ Needs one owner and a date",IF($N315=1,"△ Overdue, was due "&amp;TEXT($G315,"d mmm yyyy"),IF($O315=1,"△ Moved "&amp;$J315&amp;" times","○ Clear"))))</f>
        <v/>
      </c>
      <c r="M315" s="9">
        <f>IF($A315="",0,IF(OR($H315="Done",$H315="Dropped"),0,IF(OR($F315="",AND($B315="Action",NOT(ISNUMBER($G315))),LEN($F315)-LEN(SUBSTITUTE($F315,"(",""))&gt;=2,ISNUMBER(SEARCH(" and ",$Q315)),ISNUMBER(FIND("/",$Q315)),ISNUMBER(FIND("&amp;",$Q315)),ISNUMBER(FIND(",",$Q315))),1,0)))</f>
        <v/>
      </c>
      <c r="N315" s="9">
        <f>IF($A315="",0,IF(AND($H315="Open",ISNUMBER($G315)),IF($G315&lt;Dashboard!$B$16,1,0),0))</f>
        <v/>
      </c>
      <c r="O315" s="9">
        <f>IF($A315="",0,IF(AND($H315="Open",ISNUMBER($J315)),IF($J315&gt;=Dashboard!$H$9,1,0),0))</f>
        <v/>
      </c>
      <c r="P315" s="9">
        <f>IF($M315+$N315+$O315&gt;0,1,0)</f>
        <v/>
      </c>
      <c r="Q315" s="9">
        <f>LEFT($F315,IFERROR(FIND("(",$F315)-1,LEN($F315)))</f>
        <v/>
      </c>
    </row>
    <row r="316" ht="18" customHeight="1">
      <c r="A316" s="28" t="n"/>
      <c r="B316" s="28" t="n"/>
      <c r="C316" s="28" t="n"/>
      <c r="D316" s="14" t="n"/>
      <c r="E316" s="27" t="n"/>
      <c r="F316" s="27" t="n"/>
      <c r="G316" s="14" t="n"/>
      <c r="H316" s="28" t="n"/>
      <c r="I316" s="14" t="n"/>
      <c r="J316" s="36" t="n"/>
      <c r="K316" s="22">
        <f>IF($A316="","",IF(AND($H316="Open",ISNUMBER($G316)),IF($G316&lt;Dashboard!$B$16,"△ Overdue, was due "&amp;TEXT($G316,"d mmm yyyy"),"Open, due "&amp;TEXT($G316,"d mmm yyyy")),$H316&amp;""))</f>
        <v/>
      </c>
      <c r="L316" s="22">
        <f>IF($A316="","",IF($M316=1,"△ Needs one owner and a date",IF($N316=1,"△ Overdue, was due "&amp;TEXT($G316,"d mmm yyyy"),IF($O316=1,"△ Moved "&amp;$J316&amp;" times","○ Clear"))))</f>
        <v/>
      </c>
      <c r="M316" s="9">
        <f>IF($A316="",0,IF(OR($H316="Done",$H316="Dropped"),0,IF(OR($F316="",AND($B316="Action",NOT(ISNUMBER($G316))),LEN($F316)-LEN(SUBSTITUTE($F316,"(",""))&gt;=2,ISNUMBER(SEARCH(" and ",$Q316)),ISNUMBER(FIND("/",$Q316)),ISNUMBER(FIND("&amp;",$Q316)),ISNUMBER(FIND(",",$Q316))),1,0)))</f>
        <v/>
      </c>
      <c r="N316" s="9">
        <f>IF($A316="",0,IF(AND($H316="Open",ISNUMBER($G316)),IF($G316&lt;Dashboard!$B$16,1,0),0))</f>
        <v/>
      </c>
      <c r="O316" s="9">
        <f>IF($A316="",0,IF(AND($H316="Open",ISNUMBER($J316)),IF($J316&gt;=Dashboard!$H$9,1,0),0))</f>
        <v/>
      </c>
      <c r="P316" s="9">
        <f>IF($M316+$N316+$O316&gt;0,1,0)</f>
        <v/>
      </c>
      <c r="Q316" s="9">
        <f>LEFT($F316,IFERROR(FIND("(",$F316)-1,LEN($F316)))</f>
        <v/>
      </c>
    </row>
    <row r="317" ht="18" customHeight="1">
      <c r="A317" s="28" t="n"/>
      <c r="B317" s="28" t="n"/>
      <c r="C317" s="28" t="n"/>
      <c r="D317" s="14" t="n"/>
      <c r="E317" s="27" t="n"/>
      <c r="F317" s="27" t="n"/>
      <c r="G317" s="14" t="n"/>
      <c r="H317" s="28" t="n"/>
      <c r="I317" s="14" t="n"/>
      <c r="J317" s="36" t="n"/>
      <c r="K317" s="22">
        <f>IF($A317="","",IF(AND($H317="Open",ISNUMBER($G317)),IF($G317&lt;Dashboard!$B$16,"△ Overdue, was due "&amp;TEXT($G317,"d mmm yyyy"),"Open, due "&amp;TEXT($G317,"d mmm yyyy")),$H317&amp;""))</f>
        <v/>
      </c>
      <c r="L317" s="22">
        <f>IF($A317="","",IF($M317=1,"△ Needs one owner and a date",IF($N317=1,"△ Overdue, was due "&amp;TEXT($G317,"d mmm yyyy"),IF($O317=1,"△ Moved "&amp;$J317&amp;" times","○ Clear"))))</f>
        <v/>
      </c>
      <c r="M317" s="9">
        <f>IF($A317="",0,IF(OR($H317="Done",$H317="Dropped"),0,IF(OR($F317="",AND($B317="Action",NOT(ISNUMBER($G317))),LEN($F317)-LEN(SUBSTITUTE($F317,"(",""))&gt;=2,ISNUMBER(SEARCH(" and ",$Q317)),ISNUMBER(FIND("/",$Q317)),ISNUMBER(FIND("&amp;",$Q317)),ISNUMBER(FIND(",",$Q317))),1,0)))</f>
        <v/>
      </c>
      <c r="N317" s="9">
        <f>IF($A317="",0,IF(AND($H317="Open",ISNUMBER($G317)),IF($G317&lt;Dashboard!$B$16,1,0),0))</f>
        <v/>
      </c>
      <c r="O317" s="9">
        <f>IF($A317="",0,IF(AND($H317="Open",ISNUMBER($J317)),IF($J317&gt;=Dashboard!$H$9,1,0),0))</f>
        <v/>
      </c>
      <c r="P317" s="9">
        <f>IF($M317+$N317+$O317&gt;0,1,0)</f>
        <v/>
      </c>
      <c r="Q317" s="9">
        <f>LEFT($F317,IFERROR(FIND("(",$F317)-1,LEN($F317)))</f>
        <v/>
      </c>
    </row>
    <row r="318" ht="18" customHeight="1">
      <c r="A318" s="28" t="n"/>
      <c r="B318" s="28" t="n"/>
      <c r="C318" s="28" t="n"/>
      <c r="D318" s="14" t="n"/>
      <c r="E318" s="27" t="n"/>
      <c r="F318" s="27" t="n"/>
      <c r="G318" s="14" t="n"/>
      <c r="H318" s="28" t="n"/>
      <c r="I318" s="14" t="n"/>
      <c r="J318" s="36" t="n"/>
      <c r="K318" s="22">
        <f>IF($A318="","",IF(AND($H318="Open",ISNUMBER($G318)),IF($G318&lt;Dashboard!$B$16,"△ Overdue, was due "&amp;TEXT($G318,"d mmm yyyy"),"Open, due "&amp;TEXT($G318,"d mmm yyyy")),$H318&amp;""))</f>
        <v/>
      </c>
      <c r="L318" s="22">
        <f>IF($A318="","",IF($M318=1,"△ Needs one owner and a date",IF($N318=1,"△ Overdue, was due "&amp;TEXT($G318,"d mmm yyyy"),IF($O318=1,"△ Moved "&amp;$J318&amp;" times","○ Clear"))))</f>
        <v/>
      </c>
      <c r="M318" s="9">
        <f>IF($A318="",0,IF(OR($H318="Done",$H318="Dropped"),0,IF(OR($F318="",AND($B318="Action",NOT(ISNUMBER($G318))),LEN($F318)-LEN(SUBSTITUTE($F318,"(",""))&gt;=2,ISNUMBER(SEARCH(" and ",$Q318)),ISNUMBER(FIND("/",$Q318)),ISNUMBER(FIND("&amp;",$Q318)),ISNUMBER(FIND(",",$Q318))),1,0)))</f>
        <v/>
      </c>
      <c r="N318" s="9">
        <f>IF($A318="",0,IF(AND($H318="Open",ISNUMBER($G318)),IF($G318&lt;Dashboard!$B$16,1,0),0))</f>
        <v/>
      </c>
      <c r="O318" s="9">
        <f>IF($A318="",0,IF(AND($H318="Open",ISNUMBER($J318)),IF($J318&gt;=Dashboard!$H$9,1,0),0))</f>
        <v/>
      </c>
      <c r="P318" s="9">
        <f>IF($M318+$N318+$O318&gt;0,1,0)</f>
        <v/>
      </c>
      <c r="Q318" s="9">
        <f>LEFT($F318,IFERROR(FIND("(",$F318)-1,LEN($F318)))</f>
        <v/>
      </c>
    </row>
    <row r="319" ht="18" customHeight="1">
      <c r="A319" s="28" t="n"/>
      <c r="B319" s="28" t="n"/>
      <c r="C319" s="28" t="n"/>
      <c r="D319" s="14" t="n"/>
      <c r="E319" s="27" t="n"/>
      <c r="F319" s="27" t="n"/>
      <c r="G319" s="14" t="n"/>
      <c r="H319" s="28" t="n"/>
      <c r="I319" s="14" t="n"/>
      <c r="J319" s="36" t="n"/>
      <c r="K319" s="22">
        <f>IF($A319="","",IF(AND($H319="Open",ISNUMBER($G319)),IF($G319&lt;Dashboard!$B$16,"△ Overdue, was due "&amp;TEXT($G319,"d mmm yyyy"),"Open, due "&amp;TEXT($G319,"d mmm yyyy")),$H319&amp;""))</f>
        <v/>
      </c>
      <c r="L319" s="22">
        <f>IF($A319="","",IF($M319=1,"△ Needs one owner and a date",IF($N319=1,"△ Overdue, was due "&amp;TEXT($G319,"d mmm yyyy"),IF($O319=1,"△ Moved "&amp;$J319&amp;" times","○ Clear"))))</f>
        <v/>
      </c>
      <c r="M319" s="9">
        <f>IF($A319="",0,IF(OR($H319="Done",$H319="Dropped"),0,IF(OR($F319="",AND($B319="Action",NOT(ISNUMBER($G319))),LEN($F319)-LEN(SUBSTITUTE($F319,"(",""))&gt;=2,ISNUMBER(SEARCH(" and ",$Q319)),ISNUMBER(FIND("/",$Q319)),ISNUMBER(FIND("&amp;",$Q319)),ISNUMBER(FIND(",",$Q319))),1,0)))</f>
        <v/>
      </c>
      <c r="N319" s="9">
        <f>IF($A319="",0,IF(AND($H319="Open",ISNUMBER($G319)),IF($G319&lt;Dashboard!$B$16,1,0),0))</f>
        <v/>
      </c>
      <c r="O319" s="9">
        <f>IF($A319="",0,IF(AND($H319="Open",ISNUMBER($J319)),IF($J319&gt;=Dashboard!$H$9,1,0),0))</f>
        <v/>
      </c>
      <c r="P319" s="9">
        <f>IF($M319+$N319+$O319&gt;0,1,0)</f>
        <v/>
      </c>
      <c r="Q319" s="9">
        <f>LEFT($F319,IFERROR(FIND("(",$F319)-1,LEN($F319)))</f>
        <v/>
      </c>
    </row>
  </sheetData>
  <sheetProtection selectLockedCells="0" selectUnlockedCells="0" sheet="1" objects="0" insertRows="1" insertHyperlinks="1" autoFilter="0" scenarios="0" formatColumns="0" deleteColumns="1" insertColumns="1" pivotTables="1" deleteRows="1" formatCells="0" formatRows="0" sort="0"/>
  <autoFilter ref="A19:L319"/>
  <mergeCells count="2">
    <mergeCell ref="A5:L5"/>
    <mergeCell ref="A18:L18"/>
  </mergeCells>
  <conditionalFormatting sqref="I7:I16">
    <cfRule type="expression" priority="1" dxfId="0" stopIfTrue="0">
      <formula>OR(LEFT(I7,1)="△",LEFT(I7,1)="■")</formula>
    </cfRule>
  </conditionalFormatting>
  <conditionalFormatting sqref="K20:L319">
    <cfRule type="expression" priority="2" dxfId="0" stopIfTrue="0">
      <formula>OR(LEFT(K20,1)="△",LEFT(K20,1)="■")</formula>
    </cfRule>
  </conditionalFormatting>
  <dataValidations count="13">
    <dataValidation sqref="A7:A16" showDropDown="0" showInputMessage="0" showErrorMessage="1" allowBlank="1" errorTitle="Check this entry" error="Another forum already has this name. Use a different one: actions pick their forum by name." type="custom" errorStyle="stop">
      <formula1>SUMPRODUCT(--($A$7:$A$16=A7))=1</formula1>
    </dataValidation>
    <dataValidation sqref="C7:C16" showDropDown="0" showInputMessage="0" showErrorMessage="1" allowBlank="1" errorTitle="Check this entry" error="Pick a cadence from the list." type="list" errorStyle="stop">
      <formula1>"Weekly,Fortnightly,Monthly,Quarterly,At tranche end,As needed"</formula1>
    </dataValidation>
    <dataValidation sqref="D7:D16" showDropDown="0" showInputMessage="0" showErrorMessage="1" allowBlank="1" errorTitle="Check this entry" error="Type a date, such as 30 Jun 2027." type="date" errorStyle="stop" operator="between">
      <formula1>36526</formula1>
      <formula2>73415</formula2>
    </dataValidation>
    <dataValidation sqref="E7:E16" showDropDown="0" showInputMessage="0" showErrorMessage="1" allowBlank="1" errorTitle="Check this entry" error="Type a date, such as 30 Jun 2027." type="date" errorStyle="stop" operator="between">
      <formula1>36526</formula1>
      <formula2>73415</formula2>
    </dataValidation>
    <dataValidation sqref="H7:H16" showDropDown="0" showInputMessage="0" showErrorMessage="1" allowBlank="1" errorTitle="Check this entry" error="Pick Investment decision, Strategic review or None." type="list" errorStyle="stop">
      <formula1>"Investment decision,Strategic review,None"</formula1>
    </dataValidation>
    <dataValidation sqref="A20:A319" showDropDown="0" showInputMessage="0" showErrorMessage="1" allowBlank="1" errorTitle="Check this entry" error="Another row already has this number. Use a different one." type="custom" errorStyle="stop">
      <formula1>SUMPRODUCT(--($A$20:$A$319=A20))=1</formula1>
    </dataValidation>
    <dataValidation sqref="B20:B319" showDropDown="0" showInputMessage="0" showErrorMessage="1" allowBlank="1" errorTitle="Check this entry" error="Pick Action or Decision." type="list" errorStyle="stop">
      <formula1>"Action,Decision"</formula1>
    </dataValidation>
    <dataValidation sqref="C20:C319" showDropDown="0" showInputMessage="0" showErrorMessage="1" allowBlank="1" errorTitle="Check this entry" error="That isn't a forum in the table above. You can keep it, or add the forum there first." type="list" errorStyle="warning">
      <formula1>$A$7:$A$16</formula1>
    </dataValidation>
    <dataValidation sqref="D20:D319" showDropDown="0" showInputMessage="0" showErrorMessage="1" allowBlank="1" errorTitle="Check this entry" error="Type a date, such as 30 Jun 2027." type="date" errorStyle="stop" operator="between">
      <formula1>36526</formula1>
      <formula2>73415</formula2>
    </dataValidation>
    <dataValidation sqref="G20:G319" showDropDown="0" showInputMessage="0" showErrorMessage="1" allowBlank="1" errorTitle="Check this entry" error="Type a date, such as 30 Jun 2027." type="date" errorStyle="stop" operator="between">
      <formula1>36526</formula1>
      <formula2>73415</formula2>
    </dataValidation>
    <dataValidation sqref="I20:I319" showDropDown="0" showInputMessage="0" showErrorMessage="1" allowBlank="1" errorTitle="Check this entry" error="Type a date, such as 30 Jun 2027." type="date" errorStyle="stop" operator="between">
      <formula1>36526</formula1>
      <formula2>73415</formula2>
    </dataValidation>
    <dataValidation sqref="H20:H319" showDropDown="0" showInputMessage="0" showErrorMessage="1" allowBlank="1" errorTitle="Check this entry" error="Pick Open, Done, Dropped or Decided." type="list" errorStyle="stop">
      <formula1>"Open,Done,Dropped,Decided"</formula1>
    </dataValidation>
    <dataValidation sqref="J20:J319" showDropDown="0" showInputMessage="0" showErrorMessage="1" allowBlank="1" errorTitle="Check this entry" error="Type a whole number, 0 or more." type="whole" errorStyle="stop" operator="between">
      <formula1>0</formula1>
      <formula2>999</formula2>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2026-10-24T04:59:31Z</dcterms:created>
  <dcterms:modified xmlns:dcterms="http://purl.org/dc/terms/" xmlns:xsi="http://www.w3.org/2001/XMLSchema-instance" xsi:type="dcterms:W3CDTF">2026-10-24T04:59:32Z</dcterms:modified>
</cp:coreProperties>
</file>