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Log" sheetId="3" state="visible" r:id="rId3"/>
  </sheets>
  <definedNames>
    <definedName name="_xlnm.Print_Area" localSheetId="0">'Read me'!$A$1:$B$78</definedName>
    <definedName name="_xlnm.Print_Area" localSheetId="1">'Summary'!$A$1:$H$38</definedName>
    <definedName name="_xlnm._FilterDatabase" localSheetId="2" hidden="1">'Log'!$A$3:$R$153</definedName>
    <definedName name="_xlnm.Print_Titles" localSheetId="2">'Log'!$3:$3</definedName>
    <definedName name="_xlnm.Print_Area" localSheetId="2">'Log'!$A$1:$R$153</definedName>
  </definedNames>
  <calcPr calcId="124519" fullCalcOnLoad="1"/>
</workbook>
</file>

<file path=xl/styles.xml><?xml version="1.0" encoding="utf-8"?>
<styleSheet xmlns="http://schemas.openxmlformats.org/spreadsheetml/2006/main">
  <numFmts count="2">
    <numFmt numFmtId="164" formatCode="d mmm yyyy"/>
    <numFmt numFmtId="165" formatCode="[=0]0;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8">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
      <left/>
      <right/>
      <top style="thin">
        <color rgb="00E3E5E8"/>
      </top>
      <bottom/>
      <diagonal/>
    </border>
    <border>
      <left/>
      <right style="thin">
        <color rgb="00E3E5E8"/>
      </right>
      <top style="thin">
        <color rgb="00E3E5E8"/>
      </top>
      <bottom/>
      <diagonal/>
    </border>
    <border>
      <left/>
      <right/>
      <top style="thin">
        <color rgb="00E3E5E8"/>
      </top>
      <bottom style="thin">
        <color rgb="00E3E5E8"/>
      </bottom>
      <diagonal/>
    </border>
    <border>
      <left/>
      <right style="thin">
        <color rgb="00E3E5E8"/>
      </right>
      <top style="thin">
        <color rgb="00E3E5E8"/>
      </top>
      <bottom style="thin">
        <color rgb="00E3E5E8"/>
      </bottom>
      <diagonal/>
    </border>
    <border>
      <left/>
      <right/>
      <top/>
      <bottom style="medium">
        <color rgb="000F1115"/>
      </bottom>
      <diagonal/>
    </border>
  </borders>
  <cellStyleXfs count="1">
    <xf numFmtId="0" fontId="1" fillId="0" borderId="0"/>
  </cellStyleXfs>
  <cellXfs count="35">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5" fillId="0" borderId="0" applyAlignment="1" pivotButton="0" quotePrefix="0" xfId="0">
      <alignment horizontal="right" vertical="center"/>
    </xf>
    <xf numFmtId="1" fontId="3" fillId="4" borderId="1" applyAlignment="1" pivotButton="0" quotePrefix="0" xfId="0">
      <alignment horizontal="right" vertical="center"/>
    </xf>
    <xf numFmtId="0" fontId="3" fillId="0" borderId="0" applyAlignment="1" pivotButton="0" quotePrefix="0" xfId="0">
      <alignment vertical="center"/>
    </xf>
    <xf numFmtId="0" fontId="4" fillId="0" borderId="0" applyAlignment="1" pivotButton="0" quotePrefix="0" xfId="0">
      <alignment vertical="center"/>
    </xf>
    <xf numFmtId="164" fontId="3" fillId="4" borderId="1" applyAlignment="1" pivotButton="0" quotePrefix="0" xfId="0">
      <alignment horizontal="righ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165" fontId="3" fillId="4" borderId="1" applyAlignment="1" pivotButton="0" quotePrefix="0" xfId="0">
      <alignment horizontal="right" vertical="center"/>
    </xf>
    <xf numFmtId="164" fontId="3" fillId="3" borderId="1" applyAlignment="1" applyProtection="1" pivotButton="0" quotePrefix="0" xfId="0">
      <alignment horizontal="left" vertical="center"/>
      <protection locked="0" hidden="0"/>
    </xf>
    <xf numFmtId="0" fontId="5" fillId="0" borderId="0" applyAlignment="1" pivotButton="0" quotePrefix="0" xfId="0">
      <alignment vertical="center"/>
    </xf>
    <xf numFmtId="0" fontId="6" fillId="4" borderId="2" applyAlignment="1" pivotButton="0" quotePrefix="0" xfId="0">
      <alignment vertical="center" wrapText="1"/>
    </xf>
    <xf numFmtId="0" fontId="4" fillId="4" borderId="1" applyAlignment="1" pivotButton="0" quotePrefix="0" xfId="0">
      <alignment vertical="center"/>
    </xf>
    <xf numFmtId="0" fontId="3" fillId="4" borderId="1" applyAlignment="1" pivotButton="0" quotePrefix="0" xfId="0">
      <alignment horizontal="center" vertical="center"/>
    </xf>
    <xf numFmtId="0" fontId="4" fillId="4" borderId="1" applyAlignment="1" pivotButton="0" quotePrefix="0" xfId="0">
      <alignment horizontal="center" vertical="center"/>
    </xf>
    <xf numFmtId="0" fontId="3" fillId="4" borderId="1" applyAlignment="1" pivotButton="0" quotePrefix="0" xfId="0">
      <alignment vertical="center"/>
    </xf>
    <xf numFmtId="0" fontId="4" fillId="0" borderId="0" applyAlignment="1" pivotButton="0" quotePrefix="0" xfId="0">
      <alignment vertical="center" wrapText="1"/>
    </xf>
    <xf numFmtId="0" fontId="0" fillId="0" borderId="5" pivotButton="0" quotePrefix="0" xfId="0"/>
    <xf numFmtId="0" fontId="0" fillId="0" borderId="6" pivotButton="0" quotePrefix="0" xfId="0"/>
    <xf numFmtId="0" fontId="0" fillId="0" borderId="7" pivotButton="0" quotePrefix="0" xfId="0"/>
    <xf numFmtId="0" fontId="3" fillId="4" borderId="1" applyAlignment="1" pivotButton="0" quotePrefix="0" xfId="0">
      <alignment vertical="center" wrapText="1"/>
    </xf>
    <xf numFmtId="164" fontId="3" fillId="4" borderId="1" applyAlignment="1" pivotButton="0" quotePrefix="0" xfId="0">
      <alignment horizontal="left" vertical="center"/>
    </xf>
    <xf numFmtId="0" fontId="4" fillId="3" borderId="2" applyAlignment="1" pivotButton="0" quotePrefix="0" xfId="0">
      <alignment vertical="center" wrapText="1"/>
    </xf>
    <xf numFmtId="0" fontId="3" fillId="3" borderId="1" applyAlignment="1" applyProtection="1" pivotButton="0" quotePrefix="0" xfId="0">
      <alignment vertical="top"/>
      <protection locked="0" hidden="0"/>
    </xf>
    <xf numFmtId="0" fontId="3" fillId="3" borderId="1" applyAlignment="1" applyProtection="1" pivotButton="0" quotePrefix="0" xfId="0">
      <alignment vertical="top" wrapText="1"/>
      <protection locked="0" hidden="0"/>
    </xf>
    <xf numFmtId="164" fontId="3" fillId="3" borderId="1" applyAlignment="1" applyProtection="1" pivotButton="0" quotePrefix="0" xfId="0">
      <alignment horizontal="left" vertical="top"/>
      <protection locked="0" hidden="0"/>
    </xf>
    <xf numFmtId="0" fontId="3" fillId="4" borderId="1" applyAlignment="1" pivotButton="0" quotePrefix="0" xfId="0">
      <alignment vertical="top" wrapText="1"/>
    </xf>
    <xf numFmtId="1" fontId="3" fillId="4" borderId="1" applyAlignment="1" pivotButton="0" quotePrefix="0" xfId="0">
      <alignment vertical="center"/>
    </xf>
  </cellXfs>
  <cellStyles count="1">
    <cellStyle name="Normal" xfId="0" builtinId="0" hidden="0"/>
  </cellStyles>
  <dxfs count="3">
    <dxf>
      <font>
        <color rgb="00CD2B31"/>
      </font>
    </dxf>
    <dxf>
      <fill>
        <patternFill patternType="solid">
          <fgColor rgb="00D9DBDF"/>
          <bgColor rgb="00D9DBDF"/>
        </patternFill>
      </fill>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FRQZ</author>
  </authors>
  <commentList>
    <comment ref="B14" authorId="0" shapeId="0">
      <text>
        <t>Open lines kept in this log that nobody is acting on yet.</t>
      </text>
    </comment>
    <comment ref="C14" authorId="0" shapeId="0">
      <text>
        <t>Open lines kept in this log that someone is acting on.</t>
      </text>
    </comment>
    <comment ref="D14" authorId="0" shapeId="0">
      <text>
        <t>Every closed line, including lines that point to the program workbook.</t>
      </text>
    </comment>
    <comment ref="E14" authorId="0" shapeId="0">
      <text>
        <t>Open lines kept on the program workbook's Dependencies tab. This log only points to them.</t>
      </text>
    </comment>
    <comment ref="F14" authorId="0" shapeId="0">
      <text>
        <t>Raised, Responding and In the program workbook, added up.</t>
      </text>
    </comment>
    <comment ref="G14" authorId="0" shapeId="0">
      <text>
        <t>Open lines whose With the program is Yes. The program watches them; they're still this project's lines.</t>
      </text>
    </comment>
    <comment ref="H14" authorId="0" shapeId="0">
      <text>
        <t>The Id to give the next line of this kind. Never reuse an Id, even when a line has been cleared.</t>
      </text>
    </comment>
    <comment ref="A31" authorId="0" shapeId="0">
      <text>
        <t>Every line with Impact High closed on or after Last reviewed, for the project's Owner to read. Blank Last reviewed lists every one. A list, not a check.</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6</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8</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B76"/>
  <sheetViews>
    <sheetView showGridLines="0" tabSelected="1" workbookViewId="0">
      <selection activeCell="A1" sqref="A1"/>
    </sheetView>
  </sheetViews>
  <sheetFormatPr baseColWidth="8" defaultRowHeight="15"/>
  <cols>
    <col width="22" customWidth="1" min="1" max="1"/>
    <col width="110" customWidth="1" min="2" max="2"/>
  </cols>
  <sheetData>
    <row r="1" ht="36" customHeight="1">
      <c r="B1" s="1" t="inlineStr">
        <is>
          <t>RAID log</t>
        </is>
      </c>
    </row>
    <row r="2" ht="28" customHeight="1">
      <c r="B2" s="2" t="inlineStr">
        <is>
          <t>One list of a project's risks, assumptions, issues and dependencies, each with one owner and a date to look at it again. Three tabs: Read me, Summary and Log.</t>
        </is>
      </c>
    </row>
    <row r="4" ht="6" customHeight="1"/>
    <row r="5">
      <c r="A5" s="3" t="inlineStr">
        <is>
          <t>Where to start</t>
        </is>
      </c>
    </row>
    <row r="6" ht="32" customHeight="1">
      <c r="A6" s="4" t="n"/>
      <c r="B6" s="5" t="inlineStr">
        <is>
          <t>Start with the risks and dependencies in the project charter. Copy them onto Log by hand, with their look-again dates, then add the rest as they come up. Log holds 150 lines.</t>
        </is>
      </c>
    </row>
    <row r="8">
      <c r="A8" s="3" t="inlineStr">
        <is>
          <t>Filling it in</t>
        </is>
      </c>
    </row>
    <row r="9" ht="32" customHeight="1">
      <c r="A9" s="4" t="n">
        <v>1</v>
      </c>
      <c r="B9" s="5" t="inlineStr">
        <is>
          <t>On Summary, type the project's Name, Sits under and Owner as the Register has them, and the day you're reviewing on in As of.</t>
        </is>
      </c>
    </row>
    <row r="10" ht="46" customHeight="1">
      <c r="A10" s="4" t="n">
        <v>2</v>
      </c>
      <c r="B10" s="5" t="inlineStr">
        <is>
          <t>On Log, add a line in the next empty row for each risk, assumption, issue and dependency. Give it the Next Id from Summary, one owner written like Imani (Security Lead), and a date to look at it again.</t>
        </is>
      </c>
    </row>
    <row r="11" ht="18" customHeight="1">
      <c r="A11" s="4" t="n">
        <v>3</v>
      </c>
      <c r="B11" s="5" t="inlineStr">
        <is>
          <t>For a risk or an issue, type what is being done in Response the day you raise it.</t>
        </is>
      </c>
    </row>
    <row r="12" ht="18" customHeight="1">
      <c r="A12" s="4" t="n">
        <v>4</v>
      </c>
      <c r="B12" s="5" t="inlineStr">
        <is>
          <t>Rate Impact on every line, and Likelihood on risks and assumptions.</t>
        </is>
      </c>
    </row>
    <row r="13" ht="18" customHeight="1">
      <c r="A13" s="4" t="n">
        <v>5</v>
      </c>
      <c r="B13" s="5" t="inlineStr">
        <is>
          <t>For a dependency, fill in Provided by, Who answers and Needed by.</t>
        </is>
      </c>
    </row>
    <row r="14" ht="18" customHeight="1">
      <c r="A14" s="4" t="n">
        <v>6</v>
      </c>
      <c r="B14" s="5" t="inlineStr">
        <is>
          <t>Read the seven checks on Summary, and fix every line whose Row check shows △.</t>
        </is>
      </c>
    </row>
    <row r="15" ht="18" customHeight="1">
      <c r="A15" s="4" t="n">
        <v>7</v>
      </c>
      <c r="B15" s="5" t="inlineStr">
        <is>
          <t>When a line is over, set Status to Closed and fill in Closed on and Why closed.</t>
        </is>
      </c>
    </row>
    <row r="17">
      <c r="A17" s="3" t="inlineStr">
        <is>
          <t>YOUR LOGO</t>
        </is>
      </c>
    </row>
    <row r="18" ht="32" customHeight="1">
      <c r="A18" s="4" t="n"/>
      <c r="B18" s="5" t="inlineStr">
        <is>
          <t>The FRQZ logo is at the top of each tab. To use your own, delete it and insert your logo in the same place.</t>
        </is>
      </c>
    </row>
    <row r="20">
      <c r="A20" s="3" t="inlineStr">
        <is>
          <t>THE FOUR KINDS</t>
        </is>
      </c>
    </row>
    <row r="21" ht="18" customHeight="1">
      <c r="A21" s="6" t="inlineStr">
        <is>
          <t>Risk</t>
        </is>
      </c>
      <c r="B21" s="5" t="inlineStr">
        <is>
          <t>Might happen, and would hurt if it did.</t>
        </is>
      </c>
    </row>
    <row r="22" ht="18" customHeight="1">
      <c r="A22" s="6" t="inlineStr">
        <is>
          <t>Assumption</t>
        </is>
      </c>
      <c r="B22" s="5" t="inlineStr">
        <is>
          <t>Counted on, not confirmed.</t>
        </is>
      </c>
    </row>
    <row r="23" ht="18" customHeight="1">
      <c r="A23" s="6" t="inlineStr">
        <is>
          <t>Issue</t>
        </is>
      </c>
      <c r="B23" s="5" t="inlineStr">
        <is>
          <t>Has happened and needs fixing.</t>
        </is>
      </c>
    </row>
    <row r="24" ht="18" customHeight="1">
      <c r="A24" s="6" t="inlineStr">
        <is>
          <t>Dependency</t>
        </is>
      </c>
      <c r="B24" s="5" t="inlineStr">
        <is>
          <t>Needed from someone outside the team, by a date.</t>
        </is>
      </c>
    </row>
    <row r="25" ht="32" customHeight="1">
      <c r="A25" s="6" t="inlineStr">
        <is>
          <t>Ids</t>
        </is>
      </c>
      <c r="B25" s="5" t="inlineStr">
        <is>
          <t>Each kind has its own Id letter: R, A, I and X. Dependencies take X because the project charter uses D for its deliverables.</t>
        </is>
      </c>
    </row>
    <row r="27">
      <c r="A27" s="3" t="inlineStr">
        <is>
          <t>STATUS</t>
        </is>
      </c>
    </row>
    <row r="28" ht="18" customHeight="1">
      <c r="A28" s="6" t="inlineStr">
        <is>
          <t>Raised</t>
        </is>
      </c>
      <c r="B28" s="5" t="inlineStr">
        <is>
          <t>Written down. Nobody is acting on it yet.</t>
        </is>
      </c>
    </row>
    <row r="29" ht="18" customHeight="1">
      <c r="A29" s="6" t="inlineStr">
        <is>
          <t>Responding</t>
        </is>
      </c>
      <c r="B29" s="5" t="inlineStr">
        <is>
          <t>Someone is acting on it, and Response says what.</t>
        </is>
      </c>
    </row>
    <row r="30" ht="18" customHeight="1">
      <c r="A30" s="6" t="inlineStr">
        <is>
          <t>Closed</t>
        </is>
      </c>
      <c r="B30" s="5" t="inlineStr">
        <is>
          <t>Over. Closed on and Why closed say when, and what shows it.</t>
        </is>
      </c>
    </row>
    <row r="31" ht="18" customHeight="1">
      <c r="A31" s="6" t="inlineStr">
        <is>
          <t>Open</t>
        </is>
      </c>
      <c r="B31" s="5" t="inlineStr">
        <is>
          <t>Open, on Summary, means Raised or Responding.</t>
        </is>
      </c>
    </row>
    <row r="33">
      <c r="A33" s="3" t="inlineStr">
        <is>
          <t>NAMES</t>
        </is>
      </c>
    </row>
    <row r="34" ht="60" customHeight="1">
      <c r="A34" s="4" t="n"/>
      <c r="B34" s="5" t="inlineStr">
        <is>
          <t>Write each owner as one person with their role in brackets, the way the Register writes an Owner: Anders (Engineering Manager). Who answers on a dependency is written the same way. The Stakeholders file matches its names against these, so type each person the same way every time.</t>
        </is>
      </c>
    </row>
    <row r="36">
      <c r="A36" s="3" t="inlineStr">
        <is>
          <t>LOOK AGAIN ON</t>
        </is>
      </c>
    </row>
    <row r="37" ht="46" customHeight="1">
      <c r="A37" s="4" t="n"/>
      <c r="B37" s="5" t="inlineStr">
        <is>
          <t>Look again on is the next day someone reads the line. It falls between As of on Summary and 60 days after it, and on a dependency, no later than Needed by. Change the 60 in Look again within on Summary. Pick a weekday.</t>
        </is>
      </c>
    </row>
    <row r="39">
      <c r="A39" s="3" t="inlineStr">
        <is>
          <t>CLOSING A LINE</t>
        </is>
      </c>
    </row>
    <row r="40" ht="32" customHeight="1">
      <c r="A40" s="4" t="n">
        <v>1</v>
      </c>
      <c r="B40" s="5" t="inlineStr">
        <is>
          <t>Closing a line needs a date and a reason. Write what shows it's over, not "done". If a risk happens, close it with the reason "Happened, see I3" and raise the issue.</t>
        </is>
      </c>
    </row>
    <row r="41" ht="32" customHeight="1">
      <c r="A41" s="4" t="n">
        <v>2</v>
      </c>
      <c r="B41" s="5" t="inlineStr">
        <is>
          <t>Don't reopen a closed line: raise a new one with the next Id. A closed line set back to Raised or Responding can't be read until Closed on and Why closed are cleared.</t>
        </is>
      </c>
    </row>
    <row r="42" ht="32" customHeight="1">
      <c r="A42" s="4" t="n">
        <v>3</v>
      </c>
      <c r="B42" s="5" t="inlineStr">
        <is>
          <t>Summary lists every high-impact line closed since Last reviewed, so the project's Owner reads each one.</t>
        </is>
      </c>
    </row>
    <row r="44">
      <c r="A44" s="3" t="inlineStr">
        <is>
          <t>THE PROGRAM</t>
        </is>
      </c>
    </row>
    <row r="45" ht="32" customHeight="1">
      <c r="A45" s="4" t="n">
        <v>1</v>
      </c>
      <c r="B45" s="5" t="inlineStr">
        <is>
          <t>Set With the program to Yes when the program needs to watch a line. It stays this project's line, with its owner. Clear it to take it back. The project's Owner decides both.</t>
        </is>
      </c>
    </row>
    <row r="46" ht="46" customHeight="1">
      <c r="A46" s="4" t="n">
        <v>2</v>
      </c>
      <c r="B46" s="5" t="inlineStr">
        <is>
          <t>A dependency on another project, in this program or another, is kept on the program workbook's Dependencies tab. Add a line here too, with Kept in set to Program workbook, so you can see it.</t>
        </is>
      </c>
    </row>
    <row r="47" ht="32" customHeight="1">
      <c r="A47" s="4" t="n">
        <v>3</v>
      </c>
      <c r="B47" s="5" t="inlineStr">
        <is>
          <t>Summary counts that line under In the program workbook. The owner, look-again and Needed by checks skip it: the program workbook watches those.</t>
        </is>
      </c>
    </row>
    <row r="48" ht="46" customHeight="1">
      <c r="A48" s="4" t="n">
        <v>4</v>
      </c>
      <c r="B48" s="5" t="inlineStr">
        <is>
          <t>A dependency on anything else stays in this log as a full line: a team, a supplier, or a project that sits under no program. For a project under no program, tell the portfolio manager too, since no program workbook holds it.</t>
        </is>
      </c>
    </row>
    <row r="50">
      <c r="A50" s="3" t="inlineStr">
        <is>
          <t>READING THE MARKS</t>
        </is>
      </c>
    </row>
    <row r="51" ht="32" customHeight="1">
      <c r="A51" s="6" t="inlineStr">
        <is>
          <t>△</t>
        </is>
      </c>
      <c r="B51" s="5" t="inlineStr">
        <is>
          <t>A check found something, and the words say what. Filter Row check on Log on △ to list the lines.</t>
        </is>
      </c>
    </row>
    <row r="52" ht="18" customHeight="1">
      <c r="A52" s="6" t="inlineStr">
        <is>
          <t>○ Clear</t>
        </is>
      </c>
      <c r="B52" s="5" t="inlineStr">
        <is>
          <t>The check found nothing. Every check reads clear until a line is typed.</t>
        </is>
      </c>
    </row>
    <row r="54">
      <c r="A54" s="3" t="inlineStr">
        <is>
          <t>THE CHECKS</t>
        </is>
      </c>
    </row>
    <row r="55" ht="32" customHeight="1">
      <c r="A55" s="4" t="n"/>
      <c r="B55" s="5" t="inlineStr">
        <is>
          <t>Summary runs seven checks on the lines on Log, counting from As of. Each result names the first line that fails, and Row check on Log says what is wrong with each line.</t>
        </is>
      </c>
    </row>
    <row r="56" ht="32" customHeight="1">
      <c r="A56" s="4" t="n">
        <v>1</v>
      </c>
      <c r="B56" s="5" t="inlineStr">
        <is>
          <t>An open line without one named owner: Owner isn't written as Name (Role), or the name holds a comma, a slash, "and" or "&amp;". Engineering managers fails; Imani (Security Lead) passes.</t>
        </is>
      </c>
    </row>
    <row r="57" ht="32" customHeight="1">
      <c r="A57" s="4" t="n">
        <v>2</v>
      </c>
      <c r="B57" s="5" t="inlineStr">
        <is>
          <t>A look-again date missing, passed or too far ahead: Look again on is blank, before As of, more than the Look again within days after As of, or after the line's Needed by.</t>
        </is>
      </c>
    </row>
    <row r="58" ht="32" customHeight="1">
      <c r="A58" s="4" t="n">
        <v>3</v>
      </c>
      <c r="B58" s="5" t="inlineStr">
        <is>
          <t>An open risk or issue with no response: Response is blank. Assumptions and dependencies don't need one.</t>
        </is>
      </c>
    </row>
    <row r="59" ht="32" customHeight="1">
      <c r="A59" s="4" t="n">
        <v>4</v>
      </c>
      <c r="B59" s="5" t="inlineStr">
        <is>
          <t>A line closed without a date or a reason: Status is Closed and Closed on or Why closed is blank.</t>
        </is>
      </c>
    </row>
    <row r="60" ht="32" customHeight="1">
      <c r="A60" s="4" t="n">
        <v>5</v>
      </c>
      <c r="B60" s="5" t="inlineStr">
        <is>
          <t>An open dependency missing who provides it, who answers or when: Provided by or Needed by is blank, or Who answers isn't written as Name (Role).</t>
        </is>
      </c>
    </row>
    <row r="61" ht="32" customHeight="1">
      <c r="A61" s="4" t="n">
        <v>6</v>
      </c>
      <c r="B61" s="5" t="inlineStr">
        <is>
          <t>A dependency past its Needed by date: an open dependency kept in this log whose Needed by is before As of.</t>
        </is>
      </c>
    </row>
    <row r="62" ht="46" customHeight="1">
      <c r="A62" s="4" t="n">
        <v>7</v>
      </c>
      <c r="B62" s="5" t="inlineStr">
        <is>
          <t>A line the log can't read: an Id that is blank, used twice or doesn't start with its Kind's letter; a Kind, Status, Impact or Likelihood not on its list; a date typed as text; or Closed on or Why closed filled in on an open line.</t>
        </is>
      </c>
    </row>
    <row r="63" ht="46" customHeight="1">
      <c r="A63" s="4" t="n"/>
      <c r="B63" s="5" t="inlineStr">
        <is>
          <t>The checks count lines and compare dates. They can't tell whether a response is any good, whether the owner agreed to own it, whether a closing reason is true, or whether a team has been typed as a person, such as The team (Engineering).</t>
        </is>
      </c>
    </row>
    <row r="64" ht="32" customHeight="1">
      <c r="A64" s="4" t="n"/>
      <c r="B64" s="5" t="inlineStr">
        <is>
          <t>Before Build complete, the gate map asks that every open risk has an owner and a response. The owner and response checks here answer it.</t>
        </is>
      </c>
    </row>
    <row r="66">
      <c r="A66" s="3" t="inlineStr">
        <is>
          <t>THE WORKING</t>
        </is>
      </c>
    </row>
    <row r="67" ht="32" customHeight="1">
      <c r="A67" s="4" t="n">
        <v>1</v>
      </c>
      <c r="B67" s="5" t="inlineStr">
        <is>
          <t>Grey cells are worked out from what you type, and locked so they aren't typed over. There's no password.</t>
        </is>
      </c>
    </row>
    <row r="68" ht="32" customHeight="1">
      <c r="A68" s="4" t="n">
        <v>2</v>
      </c>
      <c r="B68" s="5" t="inlineStr">
        <is>
          <t>The working is in hidden columns: T to AJ on Log, each with a header, and K on Summary, labelled in J. Unhide them to read it.</t>
        </is>
      </c>
    </row>
    <row r="69" ht="32" customHeight="1">
      <c r="A69" s="4" t="n">
        <v>3</v>
      </c>
      <c r="B69" s="5" t="inlineStr">
        <is>
          <t>Rows can't be inserted or deleted, so every line stays counted. Clear a row to remove a line. To sort, unprotect the sheet first and protect it again after.</t>
        </is>
      </c>
    </row>
    <row r="71">
      <c r="A71" s="3" t="inlineStr">
        <is>
          <t>OTHER FILES</t>
        </is>
      </c>
    </row>
    <row r="72" ht="32" customHeight="1">
      <c r="A72" s="4" t="n">
        <v>1</v>
      </c>
      <c r="B72" s="5" t="inlineStr">
        <is>
          <t>The project charter holds a signed copy of the risks and dependencies that would stop the project. This log is the live list, and starts with those lines.</t>
        </is>
      </c>
    </row>
    <row r="73" ht="18" customHeight="1">
      <c r="A73" s="4" t="n">
        <v>2</v>
      </c>
      <c r="B73" s="5" t="inlineStr">
        <is>
          <t>The Decision log and the Status report cite a line by its Id, so keep each Id for good.</t>
        </is>
      </c>
    </row>
    <row r="74" ht="32" customHeight="1">
      <c r="A74" s="4" t="n">
        <v>3</v>
      </c>
      <c r="B74" s="5" t="inlineStr">
        <is>
          <t>Anyone who opens this file sees every line. To share it with someone outside the company, send them their lines, not the file.</t>
        </is>
      </c>
    </row>
    <row r="75" ht="60" customHeight="1">
      <c r="A75" s="4" t="n">
        <v>4</v>
      </c>
      <c r="B75" s="5" t="inlineStr">
        <is>
          <t>An assistant can check the log for you. The brief is in frqz-raid-log-agent-brief.txt, beside this file. Open and save the workbook once in your spreadsheet first, so the assistant can read the results. It never sets an owner, a rating or a status, and never closes a line.</t>
        </is>
      </c>
    </row>
    <row r="76" ht="32" customHeight="1">
      <c r="A76" s="4" t="n">
        <v>5</v>
      </c>
      <c r="B76" s="5" t="inlineStr">
        <is>
          <t>FRQZ keeps a project's risks and issues with the same Owner, Impact, Likelihood, Response and Status words, so a line reads the same in both.</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38"/>
  <sheetViews>
    <sheetView showGridLines="0" tabSelected="0" workbookViewId="0">
      <selection activeCell="A1" sqref="A1"/>
    </sheetView>
  </sheetViews>
  <sheetFormatPr baseColWidth="8" defaultRowHeight="15"/>
  <cols>
    <col width="40" customWidth="1" min="1" max="1"/>
    <col width="24" customWidth="1" min="2" max="2"/>
    <col width="14" customWidth="1" min="3" max="3"/>
    <col width="14" customWidth="1" min="4" max="4"/>
    <col width="14" customWidth="1" min="5" max="5"/>
    <col width="14" customWidth="1" min="6" max="6"/>
    <col width="14" customWidth="1" min="7" max="7"/>
    <col width="14" customWidth="1" min="8" max="8"/>
    <col width="2" customWidth="1" min="9" max="9"/>
    <col width="46" customWidth="1" min="10" max="10"/>
    <col hidden="1" width="12" customWidth="1" min="11" max="11"/>
  </cols>
  <sheetData>
    <row r="1" ht="36" customHeight="1">
      <c r="A1" s="1" t="inlineStr">
        <is>
          <t>Summary</t>
        </is>
      </c>
      <c r="J1" s="7" t="inlineStr">
        <is>
          <t>Lines in use</t>
        </is>
      </c>
      <c r="K1" s="8">
        <f>SUM(Log!$T$4:$T$153)</f>
        <v/>
      </c>
    </row>
    <row r="2" ht="18" customHeight="1">
      <c r="A2" s="9">
        <f>IF(TRIM($B$6)="","","Project: "&amp;$B$6&amp;IF(TRIM($B$7)="",".",". Sits under: "&amp;$B$7&amp;"."))</f>
        <v/>
      </c>
      <c r="J2" s="7" t="inlineStr">
        <is>
          <t>Open lines</t>
        </is>
      </c>
      <c r="K2" s="8">
        <f>SUM(Log!$U$4:$U$153)</f>
        <v/>
      </c>
    </row>
    <row r="3" ht="18" customHeight="1">
      <c r="A3" s="10">
        <f>IF($K$1=0,"Nothing is logged yet.",IF($F$19&lt;&gt;$K$2,"Counts don't add up: a line on Log has a Kind or a Status that isn't on its list. Its Row check says so.",$K$2&amp;" open, "&amp;$K$3&amp;" closed. "&amp;IF(COUNTIF($B$23:$B$29,"△*")=0,"All seven checks clear.",COUNTIF($B$23:$B$29,"△*")&amp;" of 7 checks failing.")))</f>
        <v/>
      </c>
      <c r="J3" s="7" t="inlineStr">
        <is>
          <t>Closed lines</t>
        </is>
      </c>
      <c r="K3" s="8">
        <f>$K$1-$K$2</f>
        <v/>
      </c>
    </row>
    <row r="4" ht="6" customHeight="1">
      <c r="J4" s="7" t="inlineStr">
        <is>
          <t>As of, as the checks use it</t>
        </is>
      </c>
      <c r="K4" s="11">
        <f>IF(ISNUMBER($B$9),$B$9,TODAY())</f>
        <v/>
      </c>
    </row>
    <row r="5" ht="18" customHeight="1">
      <c r="A5" s="12" t="inlineStr">
        <is>
          <t>PROJECT</t>
        </is>
      </c>
      <c r="B5" s="12" t="n"/>
      <c r="C5" s="12" t="n"/>
      <c r="D5" s="12" t="n"/>
      <c r="E5" s="12" t="n"/>
      <c r="F5" s="12" t="n"/>
      <c r="G5" s="12" t="n"/>
      <c r="H5" s="12" t="n"/>
      <c r="J5" s="7" t="inlineStr">
        <is>
          <t>Look again within, as the checks use it (days)</t>
        </is>
      </c>
      <c r="K5" s="8">
        <f>IF(ISNUMBER($B$11),$B$11,60)</f>
        <v/>
      </c>
    </row>
    <row r="6" ht="18" customHeight="1">
      <c r="A6" s="13" t="inlineStr">
        <is>
          <t>NAME</t>
        </is>
      </c>
      <c r="B6" s="14" t="n"/>
      <c r="J6" s="7" t="inlineStr">
        <is>
          <t>Last reviewed, as the list uses it (0 if blank)</t>
        </is>
      </c>
      <c r="K6" s="15">
        <f>IF(ISNUMBER($B$10),$B$10,0)</f>
        <v/>
      </c>
    </row>
    <row r="7" ht="18" customHeight="1">
      <c r="A7" s="13" t="inlineStr">
        <is>
          <t>SITS UNDER</t>
        </is>
      </c>
      <c r="B7" s="14" t="n"/>
      <c r="J7" s="7" t="inlineStr">
        <is>
          <t>High-impact lines closed since the last review</t>
        </is>
      </c>
      <c r="K7" s="8">
        <f>SUM(Log!$AI$4:$AI$153)</f>
        <v/>
      </c>
    </row>
    <row r="8" ht="18" customHeight="1">
      <c r="A8" s="13" t="inlineStr">
        <is>
          <t>OWNER</t>
        </is>
      </c>
      <c r="B8" s="14" t="n"/>
    </row>
    <row r="9" ht="18" customHeight="1">
      <c r="A9" s="13" t="inlineStr">
        <is>
          <t>AS OF</t>
        </is>
      </c>
      <c r="B9" s="16" t="n"/>
      <c r="C9" s="17">
        <f>IF(ISNUMBER($B$9),"","Today's date is used.")</f>
        <v/>
      </c>
    </row>
    <row r="10" ht="18" customHeight="1">
      <c r="A10" s="13" t="inlineStr">
        <is>
          <t>LAST REVIEWED</t>
        </is>
      </c>
      <c r="B10" s="16" t="n"/>
    </row>
    <row r="11" ht="18" customHeight="1">
      <c r="A11" s="13" t="inlineStr">
        <is>
          <t>LOOK AGAIN WITHIN (DAYS)</t>
        </is>
      </c>
      <c r="B11" s="14" t="n"/>
    </row>
    <row r="12" ht="6" customHeight="1"/>
    <row r="13" ht="18" customHeight="1">
      <c r="A13" s="12" t="inlineStr">
        <is>
          <t>COUNTS</t>
        </is>
      </c>
      <c r="B13" s="12" t="n"/>
      <c r="C13" s="12" t="n"/>
      <c r="D13" s="12" t="n"/>
      <c r="E13" s="12" t="n"/>
      <c r="F13" s="12" t="n"/>
      <c r="G13" s="12" t="n"/>
      <c r="H13" s="12" t="n"/>
    </row>
    <row r="14" ht="30" customHeight="1">
      <c r="A14" s="18" t="inlineStr">
        <is>
          <t>Kind</t>
        </is>
      </c>
      <c r="B14" s="18" t="inlineStr">
        <is>
          <t>Raised</t>
        </is>
      </c>
      <c r="C14" s="18" t="inlineStr">
        <is>
          <t>Responding</t>
        </is>
      </c>
      <c r="D14" s="18" t="inlineStr">
        <is>
          <t>Closed</t>
        </is>
      </c>
      <c r="E14" s="18" t="inlineStr">
        <is>
          <t>In the program workbook</t>
        </is>
      </c>
      <c r="F14" s="18" t="inlineStr">
        <is>
          <t>Open</t>
        </is>
      </c>
      <c r="G14" s="18" t="inlineStr">
        <is>
          <t>Of those, with the program</t>
        </is>
      </c>
      <c r="H14" s="18" t="inlineStr">
        <is>
          <t>Next Id</t>
        </is>
      </c>
    </row>
    <row r="15" ht="18" customHeight="1">
      <c r="A15" s="19" t="inlineStr">
        <is>
          <t>Risk</t>
        </is>
      </c>
      <c r="B15" s="20">
        <f>COUNTIFS(Log!$B$4:$B$153,$A15,Log!$J$4:$J$153,"Raised",Log!$Q$4:$Q$153,"&lt;&gt;Program workbook")</f>
        <v/>
      </c>
      <c r="C15" s="20">
        <f>COUNTIFS(Log!$B$4:$B$153,$A15,Log!$J$4:$J$153,"Responding",Log!$Q$4:$Q$153,"&lt;&gt;Program workbook")</f>
        <v/>
      </c>
      <c r="D15" s="20">
        <f>COUNTIFS(Log!$B$4:$B$153,$A15,Log!$J$4:$J$153,"Closed")</f>
        <v/>
      </c>
      <c r="E15" s="20">
        <f>COUNTIFS(Log!$B$4:$B$153,$A15,Log!$J$4:$J$153,"&lt;&gt;Closed",Log!$Q$4:$Q$153,"Program workbook")</f>
        <v/>
      </c>
      <c r="F15" s="21">
        <f>B15+C15+E15</f>
        <v/>
      </c>
      <c r="G15" s="20">
        <f>COUNTIFS(Log!$B$4:$B$153,$A15,Log!$M$4:$M$153,"Yes",Log!$J$4:$J$153,"&lt;&gt;Closed")</f>
        <v/>
      </c>
      <c r="H15" s="20">
        <f>"R"&amp;(SUMPRODUCT(MAX((LEFT(Log!$A$4:$A$153,1)="R")*Log!$AG$4:$AG$153))+1)</f>
        <v/>
      </c>
    </row>
    <row r="16" ht="18" customHeight="1">
      <c r="A16" s="19" t="inlineStr">
        <is>
          <t>Assumption</t>
        </is>
      </c>
      <c r="B16" s="20">
        <f>COUNTIFS(Log!$B$4:$B$153,$A16,Log!$J$4:$J$153,"Raised",Log!$Q$4:$Q$153,"&lt;&gt;Program workbook")</f>
        <v/>
      </c>
      <c r="C16" s="20">
        <f>COUNTIFS(Log!$B$4:$B$153,$A16,Log!$J$4:$J$153,"Responding",Log!$Q$4:$Q$153,"&lt;&gt;Program workbook")</f>
        <v/>
      </c>
      <c r="D16" s="20">
        <f>COUNTIFS(Log!$B$4:$B$153,$A16,Log!$J$4:$J$153,"Closed")</f>
        <v/>
      </c>
      <c r="E16" s="20">
        <f>COUNTIFS(Log!$B$4:$B$153,$A16,Log!$J$4:$J$153,"&lt;&gt;Closed",Log!$Q$4:$Q$153,"Program workbook")</f>
        <v/>
      </c>
      <c r="F16" s="21">
        <f>B16+C16+E16</f>
        <v/>
      </c>
      <c r="G16" s="20">
        <f>COUNTIFS(Log!$B$4:$B$153,$A16,Log!$M$4:$M$153,"Yes",Log!$J$4:$J$153,"&lt;&gt;Closed")</f>
        <v/>
      </c>
      <c r="H16" s="20">
        <f>"A"&amp;(SUMPRODUCT(MAX((LEFT(Log!$A$4:$A$153,1)="A")*Log!$AG$4:$AG$153))+1)</f>
        <v/>
      </c>
    </row>
    <row r="17" ht="18" customHeight="1">
      <c r="A17" s="19" t="inlineStr">
        <is>
          <t>Issue</t>
        </is>
      </c>
      <c r="B17" s="20">
        <f>COUNTIFS(Log!$B$4:$B$153,$A17,Log!$J$4:$J$153,"Raised",Log!$Q$4:$Q$153,"&lt;&gt;Program workbook")</f>
        <v/>
      </c>
      <c r="C17" s="20">
        <f>COUNTIFS(Log!$B$4:$B$153,$A17,Log!$J$4:$J$153,"Responding",Log!$Q$4:$Q$153,"&lt;&gt;Program workbook")</f>
        <v/>
      </c>
      <c r="D17" s="20">
        <f>COUNTIFS(Log!$B$4:$B$153,$A17,Log!$J$4:$J$153,"Closed")</f>
        <v/>
      </c>
      <c r="E17" s="20">
        <f>COUNTIFS(Log!$B$4:$B$153,$A17,Log!$J$4:$J$153,"&lt;&gt;Closed",Log!$Q$4:$Q$153,"Program workbook")</f>
        <v/>
      </c>
      <c r="F17" s="21">
        <f>B17+C17+E17</f>
        <v/>
      </c>
      <c r="G17" s="20">
        <f>COUNTIFS(Log!$B$4:$B$153,$A17,Log!$M$4:$M$153,"Yes",Log!$J$4:$J$153,"&lt;&gt;Closed")</f>
        <v/>
      </c>
      <c r="H17" s="20">
        <f>"I"&amp;(SUMPRODUCT(MAX((LEFT(Log!$A$4:$A$153,1)="I")*Log!$AG$4:$AG$153))+1)</f>
        <v/>
      </c>
    </row>
    <row r="18" ht="18" customHeight="1">
      <c r="A18" s="19" t="inlineStr">
        <is>
          <t>Dependency</t>
        </is>
      </c>
      <c r="B18" s="20">
        <f>COUNTIFS(Log!$B$4:$B$153,$A18,Log!$J$4:$J$153,"Raised",Log!$Q$4:$Q$153,"&lt;&gt;Program workbook")</f>
        <v/>
      </c>
      <c r="C18" s="20">
        <f>COUNTIFS(Log!$B$4:$B$153,$A18,Log!$J$4:$J$153,"Responding",Log!$Q$4:$Q$153,"&lt;&gt;Program workbook")</f>
        <v/>
      </c>
      <c r="D18" s="20">
        <f>COUNTIFS(Log!$B$4:$B$153,$A18,Log!$J$4:$J$153,"Closed")</f>
        <v/>
      </c>
      <c r="E18" s="20">
        <f>COUNTIFS(Log!$B$4:$B$153,$A18,Log!$J$4:$J$153,"&lt;&gt;Closed",Log!$Q$4:$Q$153,"Program workbook")</f>
        <v/>
      </c>
      <c r="F18" s="21">
        <f>B18+C18+E18</f>
        <v/>
      </c>
      <c r="G18" s="20">
        <f>COUNTIFS(Log!$B$4:$B$153,$A18,Log!$M$4:$M$153,"Yes",Log!$J$4:$J$153,"&lt;&gt;Closed")</f>
        <v/>
      </c>
      <c r="H18" s="20">
        <f>"X"&amp;(SUMPRODUCT(MAX((LEFT(Log!$A$4:$A$153,1)="X")*Log!$AG$4:$AG$153))+1)</f>
        <v/>
      </c>
    </row>
    <row r="19">
      <c r="A19" s="19" t="inlineStr">
        <is>
          <t>Total</t>
        </is>
      </c>
      <c r="B19" s="21">
        <f>SUM(B15:B18)</f>
        <v/>
      </c>
      <c r="C19" s="21">
        <f>SUM(C15:C18)</f>
        <v/>
      </c>
      <c r="D19" s="21">
        <f>SUM(D15:D18)</f>
        <v/>
      </c>
      <c r="E19" s="21">
        <f>SUM(E15:E18)</f>
        <v/>
      </c>
      <c r="F19" s="21">
        <f>SUM(F15:F18)</f>
        <v/>
      </c>
      <c r="G19" s="21">
        <f>SUM(G15:G18)</f>
        <v/>
      </c>
      <c r="H19" s="22" t="n"/>
    </row>
    <row r="20" ht="6" customHeight="1"/>
    <row r="21" ht="18" customHeight="1">
      <c r="A21" s="12" t="inlineStr">
        <is>
          <t>CHECKS</t>
        </is>
      </c>
      <c r="B21" s="12" t="n"/>
      <c r="C21" s="12" t="n"/>
      <c r="D21" s="12" t="n"/>
      <c r="E21" s="12" t="n"/>
      <c r="F21" s="12" t="n"/>
      <c r="G21" s="12" t="n"/>
      <c r="H21" s="12" t="n"/>
    </row>
    <row r="22">
      <c r="A22" s="23" t="inlineStr">
        <is>
          <t>Checks failing</t>
        </is>
      </c>
      <c r="B22" s="19">
        <f>COUNTIF($B$23:$B$29,"△*")&amp;" of 7 failing"</f>
        <v/>
      </c>
      <c r="C22" s="24" t="n"/>
      <c r="D22" s="24" t="n"/>
      <c r="E22" s="24" t="n"/>
      <c r="F22" s="24" t="n"/>
      <c r="G22" s="24" t="n"/>
      <c r="H22" s="25" t="n"/>
    </row>
    <row r="23" ht="18" customHeight="1">
      <c r="A23" s="2" t="inlineStr">
        <is>
          <t>An open line without one named owner</t>
        </is>
      </c>
      <c r="B23" s="22">
        <f>IF(SUM(Log!$W$4:$W$153)=0,"○ Clear","△ "&amp;SUM(Log!$W$4:$W$153)&amp;IF(SUM(Log!$W$4:$W$153)=1," open line"," open lines")&amp;" without one named owner"&amp;IF(INDEX(Log!$A$4:$A$153,MATCH(1,Log!$W$4:$W$153,0))&amp;""="",", first at Log row "&amp;(MATCH(1,Log!$W$4:$W$153,0)+3),", first "&amp;INDEX(Log!$A$4:$A$153,MATCH(1,Log!$W$4:$W$153,0))&amp;""))</f>
        <v/>
      </c>
      <c r="C23" s="24" t="n"/>
      <c r="D23" s="24" t="n"/>
      <c r="E23" s="24" t="n"/>
      <c r="F23" s="24" t="n"/>
      <c r="G23" s="24" t="n"/>
      <c r="H23" s="25" t="n"/>
    </row>
    <row r="24" ht="32" customHeight="1">
      <c r="A24" s="2" t="inlineStr">
        <is>
          <t>A look-again date missing, passed or too far ahead</t>
        </is>
      </c>
      <c r="B24" s="22">
        <f>IF(SUM(Log!$X$4:$X$153)=0,"○ Clear","△ "&amp;SUM(Log!$X$4:$X$153)&amp;IF(SUM(Log!$X$4:$X$153)=1," open line"," open lines")&amp;" whose look-again date is missing, passed or too far ahead"&amp;IF(INDEX(Log!$A$4:$A$153,MATCH(1,Log!$X$4:$X$153,0))&amp;""="",", first at Log row "&amp;(MATCH(1,Log!$X$4:$X$153,0)+3),", first "&amp;INDEX(Log!$A$4:$A$153,MATCH(1,Log!$X$4:$X$153,0))&amp;""))</f>
        <v/>
      </c>
      <c r="C24" s="24" t="n"/>
      <c r="D24" s="24" t="n"/>
      <c r="E24" s="24" t="n"/>
      <c r="F24" s="24" t="n"/>
      <c r="G24" s="24" t="n"/>
      <c r="H24" s="25" t="n"/>
    </row>
    <row r="25" ht="32" customHeight="1">
      <c r="A25" s="2" t="inlineStr">
        <is>
          <t>An open risk or issue with no response</t>
        </is>
      </c>
      <c r="B25" s="22">
        <f>IF(SUM(Log!$Y$4:$Y$153)=0,"○ Clear","△ "&amp;SUM(Log!$Y$4:$Y$153)&amp;IF(SUM(Log!$Y$4:$Y$153)=1," open risk or issue"," open risks or issues")&amp;" with no response"&amp;IF(INDEX(Log!$A$4:$A$153,MATCH(1,Log!$Y$4:$Y$153,0))&amp;""="",", first at Log row "&amp;(MATCH(1,Log!$Y$4:$Y$153,0)+3),", first "&amp;INDEX(Log!$A$4:$A$153,MATCH(1,Log!$Y$4:$Y$153,0))&amp;""))</f>
        <v/>
      </c>
      <c r="C25" s="24" t="n"/>
      <c r="D25" s="24" t="n"/>
      <c r="E25" s="24" t="n"/>
      <c r="F25" s="24" t="n"/>
      <c r="G25" s="24" t="n"/>
      <c r="H25" s="25" t="n"/>
    </row>
    <row r="26" ht="32" customHeight="1">
      <c r="A26" s="2" t="inlineStr">
        <is>
          <t>A line closed without a date or a reason</t>
        </is>
      </c>
      <c r="B26" s="22">
        <f>IF(SUM(Log!$Z$4:$Z$153)=0,"○ Clear","△ "&amp;SUM(Log!$Z$4:$Z$153)&amp;IF(SUM(Log!$Z$4:$Z$153)=1," line"," lines")&amp;" closed without a date or a reason"&amp;IF(INDEX(Log!$A$4:$A$153,MATCH(1,Log!$Z$4:$Z$153,0))&amp;""="",", first at Log row "&amp;(MATCH(1,Log!$Z$4:$Z$153,0)+3),", first "&amp;INDEX(Log!$A$4:$A$153,MATCH(1,Log!$Z$4:$Z$153,0))&amp;""))</f>
        <v/>
      </c>
      <c r="C26" s="24" t="n"/>
      <c r="D26" s="24" t="n"/>
      <c r="E26" s="24" t="n"/>
      <c r="F26" s="24" t="n"/>
      <c r="G26" s="24" t="n"/>
      <c r="H26" s="25" t="n"/>
    </row>
    <row r="27" ht="32" customHeight="1">
      <c r="A27" s="2" t="inlineStr">
        <is>
          <t>An open dependency missing who provides it, who answers or when</t>
        </is>
      </c>
      <c r="B27" s="22">
        <f>IF(SUM(Log!$AA$4:$AA$153)=0,"○ Clear","△ "&amp;SUM(Log!$AA$4:$AA$153)&amp;IF(SUM(Log!$AA$4:$AA$153)=1," open dependency missing who provides it, who answers or when"," open dependencies missing who provides them, who answers or when")&amp;IF(INDEX(Log!$A$4:$A$153,MATCH(1,Log!$AA$4:$AA$153,0))&amp;""="",", first at Log row "&amp;(MATCH(1,Log!$AA$4:$AA$153,0)+3),", first "&amp;INDEX(Log!$A$4:$A$153,MATCH(1,Log!$AA$4:$AA$153,0))&amp;""))</f>
        <v/>
      </c>
      <c r="C27" s="24" t="n"/>
      <c r="D27" s="24" t="n"/>
      <c r="E27" s="24" t="n"/>
      <c r="F27" s="24" t="n"/>
      <c r="G27" s="24" t="n"/>
      <c r="H27" s="25" t="n"/>
    </row>
    <row r="28" ht="18" customHeight="1">
      <c r="A28" s="2" t="inlineStr">
        <is>
          <t>A dependency past its Needed by date</t>
        </is>
      </c>
      <c r="B28" s="22">
        <f>IF(SUM(Log!$AB$4:$AB$153)=0,"○ Clear","△ "&amp;SUM(Log!$AB$4:$AB$153)&amp;IF(SUM(Log!$AB$4:$AB$153)=1," dependency past its Needed by date"," dependencies past their Needed by date")&amp;IF(INDEX(Log!$A$4:$A$153,MATCH(1,Log!$AB$4:$AB$153,0))&amp;""="",", first at Log row "&amp;(MATCH(1,Log!$AB$4:$AB$153,0)+3),", first "&amp;INDEX(Log!$A$4:$A$153,MATCH(1,Log!$AB$4:$AB$153,0))&amp;""))</f>
        <v/>
      </c>
      <c r="C28" s="24" t="n"/>
      <c r="D28" s="24" t="n"/>
      <c r="E28" s="24" t="n"/>
      <c r="F28" s="24" t="n"/>
      <c r="G28" s="24" t="n"/>
      <c r="H28" s="25" t="n"/>
    </row>
    <row r="29" ht="18" customHeight="1">
      <c r="A29" s="2" t="inlineStr">
        <is>
          <t>A line the log can't read</t>
        </is>
      </c>
      <c r="B29" s="22">
        <f>IF(SUM(Log!$AF$4:$AF$153)=0,"○ Clear","△ "&amp;SUM(Log!$AF$4:$AF$153)&amp;IF(SUM(Log!$AF$4:$AF$153)=1," line"," lines")&amp;" the log can't read"&amp;", first at Log row "&amp;(MATCH(1,Log!$AF$4:$AF$153,0)+3))</f>
        <v/>
      </c>
      <c r="C29" s="24" t="n"/>
      <c r="D29" s="24" t="n"/>
      <c r="E29" s="24" t="n"/>
      <c r="F29" s="24" t="n"/>
      <c r="G29" s="24" t="n"/>
      <c r="H29" s="25" t="n"/>
    </row>
    <row r="30" ht="6" customHeight="1"/>
    <row r="31" ht="18" customHeight="1">
      <c r="A31" s="12" t="inlineStr">
        <is>
          <t>HIGH-IMPACT LINES CLOSED</t>
        </is>
      </c>
      <c r="B31" s="12" t="n"/>
      <c r="C31" s="12" t="n"/>
      <c r="D31" s="12" t="n"/>
      <c r="E31" s="12" t="n"/>
      <c r="F31" s="12" t="n"/>
      <c r="G31" s="12" t="n"/>
      <c r="H31" s="12" t="n"/>
    </row>
    <row r="32">
      <c r="A32" s="18" t="inlineStr">
        <is>
          <t>Id</t>
        </is>
      </c>
      <c r="B32" s="18" t="inlineStr">
        <is>
          <t>What</t>
        </is>
      </c>
      <c r="C32" s="18" t="inlineStr">
        <is>
          <t>Closed on</t>
        </is>
      </c>
      <c r="D32" s="18" t="inlineStr">
        <is>
          <t>Why closed</t>
        </is>
      </c>
      <c r="E32" s="26" t="n"/>
      <c r="F32" s="26" t="n"/>
      <c r="G32" s="26" t="n"/>
      <c r="H32" s="26" t="n"/>
    </row>
    <row r="33" ht="30" customHeight="1">
      <c r="A33" s="22">
        <f>IFERROR(INDEX(Log!$A$4:$A$153,MATCH(1,Log!$AJ$4:$AJ$153,0))&amp;"","")</f>
        <v/>
      </c>
      <c r="B33" s="27">
        <f>IFERROR(INDEX(Log!$C$4:$C$153,MATCH(1,Log!$AJ$4:$AJ$153,0))&amp;"","")</f>
        <v/>
      </c>
      <c r="C33" s="28">
        <f>IFERROR(INDEX(Log!$K$4:$K$153,MATCH(1,Log!$AJ$4:$AJ$153,0)),"")</f>
        <v/>
      </c>
      <c r="D33" s="27">
        <f>IFERROR(INDEX(Log!$L$4:$L$153,MATCH(1,Log!$AJ$4:$AJ$153,0))&amp;"","")</f>
        <v/>
      </c>
      <c r="E33" s="24" t="n"/>
      <c r="F33" s="24" t="n"/>
      <c r="G33" s="24" t="n"/>
      <c r="H33" s="25" t="n"/>
    </row>
    <row r="34" ht="30" customHeight="1">
      <c r="A34" s="22">
        <f>IFERROR(INDEX(Log!$A$4:$A$153,MATCH(2,Log!$AJ$4:$AJ$153,0))&amp;"","")</f>
        <v/>
      </c>
      <c r="B34" s="27">
        <f>IFERROR(INDEX(Log!$C$4:$C$153,MATCH(2,Log!$AJ$4:$AJ$153,0))&amp;"","")</f>
        <v/>
      </c>
      <c r="C34" s="28">
        <f>IFERROR(INDEX(Log!$K$4:$K$153,MATCH(2,Log!$AJ$4:$AJ$153,0)),"")</f>
        <v/>
      </c>
      <c r="D34" s="27">
        <f>IFERROR(INDEX(Log!$L$4:$L$153,MATCH(2,Log!$AJ$4:$AJ$153,0))&amp;"","")</f>
        <v/>
      </c>
      <c r="E34" s="24" t="n"/>
      <c r="F34" s="24" t="n"/>
      <c r="G34" s="24" t="n"/>
      <c r="H34" s="25" t="n"/>
    </row>
    <row r="35" ht="30" customHeight="1">
      <c r="A35" s="22">
        <f>IFERROR(INDEX(Log!$A$4:$A$153,MATCH(3,Log!$AJ$4:$AJ$153,0))&amp;"","")</f>
        <v/>
      </c>
      <c r="B35" s="27">
        <f>IFERROR(INDEX(Log!$C$4:$C$153,MATCH(3,Log!$AJ$4:$AJ$153,0))&amp;"","")</f>
        <v/>
      </c>
      <c r="C35" s="28">
        <f>IFERROR(INDEX(Log!$K$4:$K$153,MATCH(3,Log!$AJ$4:$AJ$153,0)),"")</f>
        <v/>
      </c>
      <c r="D35" s="27">
        <f>IFERROR(INDEX(Log!$L$4:$L$153,MATCH(3,Log!$AJ$4:$AJ$153,0))&amp;"","")</f>
        <v/>
      </c>
      <c r="E35" s="24" t="n"/>
      <c r="F35" s="24" t="n"/>
      <c r="G35" s="24" t="n"/>
      <c r="H35" s="25" t="n"/>
    </row>
    <row r="36" ht="30" customHeight="1">
      <c r="A36" s="22">
        <f>IFERROR(INDEX(Log!$A$4:$A$153,MATCH(4,Log!$AJ$4:$AJ$153,0))&amp;"","")</f>
        <v/>
      </c>
      <c r="B36" s="27">
        <f>IFERROR(INDEX(Log!$C$4:$C$153,MATCH(4,Log!$AJ$4:$AJ$153,0))&amp;"","")</f>
        <v/>
      </c>
      <c r="C36" s="28">
        <f>IFERROR(INDEX(Log!$K$4:$K$153,MATCH(4,Log!$AJ$4:$AJ$153,0)),"")</f>
        <v/>
      </c>
      <c r="D36" s="27">
        <f>IFERROR(INDEX(Log!$L$4:$L$153,MATCH(4,Log!$AJ$4:$AJ$153,0))&amp;"","")</f>
        <v/>
      </c>
      <c r="E36" s="24" t="n"/>
      <c r="F36" s="24" t="n"/>
      <c r="G36" s="24" t="n"/>
      <c r="H36" s="25" t="n"/>
    </row>
    <row r="37" ht="30" customHeight="1">
      <c r="A37" s="22">
        <f>IFERROR(INDEX(Log!$A$4:$A$153,MATCH(5,Log!$AJ$4:$AJ$153,0))&amp;"","")</f>
        <v/>
      </c>
      <c r="B37" s="27">
        <f>IFERROR(INDEX(Log!$C$4:$C$153,MATCH(5,Log!$AJ$4:$AJ$153,0))&amp;"","")</f>
        <v/>
      </c>
      <c r="C37" s="28">
        <f>IFERROR(INDEX(Log!$K$4:$K$153,MATCH(5,Log!$AJ$4:$AJ$153,0)),"")</f>
        <v/>
      </c>
      <c r="D37" s="27">
        <f>IFERROR(INDEX(Log!$L$4:$L$153,MATCH(5,Log!$AJ$4:$AJ$153,0))&amp;"","")</f>
        <v/>
      </c>
      <c r="E37" s="24" t="n"/>
      <c r="F37" s="24" t="n"/>
      <c r="G37" s="24" t="n"/>
      <c r="H37" s="25" t="n"/>
    </row>
    <row r="38">
      <c r="A38" s="17">
        <f>IF($K$7&gt;5,"+ "&amp;($K$7-5)&amp;" more. Filter Log on Impact and Status to see them.","")</f>
        <v/>
      </c>
    </row>
  </sheetData>
  <sheetProtection selectLockedCells="0" selectUnlockedCells="0" sheet="1" objects="0" insertRows="1" insertHyperlinks="1" autoFilter="0" scenarios="0" formatColumns="0" deleteColumns="1" insertColumns="1" pivotTables="1" deleteRows="1" formatCells="0" formatRows="0" sort="0"/>
  <mergeCells count="14">
    <mergeCell ref="B22:H22"/>
    <mergeCell ref="D35:H35"/>
    <mergeCell ref="B26:H26"/>
    <mergeCell ref="B27:H27"/>
    <mergeCell ref="D34:H34"/>
    <mergeCell ref="D32:H32"/>
    <mergeCell ref="D33:H33"/>
    <mergeCell ref="B24:H24"/>
    <mergeCell ref="D37:H37"/>
    <mergeCell ref="B29:H29"/>
    <mergeCell ref="B25:H25"/>
    <mergeCell ref="D36:H36"/>
    <mergeCell ref="B28:H28"/>
    <mergeCell ref="B23:H23"/>
  </mergeCells>
  <conditionalFormatting sqref="A3">
    <cfRule type="expression" priority="1" dxfId="0" stopIfTrue="0">
      <formula>OR(ISNUMBER(SEARCH(" of 7 checks failing.",A3)),A3="Counts don't add up: a line on Log has a Kind or a Status that isn't on its list. Its Row check says so.")</formula>
    </cfRule>
  </conditionalFormatting>
  <conditionalFormatting sqref="B23:B29">
    <cfRule type="expression" priority="2" dxfId="0" stopIfTrue="0">
      <formula>LEFT(B23,1)="△"</formula>
    </cfRule>
  </conditionalFormatting>
  <dataValidations count="6">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errorStyle="stop"/>
    <dataValidation sqref="B8" showDropDown="0" showInputMessage="1" showErrorMessage="0" allowBlank="1" promptTitle="Owner" prompt="The project's Owner as the Register writes it, such as Anders (Engineering Manager). Each line on Log has an owner of its own." errorStyle="stop"/>
    <dataValidation sqref="B9" showDropDown="0" showInputMessage="1" showErrorMessage="1" allowBlank="1" errorTitle="Check this entry" error="Type a date, such as 22 Oct 2026, or leave it blank for today." promptTitle="As of" prompt="The day you're reviewing on. Every check counts from it. Leave it blank to use today's date." type="custom" errorStyle="stop">
      <formula1>OR(B9="",ISNUMBER(B9))</formula1>
    </dataValidation>
    <dataValidation sqref="B10" showDropDown="0" showInputMessage="1" showErrorMessage="1" allowBlank="1" errorTitle="Check this entry" error="Type a date, such as 15 Oct 2026, or leave it blank." promptTitle="Last reviewed" prompt="Optional. The day of the last review. High-impact lines closed since then are listed below; blank lists every one." type="custom" errorStyle="stop">
      <formula1>OR(B10="",ISNUMBER(B10))</formula1>
    </dataValidation>
    <dataValidation sqref="B11" showDropDown="0" showInputMessage="1" showErrorMessage="1" allowBlank="1" errorTitle="Check this entry" error="Type a whole number of days from 7 to 365, or leave it blank for 60." promptTitle="Look again within (days)" prompt="How many days after As of a look-again date may fall. Blank means 60. A whole number from 7 to 365." type="whole" errorStyle="stop" operator="between">
      <formula1>7</formula1>
      <formula2>365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J153"/>
  <sheetViews>
    <sheetView showGridLines="0" tabSelected="0"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46" customWidth="1" min="3" max="3"/>
    <col width="28" customWidth="1" min="4" max="4"/>
    <col width="12" customWidth="1" min="5" max="5"/>
    <col width="13" customWidth="1" min="6" max="6"/>
    <col width="10" customWidth="1" min="7" max="7"/>
    <col width="11" customWidth="1" min="8" max="8"/>
    <col width="44" customWidth="1" min="9" max="9"/>
    <col width="12" customWidth="1" min="10" max="10"/>
    <col width="12" customWidth="1" min="11" max="11"/>
    <col width="34" customWidth="1" min="12" max="12"/>
    <col width="11" customWidth="1" min="13" max="13"/>
    <col width="24" customWidth="1" min="14" max="14"/>
    <col width="26" customWidth="1" min="15" max="15"/>
    <col width="12" customWidth="1" min="16" max="16"/>
    <col width="18" customWidth="1" min="17" max="17"/>
    <col width="36" customWidth="1" min="18" max="18"/>
    <col width="2" customWidth="1" min="19" max="19"/>
    <col hidden="1" outlineLevel="1" width="12" customWidth="1" min="20" max="36"/>
  </cols>
  <sheetData>
    <row r="1" ht="36" customHeight="1">
      <c r="A1" s="1" t="inlineStr">
        <is>
          <t>Log</t>
        </is>
      </c>
    </row>
    <row r="2" ht="18" customHeight="1">
      <c r="A2" s="9">
        <f>Summary!$A$2</f>
        <v/>
      </c>
    </row>
    <row r="3" ht="30" customHeight="1">
      <c r="A3" s="29" t="inlineStr">
        <is>
          <t>Id</t>
        </is>
      </c>
      <c r="B3" s="29" t="inlineStr">
        <is>
          <t>Kind</t>
        </is>
      </c>
      <c r="C3" s="29" t="inlineStr">
        <is>
          <t>What</t>
        </is>
      </c>
      <c r="D3" s="29" t="inlineStr">
        <is>
          <t>Owner</t>
        </is>
      </c>
      <c r="E3" s="29" t="inlineStr">
        <is>
          <t>Raised on</t>
        </is>
      </c>
      <c r="F3" s="29" t="inlineStr">
        <is>
          <t>Look again on</t>
        </is>
      </c>
      <c r="G3" s="29" t="inlineStr">
        <is>
          <t>Impact</t>
        </is>
      </c>
      <c r="H3" s="29" t="inlineStr">
        <is>
          <t>Likelihood</t>
        </is>
      </c>
      <c r="I3" s="29" t="inlineStr">
        <is>
          <t>Response</t>
        </is>
      </c>
      <c r="J3" s="29" t="inlineStr">
        <is>
          <t>Status</t>
        </is>
      </c>
      <c r="K3" s="29" t="inlineStr">
        <is>
          <t>Closed on</t>
        </is>
      </c>
      <c r="L3" s="29" t="inlineStr">
        <is>
          <t>Why closed</t>
        </is>
      </c>
      <c r="M3" s="29" t="inlineStr">
        <is>
          <t>With the program</t>
        </is>
      </c>
      <c r="N3" s="29" t="inlineStr">
        <is>
          <t>Provided by</t>
        </is>
      </c>
      <c r="O3" s="29" t="inlineStr">
        <is>
          <t>Who answers</t>
        </is>
      </c>
      <c r="P3" s="29" t="inlineStr">
        <is>
          <t>Needed by</t>
        </is>
      </c>
      <c r="Q3" s="29" t="inlineStr">
        <is>
          <t>Kept in</t>
        </is>
      </c>
      <c r="R3" s="18" t="inlineStr">
        <is>
          <t>Row check</t>
        </is>
      </c>
      <c r="T3" s="18" t="inlineStr">
        <is>
          <t>Line in use (1 or 0)</t>
        </is>
      </c>
      <c r="U3" s="18" t="inlineStr">
        <is>
          <t>Open (1 or 0)</t>
        </is>
      </c>
      <c r="V3" s="18" t="inlineStr">
        <is>
          <t>Open and kept in this log (1 or 0)</t>
        </is>
      </c>
      <c r="W3" s="18" t="inlineStr">
        <is>
          <t>Fails: owner not one named person (1 or 0)</t>
        </is>
      </c>
      <c r="X3" s="18" t="inlineStr">
        <is>
          <t>Fails: look-again date (1 or 0)</t>
        </is>
      </c>
      <c r="Y3" s="18" t="inlineStr">
        <is>
          <t>Fails: no response (1 or 0)</t>
        </is>
      </c>
      <c r="Z3" s="18" t="inlineStr">
        <is>
          <t>Fails: closed without a date or a reason (1 or 0)</t>
        </is>
      </c>
      <c r="AA3" s="18" t="inlineStr">
        <is>
          <t>Fails: dependency missing a provider, who answers or a date (1 or 0)</t>
        </is>
      </c>
      <c r="AB3" s="18" t="inlineStr">
        <is>
          <t>Fails: dependency past Needed by (1 or 0)</t>
        </is>
      </c>
      <c r="AC3" s="18" t="inlineStr">
        <is>
          <t>Id blank, used twice or not matching Kind (1 or 0)</t>
        </is>
      </c>
      <c r="AD3" s="18" t="inlineStr">
        <is>
          <t>A word not on its list, or closing text on an open line (1 or 0)</t>
        </is>
      </c>
      <c r="AE3" s="18" t="inlineStr">
        <is>
          <t>A date cell that isn't a date (1 or 0)</t>
        </is>
      </c>
      <c r="AF3" s="18" t="inlineStr">
        <is>
          <t>Fails: the log can't read the line (1 or 0)</t>
        </is>
      </c>
      <c r="AG3" s="18" t="inlineStr">
        <is>
          <t>Helper, worked out</t>
        </is>
      </c>
      <c r="AH3" s="18" t="inlineStr">
        <is>
          <t>Owner's name, before the bracket</t>
        </is>
      </c>
      <c r="AI3" s="18" t="inlineStr">
        <is>
          <t>Impact High, closed since Last reviewed (1 or 0)</t>
        </is>
      </c>
      <c r="AJ3" s="18" t="inlineStr">
        <is>
          <t>Its place in the Summary's closed list</t>
        </is>
      </c>
    </row>
    <row r="4" ht="18" customHeight="1">
      <c r="A4" s="30" t="n"/>
      <c r="B4" s="30" t="n"/>
      <c r="C4" s="31" t="n"/>
      <c r="D4" s="31" t="n"/>
      <c r="E4" s="32" t="n"/>
      <c r="F4" s="32" t="n"/>
      <c r="G4" s="30" t="n"/>
      <c r="H4" s="30" t="n"/>
      <c r="I4" s="31" t="n"/>
      <c r="J4" s="30" t="n"/>
      <c r="K4" s="32" t="n"/>
      <c r="L4" s="31" t="n"/>
      <c r="M4" s="30" t="n"/>
      <c r="N4" s="31" t="n"/>
      <c r="O4" s="31" t="n"/>
      <c r="P4" s="32" t="n"/>
      <c r="Q4" s="30" t="n"/>
      <c r="R4" s="33">
        <f>IF($T4=0,"",IF($AF4=1,"△ The log can't read this line",IF($W4=1,"△ Needs one owner, written as Name (Role)",IF($X4=1,"△ Look-again date missing, passed or too far ahead",IF($Y4=1,"△ No response",IF($Z4=1,"△ Closed without a date or a reason",IF($AA4=1,"△ Needs Provided by and Needed by, and Who answers as Name (Role)",IF($AB4=1,"△ Past its Needed by date","○ Clear"))))))))</f>
        <v/>
      </c>
      <c r="T4" s="34">
        <f>IF(COUNTA($A4:$Q4)&gt;0,1,0)</f>
        <v/>
      </c>
      <c r="U4" s="34">
        <f>IF(AND($T4=1,$J4&lt;&gt;"Closed"),1,0)</f>
        <v/>
      </c>
      <c r="V4" s="34">
        <f>IF(AND($U4=1,$Q4&lt;&gt;"Program workbook"),1,0)</f>
        <v/>
      </c>
      <c r="W4" s="34">
        <f>IF($V4=0,0,IF(OR(ISERROR(SEARCH(" (",$D4)),RIGHT(TRIM($D4),1)&lt;&gt;")",ISNUMBER(SEARCH(",",$AH4)),ISNUMBER(SEARCH("/",$AH4)),ISNUMBER(SEARCH(" and ",$AH4)),ISNUMBER(SEARCH("&amp;",$AH4))),1,0))</f>
        <v/>
      </c>
      <c r="X4" s="34">
        <f>IF($V4=0,0,IF(NOT(ISNUMBER($F4)),1,IF(OR($F4&lt;Summary!$K$4,$F4&gt;Summary!$K$4+Summary!$K$5,AND(ISNUMBER($P4),$F4&gt;$P4)),1,0)))</f>
        <v/>
      </c>
      <c r="Y4" s="34">
        <f>IF(AND($V4=1,OR($B4="Risk",$B4="Issue"),LEN(TRIM($I4))=0),1,0)</f>
        <v/>
      </c>
      <c r="Z4" s="34">
        <f>IF(AND($T4=1,$J4="Closed",OR(NOT(ISNUMBER($K4)),LEN(TRIM($L4))=0)),1,0)</f>
        <v/>
      </c>
      <c r="AA4" s="34">
        <f>IF(AND($U4=1,$B4="Dependency"),IF(OR(LEN(TRIM($N4))=0,NOT(ISNUMBER($P4)),NOT(AND(ISNUMBER(SEARCH(" (",$O4)),RIGHT(TRIM($O4),1)=")"))),1,0),0)</f>
        <v/>
      </c>
      <c r="AB4" s="34">
        <f>IF(AND($V4=1,$B4="Dependency",ISNUMBER($P4)),IF($P4&lt;Summary!$K$4,1,0),0)</f>
        <v/>
      </c>
      <c r="AC4" s="34">
        <f>IF($T4=0,0,IF(OR($A4="",COUNTIF($A$4:$A$153,$A4)&gt;1,ISERROR(MATCH($B4,{"Risk","Assumption","Issue","Dependency"},0))),1,IF(INDEX({"R","A","I","X"},MATCH($B4,{"Risk","Assumption","Issue","Dependency"},0))&lt;&gt;LEFT($A4,1),1,0)))</f>
        <v/>
      </c>
      <c r="AD4" s="34">
        <f>IF($T4=0,0,IF(OR(ISERROR(MATCH($J4,{"Raised","Responding","Closed"},0)),ISERROR(MATCH($G4,{"Low","Medium","High"},0)),AND(OR($B4="Risk",$B4="Assumption"),ISERROR(MATCH($H4,{"Low","Medium","High"},0))),AND($Q4&lt;&gt;"",$Q4&lt;&gt;"This log",$Q4&lt;&gt;"Program workbook"),AND($J4&lt;&gt;"Closed",OR($K4&lt;&gt;"",LEN(TRIM($L4))&gt;0))),1,0))</f>
        <v/>
      </c>
      <c r="AE4" s="34">
        <f>IF($T4=0,0,IF(OR(NOT(ISNUMBER($E4)),AND($F4&lt;&gt;"",NOT(ISNUMBER($F4))),AND($K4&lt;&gt;"",NOT(ISNUMBER($K4))),AND($P4&lt;&gt;"",NOT(ISNUMBER($P4)))),1,0))</f>
        <v/>
      </c>
      <c r="AF4" s="34">
        <f>MAX($AC4,$AD4,$AE4)</f>
        <v/>
      </c>
      <c r="AG4" s="34">
        <f>IF($T4=0,0,IFERROR(--MID(TRIM($A4),2,9),0))</f>
        <v/>
      </c>
      <c r="AH4" s="22">
        <f>IFERROR(LEFT(TRIM($D4),SEARCH(" (",TRIM($D4))-1),TRIM($D4))</f>
        <v/>
      </c>
      <c r="AI4" s="34">
        <f>IF(AND($T4=1,$J4="Closed",$G4="High",ISNUMBER($K4)),IF($K4&gt;=Summary!$K$6,1,0),0)</f>
        <v/>
      </c>
      <c r="AJ4" s="34">
        <f>IF($AI4=1,SUM($AI$4:$AI4),0)</f>
        <v/>
      </c>
    </row>
    <row r="5" ht="18" customHeight="1">
      <c r="A5" s="30" t="n"/>
      <c r="B5" s="30" t="n"/>
      <c r="C5" s="31" t="n"/>
      <c r="D5" s="31" t="n"/>
      <c r="E5" s="32" t="n"/>
      <c r="F5" s="32" t="n"/>
      <c r="G5" s="30" t="n"/>
      <c r="H5" s="30" t="n"/>
      <c r="I5" s="31" t="n"/>
      <c r="J5" s="30" t="n"/>
      <c r="K5" s="32" t="n"/>
      <c r="L5" s="31" t="n"/>
      <c r="M5" s="30" t="n"/>
      <c r="N5" s="31" t="n"/>
      <c r="O5" s="31" t="n"/>
      <c r="P5" s="32" t="n"/>
      <c r="Q5" s="30" t="n"/>
      <c r="R5" s="33">
        <f>IF($T5=0,"",IF($AF5=1,"△ The log can't read this line",IF($W5=1,"△ Needs one owner, written as Name (Role)",IF($X5=1,"△ Look-again date missing, passed or too far ahead",IF($Y5=1,"△ No response",IF($Z5=1,"△ Closed without a date or a reason",IF($AA5=1,"△ Needs Provided by and Needed by, and Who answers as Name (Role)",IF($AB5=1,"△ Past its Needed by date","○ Clear"))))))))</f>
        <v/>
      </c>
      <c r="T5" s="34">
        <f>IF(COUNTA($A5:$Q5)&gt;0,1,0)</f>
        <v/>
      </c>
      <c r="U5" s="34">
        <f>IF(AND($T5=1,$J5&lt;&gt;"Closed"),1,0)</f>
        <v/>
      </c>
      <c r="V5" s="34">
        <f>IF(AND($U5=1,$Q5&lt;&gt;"Program workbook"),1,0)</f>
        <v/>
      </c>
      <c r="W5" s="34">
        <f>IF($V5=0,0,IF(OR(ISERROR(SEARCH(" (",$D5)),RIGHT(TRIM($D5),1)&lt;&gt;")",ISNUMBER(SEARCH(",",$AH5)),ISNUMBER(SEARCH("/",$AH5)),ISNUMBER(SEARCH(" and ",$AH5)),ISNUMBER(SEARCH("&amp;",$AH5))),1,0))</f>
        <v/>
      </c>
      <c r="X5" s="34">
        <f>IF($V5=0,0,IF(NOT(ISNUMBER($F5)),1,IF(OR($F5&lt;Summary!$K$4,$F5&gt;Summary!$K$4+Summary!$K$5,AND(ISNUMBER($P5),$F5&gt;$P5)),1,0)))</f>
        <v/>
      </c>
      <c r="Y5" s="34">
        <f>IF(AND($V5=1,OR($B5="Risk",$B5="Issue"),LEN(TRIM($I5))=0),1,0)</f>
        <v/>
      </c>
      <c r="Z5" s="34">
        <f>IF(AND($T5=1,$J5="Closed",OR(NOT(ISNUMBER($K5)),LEN(TRIM($L5))=0)),1,0)</f>
        <v/>
      </c>
      <c r="AA5" s="34">
        <f>IF(AND($U5=1,$B5="Dependency"),IF(OR(LEN(TRIM($N5))=0,NOT(ISNUMBER($P5)),NOT(AND(ISNUMBER(SEARCH(" (",$O5)),RIGHT(TRIM($O5),1)=")"))),1,0),0)</f>
        <v/>
      </c>
      <c r="AB5" s="34">
        <f>IF(AND($V5=1,$B5="Dependency",ISNUMBER($P5)),IF($P5&lt;Summary!$K$4,1,0),0)</f>
        <v/>
      </c>
      <c r="AC5" s="34">
        <f>IF($T5=0,0,IF(OR($A5="",COUNTIF($A$4:$A$153,$A5)&gt;1,ISERROR(MATCH($B5,{"Risk","Assumption","Issue","Dependency"},0))),1,IF(INDEX({"R","A","I","X"},MATCH($B5,{"Risk","Assumption","Issue","Dependency"},0))&lt;&gt;LEFT($A5,1),1,0)))</f>
        <v/>
      </c>
      <c r="AD5" s="34">
        <f>IF($T5=0,0,IF(OR(ISERROR(MATCH($J5,{"Raised","Responding","Closed"},0)),ISERROR(MATCH($G5,{"Low","Medium","High"},0)),AND(OR($B5="Risk",$B5="Assumption"),ISERROR(MATCH($H5,{"Low","Medium","High"},0))),AND($Q5&lt;&gt;"",$Q5&lt;&gt;"This log",$Q5&lt;&gt;"Program workbook"),AND($J5&lt;&gt;"Closed",OR($K5&lt;&gt;"",LEN(TRIM($L5))&gt;0))),1,0))</f>
        <v/>
      </c>
      <c r="AE5" s="34">
        <f>IF($T5=0,0,IF(OR(NOT(ISNUMBER($E5)),AND($F5&lt;&gt;"",NOT(ISNUMBER($F5))),AND($K5&lt;&gt;"",NOT(ISNUMBER($K5))),AND($P5&lt;&gt;"",NOT(ISNUMBER($P5)))),1,0))</f>
        <v/>
      </c>
      <c r="AF5" s="34">
        <f>MAX($AC5,$AD5,$AE5)</f>
        <v/>
      </c>
      <c r="AG5" s="34">
        <f>IF($T5=0,0,IFERROR(--MID(TRIM($A5),2,9),0))</f>
        <v/>
      </c>
      <c r="AH5" s="22">
        <f>IFERROR(LEFT(TRIM($D5),SEARCH(" (",TRIM($D5))-1),TRIM($D5))</f>
        <v/>
      </c>
      <c r="AI5" s="34">
        <f>IF(AND($T5=1,$J5="Closed",$G5="High",ISNUMBER($K5)),IF($K5&gt;=Summary!$K$6,1,0),0)</f>
        <v/>
      </c>
      <c r="AJ5" s="34">
        <f>IF($AI5=1,SUM($AI$4:$AI5),0)</f>
        <v/>
      </c>
    </row>
    <row r="6" ht="18" customHeight="1">
      <c r="A6" s="30" t="n"/>
      <c r="B6" s="30" t="n"/>
      <c r="C6" s="31" t="n"/>
      <c r="D6" s="31" t="n"/>
      <c r="E6" s="32" t="n"/>
      <c r="F6" s="32" t="n"/>
      <c r="G6" s="30" t="n"/>
      <c r="H6" s="30" t="n"/>
      <c r="I6" s="31" t="n"/>
      <c r="J6" s="30" t="n"/>
      <c r="K6" s="32" t="n"/>
      <c r="L6" s="31" t="n"/>
      <c r="M6" s="30" t="n"/>
      <c r="N6" s="31" t="n"/>
      <c r="O6" s="31" t="n"/>
      <c r="P6" s="32" t="n"/>
      <c r="Q6" s="30" t="n"/>
      <c r="R6" s="33">
        <f>IF($T6=0,"",IF($AF6=1,"△ The log can't read this line",IF($W6=1,"△ Needs one owner, written as Name (Role)",IF($X6=1,"△ Look-again date missing, passed or too far ahead",IF($Y6=1,"△ No response",IF($Z6=1,"△ Closed without a date or a reason",IF($AA6=1,"△ Needs Provided by and Needed by, and Who answers as Name (Role)",IF($AB6=1,"△ Past its Needed by date","○ Clear"))))))))</f>
        <v/>
      </c>
      <c r="T6" s="34">
        <f>IF(COUNTA($A6:$Q6)&gt;0,1,0)</f>
        <v/>
      </c>
      <c r="U6" s="34">
        <f>IF(AND($T6=1,$J6&lt;&gt;"Closed"),1,0)</f>
        <v/>
      </c>
      <c r="V6" s="34">
        <f>IF(AND($U6=1,$Q6&lt;&gt;"Program workbook"),1,0)</f>
        <v/>
      </c>
      <c r="W6" s="34">
        <f>IF($V6=0,0,IF(OR(ISERROR(SEARCH(" (",$D6)),RIGHT(TRIM($D6),1)&lt;&gt;")",ISNUMBER(SEARCH(",",$AH6)),ISNUMBER(SEARCH("/",$AH6)),ISNUMBER(SEARCH(" and ",$AH6)),ISNUMBER(SEARCH("&amp;",$AH6))),1,0))</f>
        <v/>
      </c>
      <c r="X6" s="34">
        <f>IF($V6=0,0,IF(NOT(ISNUMBER($F6)),1,IF(OR($F6&lt;Summary!$K$4,$F6&gt;Summary!$K$4+Summary!$K$5,AND(ISNUMBER($P6),$F6&gt;$P6)),1,0)))</f>
        <v/>
      </c>
      <c r="Y6" s="34">
        <f>IF(AND($V6=1,OR($B6="Risk",$B6="Issue"),LEN(TRIM($I6))=0),1,0)</f>
        <v/>
      </c>
      <c r="Z6" s="34">
        <f>IF(AND($T6=1,$J6="Closed",OR(NOT(ISNUMBER($K6)),LEN(TRIM($L6))=0)),1,0)</f>
        <v/>
      </c>
      <c r="AA6" s="34">
        <f>IF(AND($U6=1,$B6="Dependency"),IF(OR(LEN(TRIM($N6))=0,NOT(ISNUMBER($P6)),NOT(AND(ISNUMBER(SEARCH(" (",$O6)),RIGHT(TRIM($O6),1)=")"))),1,0),0)</f>
        <v/>
      </c>
      <c r="AB6" s="34">
        <f>IF(AND($V6=1,$B6="Dependency",ISNUMBER($P6)),IF($P6&lt;Summary!$K$4,1,0),0)</f>
        <v/>
      </c>
      <c r="AC6" s="34">
        <f>IF($T6=0,0,IF(OR($A6="",COUNTIF($A$4:$A$153,$A6)&gt;1,ISERROR(MATCH($B6,{"Risk","Assumption","Issue","Dependency"},0))),1,IF(INDEX({"R","A","I","X"},MATCH($B6,{"Risk","Assumption","Issue","Dependency"},0))&lt;&gt;LEFT($A6,1),1,0)))</f>
        <v/>
      </c>
      <c r="AD6" s="34">
        <f>IF($T6=0,0,IF(OR(ISERROR(MATCH($J6,{"Raised","Responding","Closed"},0)),ISERROR(MATCH($G6,{"Low","Medium","High"},0)),AND(OR($B6="Risk",$B6="Assumption"),ISERROR(MATCH($H6,{"Low","Medium","High"},0))),AND($Q6&lt;&gt;"",$Q6&lt;&gt;"This log",$Q6&lt;&gt;"Program workbook"),AND($J6&lt;&gt;"Closed",OR($K6&lt;&gt;"",LEN(TRIM($L6))&gt;0))),1,0))</f>
        <v/>
      </c>
      <c r="AE6" s="34">
        <f>IF($T6=0,0,IF(OR(NOT(ISNUMBER($E6)),AND($F6&lt;&gt;"",NOT(ISNUMBER($F6))),AND($K6&lt;&gt;"",NOT(ISNUMBER($K6))),AND($P6&lt;&gt;"",NOT(ISNUMBER($P6)))),1,0))</f>
        <v/>
      </c>
      <c r="AF6" s="34">
        <f>MAX($AC6,$AD6,$AE6)</f>
        <v/>
      </c>
      <c r="AG6" s="34">
        <f>IF($T6=0,0,IFERROR(--MID(TRIM($A6),2,9),0))</f>
        <v/>
      </c>
      <c r="AH6" s="22">
        <f>IFERROR(LEFT(TRIM($D6),SEARCH(" (",TRIM($D6))-1),TRIM($D6))</f>
        <v/>
      </c>
      <c r="AI6" s="34">
        <f>IF(AND($T6=1,$J6="Closed",$G6="High",ISNUMBER($K6)),IF($K6&gt;=Summary!$K$6,1,0),0)</f>
        <v/>
      </c>
      <c r="AJ6" s="34">
        <f>IF($AI6=1,SUM($AI$4:$AI6),0)</f>
        <v/>
      </c>
    </row>
    <row r="7" ht="18" customHeight="1">
      <c r="A7" s="30" t="n"/>
      <c r="B7" s="30" t="n"/>
      <c r="C7" s="31" t="n"/>
      <c r="D7" s="31" t="n"/>
      <c r="E7" s="32" t="n"/>
      <c r="F7" s="32" t="n"/>
      <c r="G7" s="30" t="n"/>
      <c r="H7" s="30" t="n"/>
      <c r="I7" s="31" t="n"/>
      <c r="J7" s="30" t="n"/>
      <c r="K7" s="32" t="n"/>
      <c r="L7" s="31" t="n"/>
      <c r="M7" s="30" t="n"/>
      <c r="N7" s="31" t="n"/>
      <c r="O7" s="31" t="n"/>
      <c r="P7" s="32" t="n"/>
      <c r="Q7" s="30" t="n"/>
      <c r="R7" s="33">
        <f>IF($T7=0,"",IF($AF7=1,"△ The log can't read this line",IF($W7=1,"△ Needs one owner, written as Name (Role)",IF($X7=1,"△ Look-again date missing, passed or too far ahead",IF($Y7=1,"△ No response",IF($Z7=1,"△ Closed without a date or a reason",IF($AA7=1,"△ Needs Provided by and Needed by, and Who answers as Name (Role)",IF($AB7=1,"△ Past its Needed by date","○ Clear"))))))))</f>
        <v/>
      </c>
      <c r="T7" s="34">
        <f>IF(COUNTA($A7:$Q7)&gt;0,1,0)</f>
        <v/>
      </c>
      <c r="U7" s="34">
        <f>IF(AND($T7=1,$J7&lt;&gt;"Closed"),1,0)</f>
        <v/>
      </c>
      <c r="V7" s="34">
        <f>IF(AND($U7=1,$Q7&lt;&gt;"Program workbook"),1,0)</f>
        <v/>
      </c>
      <c r="W7" s="34">
        <f>IF($V7=0,0,IF(OR(ISERROR(SEARCH(" (",$D7)),RIGHT(TRIM($D7),1)&lt;&gt;")",ISNUMBER(SEARCH(",",$AH7)),ISNUMBER(SEARCH("/",$AH7)),ISNUMBER(SEARCH(" and ",$AH7)),ISNUMBER(SEARCH("&amp;",$AH7))),1,0))</f>
        <v/>
      </c>
      <c r="X7" s="34">
        <f>IF($V7=0,0,IF(NOT(ISNUMBER($F7)),1,IF(OR($F7&lt;Summary!$K$4,$F7&gt;Summary!$K$4+Summary!$K$5,AND(ISNUMBER($P7),$F7&gt;$P7)),1,0)))</f>
        <v/>
      </c>
      <c r="Y7" s="34">
        <f>IF(AND($V7=1,OR($B7="Risk",$B7="Issue"),LEN(TRIM($I7))=0),1,0)</f>
        <v/>
      </c>
      <c r="Z7" s="34">
        <f>IF(AND($T7=1,$J7="Closed",OR(NOT(ISNUMBER($K7)),LEN(TRIM($L7))=0)),1,0)</f>
        <v/>
      </c>
      <c r="AA7" s="34">
        <f>IF(AND($U7=1,$B7="Dependency"),IF(OR(LEN(TRIM($N7))=0,NOT(ISNUMBER($P7)),NOT(AND(ISNUMBER(SEARCH(" (",$O7)),RIGHT(TRIM($O7),1)=")"))),1,0),0)</f>
        <v/>
      </c>
      <c r="AB7" s="34">
        <f>IF(AND($V7=1,$B7="Dependency",ISNUMBER($P7)),IF($P7&lt;Summary!$K$4,1,0),0)</f>
        <v/>
      </c>
      <c r="AC7" s="34">
        <f>IF($T7=0,0,IF(OR($A7="",COUNTIF($A$4:$A$153,$A7)&gt;1,ISERROR(MATCH($B7,{"Risk","Assumption","Issue","Dependency"},0))),1,IF(INDEX({"R","A","I","X"},MATCH($B7,{"Risk","Assumption","Issue","Dependency"},0))&lt;&gt;LEFT($A7,1),1,0)))</f>
        <v/>
      </c>
      <c r="AD7" s="34">
        <f>IF($T7=0,0,IF(OR(ISERROR(MATCH($J7,{"Raised","Responding","Closed"},0)),ISERROR(MATCH($G7,{"Low","Medium","High"},0)),AND(OR($B7="Risk",$B7="Assumption"),ISERROR(MATCH($H7,{"Low","Medium","High"},0))),AND($Q7&lt;&gt;"",$Q7&lt;&gt;"This log",$Q7&lt;&gt;"Program workbook"),AND($J7&lt;&gt;"Closed",OR($K7&lt;&gt;"",LEN(TRIM($L7))&gt;0))),1,0))</f>
        <v/>
      </c>
      <c r="AE7" s="34">
        <f>IF($T7=0,0,IF(OR(NOT(ISNUMBER($E7)),AND($F7&lt;&gt;"",NOT(ISNUMBER($F7))),AND($K7&lt;&gt;"",NOT(ISNUMBER($K7))),AND($P7&lt;&gt;"",NOT(ISNUMBER($P7)))),1,0))</f>
        <v/>
      </c>
      <c r="AF7" s="34">
        <f>MAX($AC7,$AD7,$AE7)</f>
        <v/>
      </c>
      <c r="AG7" s="34">
        <f>IF($T7=0,0,IFERROR(--MID(TRIM($A7),2,9),0))</f>
        <v/>
      </c>
      <c r="AH7" s="22">
        <f>IFERROR(LEFT(TRIM($D7),SEARCH(" (",TRIM($D7))-1),TRIM($D7))</f>
        <v/>
      </c>
      <c r="AI7" s="34">
        <f>IF(AND($T7=1,$J7="Closed",$G7="High",ISNUMBER($K7)),IF($K7&gt;=Summary!$K$6,1,0),0)</f>
        <v/>
      </c>
      <c r="AJ7" s="34">
        <f>IF($AI7=1,SUM($AI$4:$AI7),0)</f>
        <v/>
      </c>
    </row>
    <row r="8" ht="18" customHeight="1">
      <c r="A8" s="30" t="n"/>
      <c r="B8" s="30" t="n"/>
      <c r="C8" s="31" t="n"/>
      <c r="D8" s="31" t="n"/>
      <c r="E8" s="32" t="n"/>
      <c r="F8" s="32" t="n"/>
      <c r="G8" s="30" t="n"/>
      <c r="H8" s="30" t="n"/>
      <c r="I8" s="31" t="n"/>
      <c r="J8" s="30" t="n"/>
      <c r="K8" s="32" t="n"/>
      <c r="L8" s="31" t="n"/>
      <c r="M8" s="30" t="n"/>
      <c r="N8" s="31" t="n"/>
      <c r="O8" s="31" t="n"/>
      <c r="P8" s="32" t="n"/>
      <c r="Q8" s="30" t="n"/>
      <c r="R8" s="33">
        <f>IF($T8=0,"",IF($AF8=1,"△ The log can't read this line",IF($W8=1,"△ Needs one owner, written as Name (Role)",IF($X8=1,"△ Look-again date missing, passed or too far ahead",IF($Y8=1,"△ No response",IF($Z8=1,"△ Closed without a date or a reason",IF($AA8=1,"△ Needs Provided by and Needed by, and Who answers as Name (Role)",IF($AB8=1,"△ Past its Needed by date","○ Clear"))))))))</f>
        <v/>
      </c>
      <c r="T8" s="34">
        <f>IF(COUNTA($A8:$Q8)&gt;0,1,0)</f>
        <v/>
      </c>
      <c r="U8" s="34">
        <f>IF(AND($T8=1,$J8&lt;&gt;"Closed"),1,0)</f>
        <v/>
      </c>
      <c r="V8" s="34">
        <f>IF(AND($U8=1,$Q8&lt;&gt;"Program workbook"),1,0)</f>
        <v/>
      </c>
      <c r="W8" s="34">
        <f>IF($V8=0,0,IF(OR(ISERROR(SEARCH(" (",$D8)),RIGHT(TRIM($D8),1)&lt;&gt;")",ISNUMBER(SEARCH(",",$AH8)),ISNUMBER(SEARCH("/",$AH8)),ISNUMBER(SEARCH(" and ",$AH8)),ISNUMBER(SEARCH("&amp;",$AH8))),1,0))</f>
        <v/>
      </c>
      <c r="X8" s="34">
        <f>IF($V8=0,0,IF(NOT(ISNUMBER($F8)),1,IF(OR($F8&lt;Summary!$K$4,$F8&gt;Summary!$K$4+Summary!$K$5,AND(ISNUMBER($P8),$F8&gt;$P8)),1,0)))</f>
        <v/>
      </c>
      <c r="Y8" s="34">
        <f>IF(AND($V8=1,OR($B8="Risk",$B8="Issue"),LEN(TRIM($I8))=0),1,0)</f>
        <v/>
      </c>
      <c r="Z8" s="34">
        <f>IF(AND($T8=1,$J8="Closed",OR(NOT(ISNUMBER($K8)),LEN(TRIM($L8))=0)),1,0)</f>
        <v/>
      </c>
      <c r="AA8" s="34">
        <f>IF(AND($U8=1,$B8="Dependency"),IF(OR(LEN(TRIM($N8))=0,NOT(ISNUMBER($P8)),NOT(AND(ISNUMBER(SEARCH(" (",$O8)),RIGHT(TRIM($O8),1)=")"))),1,0),0)</f>
        <v/>
      </c>
      <c r="AB8" s="34">
        <f>IF(AND($V8=1,$B8="Dependency",ISNUMBER($P8)),IF($P8&lt;Summary!$K$4,1,0),0)</f>
        <v/>
      </c>
      <c r="AC8" s="34">
        <f>IF($T8=0,0,IF(OR($A8="",COUNTIF($A$4:$A$153,$A8)&gt;1,ISERROR(MATCH($B8,{"Risk","Assumption","Issue","Dependency"},0))),1,IF(INDEX({"R","A","I","X"},MATCH($B8,{"Risk","Assumption","Issue","Dependency"},0))&lt;&gt;LEFT($A8,1),1,0)))</f>
        <v/>
      </c>
      <c r="AD8" s="34">
        <f>IF($T8=0,0,IF(OR(ISERROR(MATCH($J8,{"Raised","Responding","Closed"},0)),ISERROR(MATCH($G8,{"Low","Medium","High"},0)),AND(OR($B8="Risk",$B8="Assumption"),ISERROR(MATCH($H8,{"Low","Medium","High"},0))),AND($Q8&lt;&gt;"",$Q8&lt;&gt;"This log",$Q8&lt;&gt;"Program workbook"),AND($J8&lt;&gt;"Closed",OR($K8&lt;&gt;"",LEN(TRIM($L8))&gt;0))),1,0))</f>
        <v/>
      </c>
      <c r="AE8" s="34">
        <f>IF($T8=0,0,IF(OR(NOT(ISNUMBER($E8)),AND($F8&lt;&gt;"",NOT(ISNUMBER($F8))),AND($K8&lt;&gt;"",NOT(ISNUMBER($K8))),AND($P8&lt;&gt;"",NOT(ISNUMBER($P8)))),1,0))</f>
        <v/>
      </c>
      <c r="AF8" s="34">
        <f>MAX($AC8,$AD8,$AE8)</f>
        <v/>
      </c>
      <c r="AG8" s="34">
        <f>IF($T8=0,0,IFERROR(--MID(TRIM($A8),2,9),0))</f>
        <v/>
      </c>
      <c r="AH8" s="22">
        <f>IFERROR(LEFT(TRIM($D8),SEARCH(" (",TRIM($D8))-1),TRIM($D8))</f>
        <v/>
      </c>
      <c r="AI8" s="34">
        <f>IF(AND($T8=1,$J8="Closed",$G8="High",ISNUMBER($K8)),IF($K8&gt;=Summary!$K$6,1,0),0)</f>
        <v/>
      </c>
      <c r="AJ8" s="34">
        <f>IF($AI8=1,SUM($AI$4:$AI8),0)</f>
        <v/>
      </c>
    </row>
    <row r="9" ht="18" customHeight="1">
      <c r="A9" s="30" t="n"/>
      <c r="B9" s="30" t="n"/>
      <c r="C9" s="31" t="n"/>
      <c r="D9" s="31" t="n"/>
      <c r="E9" s="32" t="n"/>
      <c r="F9" s="32" t="n"/>
      <c r="G9" s="30" t="n"/>
      <c r="H9" s="30" t="n"/>
      <c r="I9" s="31" t="n"/>
      <c r="J9" s="30" t="n"/>
      <c r="K9" s="32" t="n"/>
      <c r="L9" s="31" t="n"/>
      <c r="M9" s="30" t="n"/>
      <c r="N9" s="31" t="n"/>
      <c r="O9" s="31" t="n"/>
      <c r="P9" s="32" t="n"/>
      <c r="Q9" s="30" t="n"/>
      <c r="R9" s="33">
        <f>IF($T9=0,"",IF($AF9=1,"△ The log can't read this line",IF($W9=1,"△ Needs one owner, written as Name (Role)",IF($X9=1,"△ Look-again date missing, passed or too far ahead",IF($Y9=1,"△ No response",IF($Z9=1,"△ Closed without a date or a reason",IF($AA9=1,"△ Needs Provided by and Needed by, and Who answers as Name (Role)",IF($AB9=1,"△ Past its Needed by date","○ Clear"))))))))</f>
        <v/>
      </c>
      <c r="T9" s="34">
        <f>IF(COUNTA($A9:$Q9)&gt;0,1,0)</f>
        <v/>
      </c>
      <c r="U9" s="34">
        <f>IF(AND($T9=1,$J9&lt;&gt;"Closed"),1,0)</f>
        <v/>
      </c>
      <c r="V9" s="34">
        <f>IF(AND($U9=1,$Q9&lt;&gt;"Program workbook"),1,0)</f>
        <v/>
      </c>
      <c r="W9" s="34">
        <f>IF($V9=0,0,IF(OR(ISERROR(SEARCH(" (",$D9)),RIGHT(TRIM($D9),1)&lt;&gt;")",ISNUMBER(SEARCH(",",$AH9)),ISNUMBER(SEARCH("/",$AH9)),ISNUMBER(SEARCH(" and ",$AH9)),ISNUMBER(SEARCH("&amp;",$AH9))),1,0))</f>
        <v/>
      </c>
      <c r="X9" s="34">
        <f>IF($V9=0,0,IF(NOT(ISNUMBER($F9)),1,IF(OR($F9&lt;Summary!$K$4,$F9&gt;Summary!$K$4+Summary!$K$5,AND(ISNUMBER($P9),$F9&gt;$P9)),1,0)))</f>
        <v/>
      </c>
      <c r="Y9" s="34">
        <f>IF(AND($V9=1,OR($B9="Risk",$B9="Issue"),LEN(TRIM($I9))=0),1,0)</f>
        <v/>
      </c>
      <c r="Z9" s="34">
        <f>IF(AND($T9=1,$J9="Closed",OR(NOT(ISNUMBER($K9)),LEN(TRIM($L9))=0)),1,0)</f>
        <v/>
      </c>
      <c r="AA9" s="34">
        <f>IF(AND($U9=1,$B9="Dependency"),IF(OR(LEN(TRIM($N9))=0,NOT(ISNUMBER($P9)),NOT(AND(ISNUMBER(SEARCH(" (",$O9)),RIGHT(TRIM($O9),1)=")"))),1,0),0)</f>
        <v/>
      </c>
      <c r="AB9" s="34">
        <f>IF(AND($V9=1,$B9="Dependency",ISNUMBER($P9)),IF($P9&lt;Summary!$K$4,1,0),0)</f>
        <v/>
      </c>
      <c r="AC9" s="34">
        <f>IF($T9=0,0,IF(OR($A9="",COUNTIF($A$4:$A$153,$A9)&gt;1,ISERROR(MATCH($B9,{"Risk","Assumption","Issue","Dependency"},0))),1,IF(INDEX({"R","A","I","X"},MATCH($B9,{"Risk","Assumption","Issue","Dependency"},0))&lt;&gt;LEFT($A9,1),1,0)))</f>
        <v/>
      </c>
      <c r="AD9" s="34">
        <f>IF($T9=0,0,IF(OR(ISERROR(MATCH($J9,{"Raised","Responding","Closed"},0)),ISERROR(MATCH($G9,{"Low","Medium","High"},0)),AND(OR($B9="Risk",$B9="Assumption"),ISERROR(MATCH($H9,{"Low","Medium","High"},0))),AND($Q9&lt;&gt;"",$Q9&lt;&gt;"This log",$Q9&lt;&gt;"Program workbook"),AND($J9&lt;&gt;"Closed",OR($K9&lt;&gt;"",LEN(TRIM($L9))&gt;0))),1,0))</f>
        <v/>
      </c>
      <c r="AE9" s="34">
        <f>IF($T9=0,0,IF(OR(NOT(ISNUMBER($E9)),AND($F9&lt;&gt;"",NOT(ISNUMBER($F9))),AND($K9&lt;&gt;"",NOT(ISNUMBER($K9))),AND($P9&lt;&gt;"",NOT(ISNUMBER($P9)))),1,0))</f>
        <v/>
      </c>
      <c r="AF9" s="34">
        <f>MAX($AC9,$AD9,$AE9)</f>
        <v/>
      </c>
      <c r="AG9" s="34">
        <f>IF($T9=0,0,IFERROR(--MID(TRIM($A9),2,9),0))</f>
        <v/>
      </c>
      <c r="AH9" s="22">
        <f>IFERROR(LEFT(TRIM($D9),SEARCH(" (",TRIM($D9))-1),TRIM($D9))</f>
        <v/>
      </c>
      <c r="AI9" s="34">
        <f>IF(AND($T9=1,$J9="Closed",$G9="High",ISNUMBER($K9)),IF($K9&gt;=Summary!$K$6,1,0),0)</f>
        <v/>
      </c>
      <c r="AJ9" s="34">
        <f>IF($AI9=1,SUM($AI$4:$AI9),0)</f>
        <v/>
      </c>
    </row>
    <row r="10" ht="18" customHeight="1">
      <c r="A10" s="30" t="n"/>
      <c r="B10" s="30" t="n"/>
      <c r="C10" s="31" t="n"/>
      <c r="D10" s="31" t="n"/>
      <c r="E10" s="32" t="n"/>
      <c r="F10" s="32" t="n"/>
      <c r="G10" s="30" t="n"/>
      <c r="H10" s="30" t="n"/>
      <c r="I10" s="31" t="n"/>
      <c r="J10" s="30" t="n"/>
      <c r="K10" s="32" t="n"/>
      <c r="L10" s="31" t="n"/>
      <c r="M10" s="30" t="n"/>
      <c r="N10" s="31" t="n"/>
      <c r="O10" s="31" t="n"/>
      <c r="P10" s="32" t="n"/>
      <c r="Q10" s="30" t="n"/>
      <c r="R10" s="33">
        <f>IF($T10=0,"",IF($AF10=1,"△ The log can't read this line",IF($W10=1,"△ Needs one owner, written as Name (Role)",IF($X10=1,"△ Look-again date missing, passed or too far ahead",IF($Y10=1,"△ No response",IF($Z10=1,"△ Closed without a date or a reason",IF($AA10=1,"△ Needs Provided by and Needed by, and Who answers as Name (Role)",IF($AB10=1,"△ Past its Needed by date","○ Clear"))))))))</f>
        <v/>
      </c>
      <c r="T10" s="34">
        <f>IF(COUNTA($A10:$Q10)&gt;0,1,0)</f>
        <v/>
      </c>
      <c r="U10" s="34">
        <f>IF(AND($T10=1,$J10&lt;&gt;"Closed"),1,0)</f>
        <v/>
      </c>
      <c r="V10" s="34">
        <f>IF(AND($U10=1,$Q10&lt;&gt;"Program workbook"),1,0)</f>
        <v/>
      </c>
      <c r="W10" s="34">
        <f>IF($V10=0,0,IF(OR(ISERROR(SEARCH(" (",$D10)),RIGHT(TRIM($D10),1)&lt;&gt;")",ISNUMBER(SEARCH(",",$AH10)),ISNUMBER(SEARCH("/",$AH10)),ISNUMBER(SEARCH(" and ",$AH10)),ISNUMBER(SEARCH("&amp;",$AH10))),1,0))</f>
        <v/>
      </c>
      <c r="X10" s="34">
        <f>IF($V10=0,0,IF(NOT(ISNUMBER($F10)),1,IF(OR($F10&lt;Summary!$K$4,$F10&gt;Summary!$K$4+Summary!$K$5,AND(ISNUMBER($P10),$F10&gt;$P10)),1,0)))</f>
        <v/>
      </c>
      <c r="Y10" s="34">
        <f>IF(AND($V10=1,OR($B10="Risk",$B10="Issue"),LEN(TRIM($I10))=0),1,0)</f>
        <v/>
      </c>
      <c r="Z10" s="34">
        <f>IF(AND($T10=1,$J10="Closed",OR(NOT(ISNUMBER($K10)),LEN(TRIM($L10))=0)),1,0)</f>
        <v/>
      </c>
      <c r="AA10" s="34">
        <f>IF(AND($U10=1,$B10="Dependency"),IF(OR(LEN(TRIM($N10))=0,NOT(ISNUMBER($P10)),NOT(AND(ISNUMBER(SEARCH(" (",$O10)),RIGHT(TRIM($O10),1)=")"))),1,0),0)</f>
        <v/>
      </c>
      <c r="AB10" s="34">
        <f>IF(AND($V10=1,$B10="Dependency",ISNUMBER($P10)),IF($P10&lt;Summary!$K$4,1,0),0)</f>
        <v/>
      </c>
      <c r="AC10" s="34">
        <f>IF($T10=0,0,IF(OR($A10="",COUNTIF($A$4:$A$153,$A10)&gt;1,ISERROR(MATCH($B10,{"Risk","Assumption","Issue","Dependency"},0))),1,IF(INDEX({"R","A","I","X"},MATCH($B10,{"Risk","Assumption","Issue","Dependency"},0))&lt;&gt;LEFT($A10,1),1,0)))</f>
        <v/>
      </c>
      <c r="AD10" s="34">
        <f>IF($T10=0,0,IF(OR(ISERROR(MATCH($J10,{"Raised","Responding","Closed"},0)),ISERROR(MATCH($G10,{"Low","Medium","High"},0)),AND(OR($B10="Risk",$B10="Assumption"),ISERROR(MATCH($H10,{"Low","Medium","High"},0))),AND($Q10&lt;&gt;"",$Q10&lt;&gt;"This log",$Q10&lt;&gt;"Program workbook"),AND($J10&lt;&gt;"Closed",OR($K10&lt;&gt;"",LEN(TRIM($L10))&gt;0))),1,0))</f>
        <v/>
      </c>
      <c r="AE10" s="34">
        <f>IF($T10=0,0,IF(OR(NOT(ISNUMBER($E10)),AND($F10&lt;&gt;"",NOT(ISNUMBER($F10))),AND($K10&lt;&gt;"",NOT(ISNUMBER($K10))),AND($P10&lt;&gt;"",NOT(ISNUMBER($P10)))),1,0))</f>
        <v/>
      </c>
      <c r="AF10" s="34">
        <f>MAX($AC10,$AD10,$AE10)</f>
        <v/>
      </c>
      <c r="AG10" s="34">
        <f>IF($T10=0,0,IFERROR(--MID(TRIM($A10),2,9),0))</f>
        <v/>
      </c>
      <c r="AH10" s="22">
        <f>IFERROR(LEFT(TRIM($D10),SEARCH(" (",TRIM($D10))-1),TRIM($D10))</f>
        <v/>
      </c>
      <c r="AI10" s="34">
        <f>IF(AND($T10=1,$J10="Closed",$G10="High",ISNUMBER($K10)),IF($K10&gt;=Summary!$K$6,1,0),0)</f>
        <v/>
      </c>
      <c r="AJ10" s="34">
        <f>IF($AI10=1,SUM($AI$4:$AI10),0)</f>
        <v/>
      </c>
    </row>
    <row r="11" ht="18" customHeight="1">
      <c r="A11" s="30" t="n"/>
      <c r="B11" s="30" t="n"/>
      <c r="C11" s="31" t="n"/>
      <c r="D11" s="31" t="n"/>
      <c r="E11" s="32" t="n"/>
      <c r="F11" s="32" t="n"/>
      <c r="G11" s="30" t="n"/>
      <c r="H11" s="30" t="n"/>
      <c r="I11" s="31" t="n"/>
      <c r="J11" s="30" t="n"/>
      <c r="K11" s="32" t="n"/>
      <c r="L11" s="31" t="n"/>
      <c r="M11" s="30" t="n"/>
      <c r="N11" s="31" t="n"/>
      <c r="O11" s="31" t="n"/>
      <c r="P11" s="32" t="n"/>
      <c r="Q11" s="30" t="n"/>
      <c r="R11" s="33">
        <f>IF($T11=0,"",IF($AF11=1,"△ The log can't read this line",IF($W11=1,"△ Needs one owner, written as Name (Role)",IF($X11=1,"△ Look-again date missing, passed or too far ahead",IF($Y11=1,"△ No response",IF($Z11=1,"△ Closed without a date or a reason",IF($AA11=1,"△ Needs Provided by and Needed by, and Who answers as Name (Role)",IF($AB11=1,"△ Past its Needed by date","○ Clear"))))))))</f>
        <v/>
      </c>
      <c r="T11" s="34">
        <f>IF(COUNTA($A11:$Q11)&gt;0,1,0)</f>
        <v/>
      </c>
      <c r="U11" s="34">
        <f>IF(AND($T11=1,$J11&lt;&gt;"Closed"),1,0)</f>
        <v/>
      </c>
      <c r="V11" s="34">
        <f>IF(AND($U11=1,$Q11&lt;&gt;"Program workbook"),1,0)</f>
        <v/>
      </c>
      <c r="W11" s="34">
        <f>IF($V11=0,0,IF(OR(ISERROR(SEARCH(" (",$D11)),RIGHT(TRIM($D11),1)&lt;&gt;")",ISNUMBER(SEARCH(",",$AH11)),ISNUMBER(SEARCH("/",$AH11)),ISNUMBER(SEARCH(" and ",$AH11)),ISNUMBER(SEARCH("&amp;",$AH11))),1,0))</f>
        <v/>
      </c>
      <c r="X11" s="34">
        <f>IF($V11=0,0,IF(NOT(ISNUMBER($F11)),1,IF(OR($F11&lt;Summary!$K$4,$F11&gt;Summary!$K$4+Summary!$K$5,AND(ISNUMBER($P11),$F11&gt;$P11)),1,0)))</f>
        <v/>
      </c>
      <c r="Y11" s="34">
        <f>IF(AND($V11=1,OR($B11="Risk",$B11="Issue"),LEN(TRIM($I11))=0),1,0)</f>
        <v/>
      </c>
      <c r="Z11" s="34">
        <f>IF(AND($T11=1,$J11="Closed",OR(NOT(ISNUMBER($K11)),LEN(TRIM($L11))=0)),1,0)</f>
        <v/>
      </c>
      <c r="AA11" s="34">
        <f>IF(AND($U11=1,$B11="Dependency"),IF(OR(LEN(TRIM($N11))=0,NOT(ISNUMBER($P11)),NOT(AND(ISNUMBER(SEARCH(" (",$O11)),RIGHT(TRIM($O11),1)=")"))),1,0),0)</f>
        <v/>
      </c>
      <c r="AB11" s="34">
        <f>IF(AND($V11=1,$B11="Dependency",ISNUMBER($P11)),IF($P11&lt;Summary!$K$4,1,0),0)</f>
        <v/>
      </c>
      <c r="AC11" s="34">
        <f>IF($T11=0,0,IF(OR($A11="",COUNTIF($A$4:$A$153,$A11)&gt;1,ISERROR(MATCH($B11,{"Risk","Assumption","Issue","Dependency"},0))),1,IF(INDEX({"R","A","I","X"},MATCH($B11,{"Risk","Assumption","Issue","Dependency"},0))&lt;&gt;LEFT($A11,1),1,0)))</f>
        <v/>
      </c>
      <c r="AD11" s="34">
        <f>IF($T11=0,0,IF(OR(ISERROR(MATCH($J11,{"Raised","Responding","Closed"},0)),ISERROR(MATCH($G11,{"Low","Medium","High"},0)),AND(OR($B11="Risk",$B11="Assumption"),ISERROR(MATCH($H11,{"Low","Medium","High"},0))),AND($Q11&lt;&gt;"",$Q11&lt;&gt;"This log",$Q11&lt;&gt;"Program workbook"),AND($J11&lt;&gt;"Closed",OR($K11&lt;&gt;"",LEN(TRIM($L11))&gt;0))),1,0))</f>
        <v/>
      </c>
      <c r="AE11" s="34">
        <f>IF($T11=0,0,IF(OR(NOT(ISNUMBER($E11)),AND($F11&lt;&gt;"",NOT(ISNUMBER($F11))),AND($K11&lt;&gt;"",NOT(ISNUMBER($K11))),AND($P11&lt;&gt;"",NOT(ISNUMBER($P11)))),1,0))</f>
        <v/>
      </c>
      <c r="AF11" s="34">
        <f>MAX($AC11,$AD11,$AE11)</f>
        <v/>
      </c>
      <c r="AG11" s="34">
        <f>IF($T11=0,0,IFERROR(--MID(TRIM($A11),2,9),0))</f>
        <v/>
      </c>
      <c r="AH11" s="22">
        <f>IFERROR(LEFT(TRIM($D11),SEARCH(" (",TRIM($D11))-1),TRIM($D11))</f>
        <v/>
      </c>
      <c r="AI11" s="34">
        <f>IF(AND($T11=1,$J11="Closed",$G11="High",ISNUMBER($K11)),IF($K11&gt;=Summary!$K$6,1,0),0)</f>
        <v/>
      </c>
      <c r="AJ11" s="34">
        <f>IF($AI11=1,SUM($AI$4:$AI11),0)</f>
        <v/>
      </c>
    </row>
    <row r="12" ht="18" customHeight="1">
      <c r="A12" s="30" t="n"/>
      <c r="B12" s="30" t="n"/>
      <c r="C12" s="31" t="n"/>
      <c r="D12" s="31" t="n"/>
      <c r="E12" s="32" t="n"/>
      <c r="F12" s="32" t="n"/>
      <c r="G12" s="30" t="n"/>
      <c r="H12" s="30" t="n"/>
      <c r="I12" s="31" t="n"/>
      <c r="J12" s="30" t="n"/>
      <c r="K12" s="32" t="n"/>
      <c r="L12" s="31" t="n"/>
      <c r="M12" s="30" t="n"/>
      <c r="N12" s="31" t="n"/>
      <c r="O12" s="31" t="n"/>
      <c r="P12" s="32" t="n"/>
      <c r="Q12" s="30" t="n"/>
      <c r="R12" s="33">
        <f>IF($T12=0,"",IF($AF12=1,"△ The log can't read this line",IF($W12=1,"△ Needs one owner, written as Name (Role)",IF($X12=1,"△ Look-again date missing, passed or too far ahead",IF($Y12=1,"△ No response",IF($Z12=1,"△ Closed without a date or a reason",IF($AA12=1,"△ Needs Provided by and Needed by, and Who answers as Name (Role)",IF($AB12=1,"△ Past its Needed by date","○ Clear"))))))))</f>
        <v/>
      </c>
      <c r="T12" s="34">
        <f>IF(COUNTA($A12:$Q12)&gt;0,1,0)</f>
        <v/>
      </c>
      <c r="U12" s="34">
        <f>IF(AND($T12=1,$J12&lt;&gt;"Closed"),1,0)</f>
        <v/>
      </c>
      <c r="V12" s="34">
        <f>IF(AND($U12=1,$Q12&lt;&gt;"Program workbook"),1,0)</f>
        <v/>
      </c>
      <c r="W12" s="34">
        <f>IF($V12=0,0,IF(OR(ISERROR(SEARCH(" (",$D12)),RIGHT(TRIM($D12),1)&lt;&gt;")",ISNUMBER(SEARCH(",",$AH12)),ISNUMBER(SEARCH("/",$AH12)),ISNUMBER(SEARCH(" and ",$AH12)),ISNUMBER(SEARCH("&amp;",$AH12))),1,0))</f>
        <v/>
      </c>
      <c r="X12" s="34">
        <f>IF($V12=0,0,IF(NOT(ISNUMBER($F12)),1,IF(OR($F12&lt;Summary!$K$4,$F12&gt;Summary!$K$4+Summary!$K$5,AND(ISNUMBER($P12),$F12&gt;$P12)),1,0)))</f>
        <v/>
      </c>
      <c r="Y12" s="34">
        <f>IF(AND($V12=1,OR($B12="Risk",$B12="Issue"),LEN(TRIM($I12))=0),1,0)</f>
        <v/>
      </c>
      <c r="Z12" s="34">
        <f>IF(AND($T12=1,$J12="Closed",OR(NOT(ISNUMBER($K12)),LEN(TRIM($L12))=0)),1,0)</f>
        <v/>
      </c>
      <c r="AA12" s="34">
        <f>IF(AND($U12=1,$B12="Dependency"),IF(OR(LEN(TRIM($N12))=0,NOT(ISNUMBER($P12)),NOT(AND(ISNUMBER(SEARCH(" (",$O12)),RIGHT(TRIM($O12),1)=")"))),1,0),0)</f>
        <v/>
      </c>
      <c r="AB12" s="34">
        <f>IF(AND($V12=1,$B12="Dependency",ISNUMBER($P12)),IF($P12&lt;Summary!$K$4,1,0),0)</f>
        <v/>
      </c>
      <c r="AC12" s="34">
        <f>IF($T12=0,0,IF(OR($A12="",COUNTIF($A$4:$A$153,$A12)&gt;1,ISERROR(MATCH($B12,{"Risk","Assumption","Issue","Dependency"},0))),1,IF(INDEX({"R","A","I","X"},MATCH($B12,{"Risk","Assumption","Issue","Dependency"},0))&lt;&gt;LEFT($A12,1),1,0)))</f>
        <v/>
      </c>
      <c r="AD12" s="34">
        <f>IF($T12=0,0,IF(OR(ISERROR(MATCH($J12,{"Raised","Responding","Closed"},0)),ISERROR(MATCH($G12,{"Low","Medium","High"},0)),AND(OR($B12="Risk",$B12="Assumption"),ISERROR(MATCH($H12,{"Low","Medium","High"},0))),AND($Q12&lt;&gt;"",$Q12&lt;&gt;"This log",$Q12&lt;&gt;"Program workbook"),AND($J12&lt;&gt;"Closed",OR($K12&lt;&gt;"",LEN(TRIM($L12))&gt;0))),1,0))</f>
        <v/>
      </c>
      <c r="AE12" s="34">
        <f>IF($T12=0,0,IF(OR(NOT(ISNUMBER($E12)),AND($F12&lt;&gt;"",NOT(ISNUMBER($F12))),AND($K12&lt;&gt;"",NOT(ISNUMBER($K12))),AND($P12&lt;&gt;"",NOT(ISNUMBER($P12)))),1,0))</f>
        <v/>
      </c>
      <c r="AF12" s="34">
        <f>MAX($AC12,$AD12,$AE12)</f>
        <v/>
      </c>
      <c r="AG12" s="34">
        <f>IF($T12=0,0,IFERROR(--MID(TRIM($A12),2,9),0))</f>
        <v/>
      </c>
      <c r="AH12" s="22">
        <f>IFERROR(LEFT(TRIM($D12),SEARCH(" (",TRIM($D12))-1),TRIM($D12))</f>
        <v/>
      </c>
      <c r="AI12" s="34">
        <f>IF(AND($T12=1,$J12="Closed",$G12="High",ISNUMBER($K12)),IF($K12&gt;=Summary!$K$6,1,0),0)</f>
        <v/>
      </c>
      <c r="AJ12" s="34">
        <f>IF($AI12=1,SUM($AI$4:$AI12),0)</f>
        <v/>
      </c>
    </row>
    <row r="13" ht="18" customHeight="1">
      <c r="A13" s="30" t="n"/>
      <c r="B13" s="30" t="n"/>
      <c r="C13" s="31" t="n"/>
      <c r="D13" s="31" t="n"/>
      <c r="E13" s="32" t="n"/>
      <c r="F13" s="32" t="n"/>
      <c r="G13" s="30" t="n"/>
      <c r="H13" s="30" t="n"/>
      <c r="I13" s="31" t="n"/>
      <c r="J13" s="30" t="n"/>
      <c r="K13" s="32" t="n"/>
      <c r="L13" s="31" t="n"/>
      <c r="M13" s="30" t="n"/>
      <c r="N13" s="31" t="n"/>
      <c r="O13" s="31" t="n"/>
      <c r="P13" s="32" t="n"/>
      <c r="Q13" s="30" t="n"/>
      <c r="R13" s="33">
        <f>IF($T13=0,"",IF($AF13=1,"△ The log can't read this line",IF($W13=1,"△ Needs one owner, written as Name (Role)",IF($X13=1,"△ Look-again date missing, passed or too far ahead",IF($Y13=1,"△ No response",IF($Z13=1,"△ Closed without a date or a reason",IF($AA13=1,"△ Needs Provided by and Needed by, and Who answers as Name (Role)",IF($AB13=1,"△ Past its Needed by date","○ Clear"))))))))</f>
        <v/>
      </c>
      <c r="T13" s="34">
        <f>IF(COUNTA($A13:$Q13)&gt;0,1,0)</f>
        <v/>
      </c>
      <c r="U13" s="34">
        <f>IF(AND($T13=1,$J13&lt;&gt;"Closed"),1,0)</f>
        <v/>
      </c>
      <c r="V13" s="34">
        <f>IF(AND($U13=1,$Q13&lt;&gt;"Program workbook"),1,0)</f>
        <v/>
      </c>
      <c r="W13" s="34">
        <f>IF($V13=0,0,IF(OR(ISERROR(SEARCH(" (",$D13)),RIGHT(TRIM($D13),1)&lt;&gt;")",ISNUMBER(SEARCH(",",$AH13)),ISNUMBER(SEARCH("/",$AH13)),ISNUMBER(SEARCH(" and ",$AH13)),ISNUMBER(SEARCH("&amp;",$AH13))),1,0))</f>
        <v/>
      </c>
      <c r="X13" s="34">
        <f>IF($V13=0,0,IF(NOT(ISNUMBER($F13)),1,IF(OR($F13&lt;Summary!$K$4,$F13&gt;Summary!$K$4+Summary!$K$5,AND(ISNUMBER($P13),$F13&gt;$P13)),1,0)))</f>
        <v/>
      </c>
      <c r="Y13" s="34">
        <f>IF(AND($V13=1,OR($B13="Risk",$B13="Issue"),LEN(TRIM($I13))=0),1,0)</f>
        <v/>
      </c>
      <c r="Z13" s="34">
        <f>IF(AND($T13=1,$J13="Closed",OR(NOT(ISNUMBER($K13)),LEN(TRIM($L13))=0)),1,0)</f>
        <v/>
      </c>
      <c r="AA13" s="34">
        <f>IF(AND($U13=1,$B13="Dependency"),IF(OR(LEN(TRIM($N13))=0,NOT(ISNUMBER($P13)),NOT(AND(ISNUMBER(SEARCH(" (",$O13)),RIGHT(TRIM($O13),1)=")"))),1,0),0)</f>
        <v/>
      </c>
      <c r="AB13" s="34">
        <f>IF(AND($V13=1,$B13="Dependency",ISNUMBER($P13)),IF($P13&lt;Summary!$K$4,1,0),0)</f>
        <v/>
      </c>
      <c r="AC13" s="34">
        <f>IF($T13=0,0,IF(OR($A13="",COUNTIF($A$4:$A$153,$A13)&gt;1,ISERROR(MATCH($B13,{"Risk","Assumption","Issue","Dependency"},0))),1,IF(INDEX({"R","A","I","X"},MATCH($B13,{"Risk","Assumption","Issue","Dependency"},0))&lt;&gt;LEFT($A13,1),1,0)))</f>
        <v/>
      </c>
      <c r="AD13" s="34">
        <f>IF($T13=0,0,IF(OR(ISERROR(MATCH($J13,{"Raised","Responding","Closed"},0)),ISERROR(MATCH($G13,{"Low","Medium","High"},0)),AND(OR($B13="Risk",$B13="Assumption"),ISERROR(MATCH($H13,{"Low","Medium","High"},0))),AND($Q13&lt;&gt;"",$Q13&lt;&gt;"This log",$Q13&lt;&gt;"Program workbook"),AND($J13&lt;&gt;"Closed",OR($K13&lt;&gt;"",LEN(TRIM($L13))&gt;0))),1,0))</f>
        <v/>
      </c>
      <c r="AE13" s="34">
        <f>IF($T13=0,0,IF(OR(NOT(ISNUMBER($E13)),AND($F13&lt;&gt;"",NOT(ISNUMBER($F13))),AND($K13&lt;&gt;"",NOT(ISNUMBER($K13))),AND($P13&lt;&gt;"",NOT(ISNUMBER($P13)))),1,0))</f>
        <v/>
      </c>
      <c r="AF13" s="34">
        <f>MAX($AC13,$AD13,$AE13)</f>
        <v/>
      </c>
      <c r="AG13" s="34">
        <f>IF($T13=0,0,IFERROR(--MID(TRIM($A13),2,9),0))</f>
        <v/>
      </c>
      <c r="AH13" s="22">
        <f>IFERROR(LEFT(TRIM($D13),SEARCH(" (",TRIM($D13))-1),TRIM($D13))</f>
        <v/>
      </c>
      <c r="AI13" s="34">
        <f>IF(AND($T13=1,$J13="Closed",$G13="High",ISNUMBER($K13)),IF($K13&gt;=Summary!$K$6,1,0),0)</f>
        <v/>
      </c>
      <c r="AJ13" s="34">
        <f>IF($AI13=1,SUM($AI$4:$AI13),0)</f>
        <v/>
      </c>
    </row>
    <row r="14" ht="18" customHeight="1">
      <c r="A14" s="30" t="n"/>
      <c r="B14" s="30" t="n"/>
      <c r="C14" s="31" t="n"/>
      <c r="D14" s="31" t="n"/>
      <c r="E14" s="32" t="n"/>
      <c r="F14" s="32" t="n"/>
      <c r="G14" s="30" t="n"/>
      <c r="H14" s="30" t="n"/>
      <c r="I14" s="31" t="n"/>
      <c r="J14" s="30" t="n"/>
      <c r="K14" s="32" t="n"/>
      <c r="L14" s="31" t="n"/>
      <c r="M14" s="30" t="n"/>
      <c r="N14" s="31" t="n"/>
      <c r="O14" s="31" t="n"/>
      <c r="P14" s="32" t="n"/>
      <c r="Q14" s="30" t="n"/>
      <c r="R14" s="33">
        <f>IF($T14=0,"",IF($AF14=1,"△ The log can't read this line",IF($W14=1,"△ Needs one owner, written as Name (Role)",IF($X14=1,"△ Look-again date missing, passed or too far ahead",IF($Y14=1,"△ No response",IF($Z14=1,"△ Closed without a date or a reason",IF($AA14=1,"△ Needs Provided by and Needed by, and Who answers as Name (Role)",IF($AB14=1,"△ Past its Needed by date","○ Clear"))))))))</f>
        <v/>
      </c>
      <c r="T14" s="34">
        <f>IF(COUNTA($A14:$Q14)&gt;0,1,0)</f>
        <v/>
      </c>
      <c r="U14" s="34">
        <f>IF(AND($T14=1,$J14&lt;&gt;"Closed"),1,0)</f>
        <v/>
      </c>
      <c r="V14" s="34">
        <f>IF(AND($U14=1,$Q14&lt;&gt;"Program workbook"),1,0)</f>
        <v/>
      </c>
      <c r="W14" s="34">
        <f>IF($V14=0,0,IF(OR(ISERROR(SEARCH(" (",$D14)),RIGHT(TRIM($D14),1)&lt;&gt;")",ISNUMBER(SEARCH(",",$AH14)),ISNUMBER(SEARCH("/",$AH14)),ISNUMBER(SEARCH(" and ",$AH14)),ISNUMBER(SEARCH("&amp;",$AH14))),1,0))</f>
        <v/>
      </c>
      <c r="X14" s="34">
        <f>IF($V14=0,0,IF(NOT(ISNUMBER($F14)),1,IF(OR($F14&lt;Summary!$K$4,$F14&gt;Summary!$K$4+Summary!$K$5,AND(ISNUMBER($P14),$F14&gt;$P14)),1,0)))</f>
        <v/>
      </c>
      <c r="Y14" s="34">
        <f>IF(AND($V14=1,OR($B14="Risk",$B14="Issue"),LEN(TRIM($I14))=0),1,0)</f>
        <v/>
      </c>
      <c r="Z14" s="34">
        <f>IF(AND($T14=1,$J14="Closed",OR(NOT(ISNUMBER($K14)),LEN(TRIM($L14))=0)),1,0)</f>
        <v/>
      </c>
      <c r="AA14" s="34">
        <f>IF(AND($U14=1,$B14="Dependency"),IF(OR(LEN(TRIM($N14))=0,NOT(ISNUMBER($P14)),NOT(AND(ISNUMBER(SEARCH(" (",$O14)),RIGHT(TRIM($O14),1)=")"))),1,0),0)</f>
        <v/>
      </c>
      <c r="AB14" s="34">
        <f>IF(AND($V14=1,$B14="Dependency",ISNUMBER($P14)),IF($P14&lt;Summary!$K$4,1,0),0)</f>
        <v/>
      </c>
      <c r="AC14" s="34">
        <f>IF($T14=0,0,IF(OR($A14="",COUNTIF($A$4:$A$153,$A14)&gt;1,ISERROR(MATCH($B14,{"Risk","Assumption","Issue","Dependency"},0))),1,IF(INDEX({"R","A","I","X"},MATCH($B14,{"Risk","Assumption","Issue","Dependency"},0))&lt;&gt;LEFT($A14,1),1,0)))</f>
        <v/>
      </c>
      <c r="AD14" s="34">
        <f>IF($T14=0,0,IF(OR(ISERROR(MATCH($J14,{"Raised","Responding","Closed"},0)),ISERROR(MATCH($G14,{"Low","Medium","High"},0)),AND(OR($B14="Risk",$B14="Assumption"),ISERROR(MATCH($H14,{"Low","Medium","High"},0))),AND($Q14&lt;&gt;"",$Q14&lt;&gt;"This log",$Q14&lt;&gt;"Program workbook"),AND($J14&lt;&gt;"Closed",OR($K14&lt;&gt;"",LEN(TRIM($L14))&gt;0))),1,0))</f>
        <v/>
      </c>
      <c r="AE14" s="34">
        <f>IF($T14=0,0,IF(OR(NOT(ISNUMBER($E14)),AND($F14&lt;&gt;"",NOT(ISNUMBER($F14))),AND($K14&lt;&gt;"",NOT(ISNUMBER($K14))),AND($P14&lt;&gt;"",NOT(ISNUMBER($P14)))),1,0))</f>
        <v/>
      </c>
      <c r="AF14" s="34">
        <f>MAX($AC14,$AD14,$AE14)</f>
        <v/>
      </c>
      <c r="AG14" s="34">
        <f>IF($T14=0,0,IFERROR(--MID(TRIM($A14),2,9),0))</f>
        <v/>
      </c>
      <c r="AH14" s="22">
        <f>IFERROR(LEFT(TRIM($D14),SEARCH(" (",TRIM($D14))-1),TRIM($D14))</f>
        <v/>
      </c>
      <c r="AI14" s="34">
        <f>IF(AND($T14=1,$J14="Closed",$G14="High",ISNUMBER($K14)),IF($K14&gt;=Summary!$K$6,1,0),0)</f>
        <v/>
      </c>
      <c r="AJ14" s="34">
        <f>IF($AI14=1,SUM($AI$4:$AI14),0)</f>
        <v/>
      </c>
    </row>
    <row r="15" ht="18" customHeight="1">
      <c r="A15" s="30" t="n"/>
      <c r="B15" s="30" t="n"/>
      <c r="C15" s="31" t="n"/>
      <c r="D15" s="31" t="n"/>
      <c r="E15" s="32" t="n"/>
      <c r="F15" s="32" t="n"/>
      <c r="G15" s="30" t="n"/>
      <c r="H15" s="30" t="n"/>
      <c r="I15" s="31" t="n"/>
      <c r="J15" s="30" t="n"/>
      <c r="K15" s="32" t="n"/>
      <c r="L15" s="31" t="n"/>
      <c r="M15" s="30" t="n"/>
      <c r="N15" s="31" t="n"/>
      <c r="O15" s="31" t="n"/>
      <c r="P15" s="32" t="n"/>
      <c r="Q15" s="30" t="n"/>
      <c r="R15" s="33">
        <f>IF($T15=0,"",IF($AF15=1,"△ The log can't read this line",IF($W15=1,"△ Needs one owner, written as Name (Role)",IF($X15=1,"△ Look-again date missing, passed or too far ahead",IF($Y15=1,"△ No response",IF($Z15=1,"△ Closed without a date or a reason",IF($AA15=1,"△ Needs Provided by and Needed by, and Who answers as Name (Role)",IF($AB15=1,"△ Past its Needed by date","○ Clear"))))))))</f>
        <v/>
      </c>
      <c r="T15" s="34">
        <f>IF(COUNTA($A15:$Q15)&gt;0,1,0)</f>
        <v/>
      </c>
      <c r="U15" s="34">
        <f>IF(AND($T15=1,$J15&lt;&gt;"Closed"),1,0)</f>
        <v/>
      </c>
      <c r="V15" s="34">
        <f>IF(AND($U15=1,$Q15&lt;&gt;"Program workbook"),1,0)</f>
        <v/>
      </c>
      <c r="W15" s="34">
        <f>IF($V15=0,0,IF(OR(ISERROR(SEARCH(" (",$D15)),RIGHT(TRIM($D15),1)&lt;&gt;")",ISNUMBER(SEARCH(",",$AH15)),ISNUMBER(SEARCH("/",$AH15)),ISNUMBER(SEARCH(" and ",$AH15)),ISNUMBER(SEARCH("&amp;",$AH15))),1,0))</f>
        <v/>
      </c>
      <c r="X15" s="34">
        <f>IF($V15=0,0,IF(NOT(ISNUMBER($F15)),1,IF(OR($F15&lt;Summary!$K$4,$F15&gt;Summary!$K$4+Summary!$K$5,AND(ISNUMBER($P15),$F15&gt;$P15)),1,0)))</f>
        <v/>
      </c>
      <c r="Y15" s="34">
        <f>IF(AND($V15=1,OR($B15="Risk",$B15="Issue"),LEN(TRIM($I15))=0),1,0)</f>
        <v/>
      </c>
      <c r="Z15" s="34">
        <f>IF(AND($T15=1,$J15="Closed",OR(NOT(ISNUMBER($K15)),LEN(TRIM($L15))=0)),1,0)</f>
        <v/>
      </c>
      <c r="AA15" s="34">
        <f>IF(AND($U15=1,$B15="Dependency"),IF(OR(LEN(TRIM($N15))=0,NOT(ISNUMBER($P15)),NOT(AND(ISNUMBER(SEARCH(" (",$O15)),RIGHT(TRIM($O15),1)=")"))),1,0),0)</f>
        <v/>
      </c>
      <c r="AB15" s="34">
        <f>IF(AND($V15=1,$B15="Dependency",ISNUMBER($P15)),IF($P15&lt;Summary!$K$4,1,0),0)</f>
        <v/>
      </c>
      <c r="AC15" s="34">
        <f>IF($T15=0,0,IF(OR($A15="",COUNTIF($A$4:$A$153,$A15)&gt;1,ISERROR(MATCH($B15,{"Risk","Assumption","Issue","Dependency"},0))),1,IF(INDEX({"R","A","I","X"},MATCH($B15,{"Risk","Assumption","Issue","Dependency"},0))&lt;&gt;LEFT($A15,1),1,0)))</f>
        <v/>
      </c>
      <c r="AD15" s="34">
        <f>IF($T15=0,0,IF(OR(ISERROR(MATCH($J15,{"Raised","Responding","Closed"},0)),ISERROR(MATCH($G15,{"Low","Medium","High"},0)),AND(OR($B15="Risk",$B15="Assumption"),ISERROR(MATCH($H15,{"Low","Medium","High"},0))),AND($Q15&lt;&gt;"",$Q15&lt;&gt;"This log",$Q15&lt;&gt;"Program workbook"),AND($J15&lt;&gt;"Closed",OR($K15&lt;&gt;"",LEN(TRIM($L15))&gt;0))),1,0))</f>
        <v/>
      </c>
      <c r="AE15" s="34">
        <f>IF($T15=0,0,IF(OR(NOT(ISNUMBER($E15)),AND($F15&lt;&gt;"",NOT(ISNUMBER($F15))),AND($K15&lt;&gt;"",NOT(ISNUMBER($K15))),AND($P15&lt;&gt;"",NOT(ISNUMBER($P15)))),1,0))</f>
        <v/>
      </c>
      <c r="AF15" s="34">
        <f>MAX($AC15,$AD15,$AE15)</f>
        <v/>
      </c>
      <c r="AG15" s="34">
        <f>IF($T15=0,0,IFERROR(--MID(TRIM($A15),2,9),0))</f>
        <v/>
      </c>
      <c r="AH15" s="22">
        <f>IFERROR(LEFT(TRIM($D15),SEARCH(" (",TRIM($D15))-1),TRIM($D15))</f>
        <v/>
      </c>
      <c r="AI15" s="34">
        <f>IF(AND($T15=1,$J15="Closed",$G15="High",ISNUMBER($K15)),IF($K15&gt;=Summary!$K$6,1,0),0)</f>
        <v/>
      </c>
      <c r="AJ15" s="34">
        <f>IF($AI15=1,SUM($AI$4:$AI15),0)</f>
        <v/>
      </c>
    </row>
    <row r="16" ht="18" customHeight="1">
      <c r="A16" s="30" t="n"/>
      <c r="B16" s="30" t="n"/>
      <c r="C16" s="31" t="n"/>
      <c r="D16" s="31" t="n"/>
      <c r="E16" s="32" t="n"/>
      <c r="F16" s="32" t="n"/>
      <c r="G16" s="30" t="n"/>
      <c r="H16" s="30" t="n"/>
      <c r="I16" s="31" t="n"/>
      <c r="J16" s="30" t="n"/>
      <c r="K16" s="32" t="n"/>
      <c r="L16" s="31" t="n"/>
      <c r="M16" s="30" t="n"/>
      <c r="N16" s="31" t="n"/>
      <c r="O16" s="31" t="n"/>
      <c r="P16" s="32" t="n"/>
      <c r="Q16" s="30" t="n"/>
      <c r="R16" s="33">
        <f>IF($T16=0,"",IF($AF16=1,"△ The log can't read this line",IF($W16=1,"△ Needs one owner, written as Name (Role)",IF($X16=1,"△ Look-again date missing, passed or too far ahead",IF($Y16=1,"△ No response",IF($Z16=1,"△ Closed without a date or a reason",IF($AA16=1,"△ Needs Provided by and Needed by, and Who answers as Name (Role)",IF($AB16=1,"△ Past its Needed by date","○ Clear"))))))))</f>
        <v/>
      </c>
      <c r="T16" s="34">
        <f>IF(COUNTA($A16:$Q16)&gt;0,1,0)</f>
        <v/>
      </c>
      <c r="U16" s="34">
        <f>IF(AND($T16=1,$J16&lt;&gt;"Closed"),1,0)</f>
        <v/>
      </c>
      <c r="V16" s="34">
        <f>IF(AND($U16=1,$Q16&lt;&gt;"Program workbook"),1,0)</f>
        <v/>
      </c>
      <c r="W16" s="34">
        <f>IF($V16=0,0,IF(OR(ISERROR(SEARCH(" (",$D16)),RIGHT(TRIM($D16),1)&lt;&gt;")",ISNUMBER(SEARCH(",",$AH16)),ISNUMBER(SEARCH("/",$AH16)),ISNUMBER(SEARCH(" and ",$AH16)),ISNUMBER(SEARCH("&amp;",$AH16))),1,0))</f>
        <v/>
      </c>
      <c r="X16" s="34">
        <f>IF($V16=0,0,IF(NOT(ISNUMBER($F16)),1,IF(OR($F16&lt;Summary!$K$4,$F16&gt;Summary!$K$4+Summary!$K$5,AND(ISNUMBER($P16),$F16&gt;$P16)),1,0)))</f>
        <v/>
      </c>
      <c r="Y16" s="34">
        <f>IF(AND($V16=1,OR($B16="Risk",$B16="Issue"),LEN(TRIM($I16))=0),1,0)</f>
        <v/>
      </c>
      <c r="Z16" s="34">
        <f>IF(AND($T16=1,$J16="Closed",OR(NOT(ISNUMBER($K16)),LEN(TRIM($L16))=0)),1,0)</f>
        <v/>
      </c>
      <c r="AA16" s="34">
        <f>IF(AND($U16=1,$B16="Dependency"),IF(OR(LEN(TRIM($N16))=0,NOT(ISNUMBER($P16)),NOT(AND(ISNUMBER(SEARCH(" (",$O16)),RIGHT(TRIM($O16),1)=")"))),1,0),0)</f>
        <v/>
      </c>
      <c r="AB16" s="34">
        <f>IF(AND($V16=1,$B16="Dependency",ISNUMBER($P16)),IF($P16&lt;Summary!$K$4,1,0),0)</f>
        <v/>
      </c>
      <c r="AC16" s="34">
        <f>IF($T16=0,0,IF(OR($A16="",COUNTIF($A$4:$A$153,$A16)&gt;1,ISERROR(MATCH($B16,{"Risk","Assumption","Issue","Dependency"},0))),1,IF(INDEX({"R","A","I","X"},MATCH($B16,{"Risk","Assumption","Issue","Dependency"},0))&lt;&gt;LEFT($A16,1),1,0)))</f>
        <v/>
      </c>
      <c r="AD16" s="34">
        <f>IF($T16=0,0,IF(OR(ISERROR(MATCH($J16,{"Raised","Responding","Closed"},0)),ISERROR(MATCH($G16,{"Low","Medium","High"},0)),AND(OR($B16="Risk",$B16="Assumption"),ISERROR(MATCH($H16,{"Low","Medium","High"},0))),AND($Q16&lt;&gt;"",$Q16&lt;&gt;"This log",$Q16&lt;&gt;"Program workbook"),AND($J16&lt;&gt;"Closed",OR($K16&lt;&gt;"",LEN(TRIM($L16))&gt;0))),1,0))</f>
        <v/>
      </c>
      <c r="AE16" s="34">
        <f>IF($T16=0,0,IF(OR(NOT(ISNUMBER($E16)),AND($F16&lt;&gt;"",NOT(ISNUMBER($F16))),AND($K16&lt;&gt;"",NOT(ISNUMBER($K16))),AND($P16&lt;&gt;"",NOT(ISNUMBER($P16)))),1,0))</f>
        <v/>
      </c>
      <c r="AF16" s="34">
        <f>MAX($AC16,$AD16,$AE16)</f>
        <v/>
      </c>
      <c r="AG16" s="34">
        <f>IF($T16=0,0,IFERROR(--MID(TRIM($A16),2,9),0))</f>
        <v/>
      </c>
      <c r="AH16" s="22">
        <f>IFERROR(LEFT(TRIM($D16),SEARCH(" (",TRIM($D16))-1),TRIM($D16))</f>
        <v/>
      </c>
      <c r="AI16" s="34">
        <f>IF(AND($T16=1,$J16="Closed",$G16="High",ISNUMBER($K16)),IF($K16&gt;=Summary!$K$6,1,0),0)</f>
        <v/>
      </c>
      <c r="AJ16" s="34">
        <f>IF($AI16=1,SUM($AI$4:$AI16),0)</f>
        <v/>
      </c>
    </row>
    <row r="17" ht="18" customHeight="1">
      <c r="A17" s="30" t="n"/>
      <c r="B17" s="30" t="n"/>
      <c r="C17" s="31" t="n"/>
      <c r="D17" s="31" t="n"/>
      <c r="E17" s="32" t="n"/>
      <c r="F17" s="32" t="n"/>
      <c r="G17" s="30" t="n"/>
      <c r="H17" s="30" t="n"/>
      <c r="I17" s="31" t="n"/>
      <c r="J17" s="30" t="n"/>
      <c r="K17" s="32" t="n"/>
      <c r="L17" s="31" t="n"/>
      <c r="M17" s="30" t="n"/>
      <c r="N17" s="31" t="n"/>
      <c r="O17" s="31" t="n"/>
      <c r="P17" s="32" t="n"/>
      <c r="Q17" s="30" t="n"/>
      <c r="R17" s="33">
        <f>IF($T17=0,"",IF($AF17=1,"△ The log can't read this line",IF($W17=1,"△ Needs one owner, written as Name (Role)",IF($X17=1,"△ Look-again date missing, passed or too far ahead",IF($Y17=1,"△ No response",IF($Z17=1,"△ Closed without a date or a reason",IF($AA17=1,"△ Needs Provided by and Needed by, and Who answers as Name (Role)",IF($AB17=1,"△ Past its Needed by date","○ Clear"))))))))</f>
        <v/>
      </c>
      <c r="T17" s="34">
        <f>IF(COUNTA($A17:$Q17)&gt;0,1,0)</f>
        <v/>
      </c>
      <c r="U17" s="34">
        <f>IF(AND($T17=1,$J17&lt;&gt;"Closed"),1,0)</f>
        <v/>
      </c>
      <c r="V17" s="34">
        <f>IF(AND($U17=1,$Q17&lt;&gt;"Program workbook"),1,0)</f>
        <v/>
      </c>
      <c r="W17" s="34">
        <f>IF($V17=0,0,IF(OR(ISERROR(SEARCH(" (",$D17)),RIGHT(TRIM($D17),1)&lt;&gt;")",ISNUMBER(SEARCH(",",$AH17)),ISNUMBER(SEARCH("/",$AH17)),ISNUMBER(SEARCH(" and ",$AH17)),ISNUMBER(SEARCH("&amp;",$AH17))),1,0))</f>
        <v/>
      </c>
      <c r="X17" s="34">
        <f>IF($V17=0,0,IF(NOT(ISNUMBER($F17)),1,IF(OR($F17&lt;Summary!$K$4,$F17&gt;Summary!$K$4+Summary!$K$5,AND(ISNUMBER($P17),$F17&gt;$P17)),1,0)))</f>
        <v/>
      </c>
      <c r="Y17" s="34">
        <f>IF(AND($V17=1,OR($B17="Risk",$B17="Issue"),LEN(TRIM($I17))=0),1,0)</f>
        <v/>
      </c>
      <c r="Z17" s="34">
        <f>IF(AND($T17=1,$J17="Closed",OR(NOT(ISNUMBER($K17)),LEN(TRIM($L17))=0)),1,0)</f>
        <v/>
      </c>
      <c r="AA17" s="34">
        <f>IF(AND($U17=1,$B17="Dependency"),IF(OR(LEN(TRIM($N17))=0,NOT(ISNUMBER($P17)),NOT(AND(ISNUMBER(SEARCH(" (",$O17)),RIGHT(TRIM($O17),1)=")"))),1,0),0)</f>
        <v/>
      </c>
      <c r="AB17" s="34">
        <f>IF(AND($V17=1,$B17="Dependency",ISNUMBER($P17)),IF($P17&lt;Summary!$K$4,1,0),0)</f>
        <v/>
      </c>
      <c r="AC17" s="34">
        <f>IF($T17=0,0,IF(OR($A17="",COUNTIF($A$4:$A$153,$A17)&gt;1,ISERROR(MATCH($B17,{"Risk","Assumption","Issue","Dependency"},0))),1,IF(INDEX({"R","A","I","X"},MATCH($B17,{"Risk","Assumption","Issue","Dependency"},0))&lt;&gt;LEFT($A17,1),1,0)))</f>
        <v/>
      </c>
      <c r="AD17" s="34">
        <f>IF($T17=0,0,IF(OR(ISERROR(MATCH($J17,{"Raised","Responding","Closed"},0)),ISERROR(MATCH($G17,{"Low","Medium","High"},0)),AND(OR($B17="Risk",$B17="Assumption"),ISERROR(MATCH($H17,{"Low","Medium","High"},0))),AND($Q17&lt;&gt;"",$Q17&lt;&gt;"This log",$Q17&lt;&gt;"Program workbook"),AND($J17&lt;&gt;"Closed",OR($K17&lt;&gt;"",LEN(TRIM($L17))&gt;0))),1,0))</f>
        <v/>
      </c>
      <c r="AE17" s="34">
        <f>IF($T17=0,0,IF(OR(NOT(ISNUMBER($E17)),AND($F17&lt;&gt;"",NOT(ISNUMBER($F17))),AND($K17&lt;&gt;"",NOT(ISNUMBER($K17))),AND($P17&lt;&gt;"",NOT(ISNUMBER($P17)))),1,0))</f>
        <v/>
      </c>
      <c r="AF17" s="34">
        <f>MAX($AC17,$AD17,$AE17)</f>
        <v/>
      </c>
      <c r="AG17" s="34">
        <f>IF($T17=0,0,IFERROR(--MID(TRIM($A17),2,9),0))</f>
        <v/>
      </c>
      <c r="AH17" s="22">
        <f>IFERROR(LEFT(TRIM($D17),SEARCH(" (",TRIM($D17))-1),TRIM($D17))</f>
        <v/>
      </c>
      <c r="AI17" s="34">
        <f>IF(AND($T17=1,$J17="Closed",$G17="High",ISNUMBER($K17)),IF($K17&gt;=Summary!$K$6,1,0),0)</f>
        <v/>
      </c>
      <c r="AJ17" s="34">
        <f>IF($AI17=1,SUM($AI$4:$AI17),0)</f>
        <v/>
      </c>
    </row>
    <row r="18" ht="18" customHeight="1">
      <c r="A18" s="30" t="n"/>
      <c r="B18" s="30" t="n"/>
      <c r="C18" s="31" t="n"/>
      <c r="D18" s="31" t="n"/>
      <c r="E18" s="32" t="n"/>
      <c r="F18" s="32" t="n"/>
      <c r="G18" s="30" t="n"/>
      <c r="H18" s="30" t="n"/>
      <c r="I18" s="31" t="n"/>
      <c r="J18" s="30" t="n"/>
      <c r="K18" s="32" t="n"/>
      <c r="L18" s="31" t="n"/>
      <c r="M18" s="30" t="n"/>
      <c r="N18" s="31" t="n"/>
      <c r="O18" s="31" t="n"/>
      <c r="P18" s="32" t="n"/>
      <c r="Q18" s="30" t="n"/>
      <c r="R18" s="33">
        <f>IF($T18=0,"",IF($AF18=1,"△ The log can't read this line",IF($W18=1,"△ Needs one owner, written as Name (Role)",IF($X18=1,"△ Look-again date missing, passed or too far ahead",IF($Y18=1,"△ No response",IF($Z18=1,"△ Closed without a date or a reason",IF($AA18=1,"△ Needs Provided by and Needed by, and Who answers as Name (Role)",IF($AB18=1,"△ Past its Needed by date","○ Clear"))))))))</f>
        <v/>
      </c>
      <c r="T18" s="34">
        <f>IF(COUNTA($A18:$Q18)&gt;0,1,0)</f>
        <v/>
      </c>
      <c r="U18" s="34">
        <f>IF(AND($T18=1,$J18&lt;&gt;"Closed"),1,0)</f>
        <v/>
      </c>
      <c r="V18" s="34">
        <f>IF(AND($U18=1,$Q18&lt;&gt;"Program workbook"),1,0)</f>
        <v/>
      </c>
      <c r="W18" s="34">
        <f>IF($V18=0,0,IF(OR(ISERROR(SEARCH(" (",$D18)),RIGHT(TRIM($D18),1)&lt;&gt;")",ISNUMBER(SEARCH(",",$AH18)),ISNUMBER(SEARCH("/",$AH18)),ISNUMBER(SEARCH(" and ",$AH18)),ISNUMBER(SEARCH("&amp;",$AH18))),1,0))</f>
        <v/>
      </c>
      <c r="X18" s="34">
        <f>IF($V18=0,0,IF(NOT(ISNUMBER($F18)),1,IF(OR($F18&lt;Summary!$K$4,$F18&gt;Summary!$K$4+Summary!$K$5,AND(ISNUMBER($P18),$F18&gt;$P18)),1,0)))</f>
        <v/>
      </c>
      <c r="Y18" s="34">
        <f>IF(AND($V18=1,OR($B18="Risk",$B18="Issue"),LEN(TRIM($I18))=0),1,0)</f>
        <v/>
      </c>
      <c r="Z18" s="34">
        <f>IF(AND($T18=1,$J18="Closed",OR(NOT(ISNUMBER($K18)),LEN(TRIM($L18))=0)),1,0)</f>
        <v/>
      </c>
      <c r="AA18" s="34">
        <f>IF(AND($U18=1,$B18="Dependency"),IF(OR(LEN(TRIM($N18))=0,NOT(ISNUMBER($P18)),NOT(AND(ISNUMBER(SEARCH(" (",$O18)),RIGHT(TRIM($O18),1)=")"))),1,0),0)</f>
        <v/>
      </c>
      <c r="AB18" s="34">
        <f>IF(AND($V18=1,$B18="Dependency",ISNUMBER($P18)),IF($P18&lt;Summary!$K$4,1,0),0)</f>
        <v/>
      </c>
      <c r="AC18" s="34">
        <f>IF($T18=0,0,IF(OR($A18="",COUNTIF($A$4:$A$153,$A18)&gt;1,ISERROR(MATCH($B18,{"Risk","Assumption","Issue","Dependency"},0))),1,IF(INDEX({"R","A","I","X"},MATCH($B18,{"Risk","Assumption","Issue","Dependency"},0))&lt;&gt;LEFT($A18,1),1,0)))</f>
        <v/>
      </c>
      <c r="AD18" s="34">
        <f>IF($T18=0,0,IF(OR(ISERROR(MATCH($J18,{"Raised","Responding","Closed"},0)),ISERROR(MATCH($G18,{"Low","Medium","High"},0)),AND(OR($B18="Risk",$B18="Assumption"),ISERROR(MATCH($H18,{"Low","Medium","High"},0))),AND($Q18&lt;&gt;"",$Q18&lt;&gt;"This log",$Q18&lt;&gt;"Program workbook"),AND($J18&lt;&gt;"Closed",OR($K18&lt;&gt;"",LEN(TRIM($L18))&gt;0))),1,0))</f>
        <v/>
      </c>
      <c r="AE18" s="34">
        <f>IF($T18=0,0,IF(OR(NOT(ISNUMBER($E18)),AND($F18&lt;&gt;"",NOT(ISNUMBER($F18))),AND($K18&lt;&gt;"",NOT(ISNUMBER($K18))),AND($P18&lt;&gt;"",NOT(ISNUMBER($P18)))),1,0))</f>
        <v/>
      </c>
      <c r="AF18" s="34">
        <f>MAX($AC18,$AD18,$AE18)</f>
        <v/>
      </c>
      <c r="AG18" s="34">
        <f>IF($T18=0,0,IFERROR(--MID(TRIM($A18),2,9),0))</f>
        <v/>
      </c>
      <c r="AH18" s="22">
        <f>IFERROR(LEFT(TRIM($D18),SEARCH(" (",TRIM($D18))-1),TRIM($D18))</f>
        <v/>
      </c>
      <c r="AI18" s="34">
        <f>IF(AND($T18=1,$J18="Closed",$G18="High",ISNUMBER($K18)),IF($K18&gt;=Summary!$K$6,1,0),0)</f>
        <v/>
      </c>
      <c r="AJ18" s="34">
        <f>IF($AI18=1,SUM($AI$4:$AI18),0)</f>
        <v/>
      </c>
    </row>
    <row r="19" ht="18" customHeight="1">
      <c r="A19" s="30" t="n"/>
      <c r="B19" s="30" t="n"/>
      <c r="C19" s="31" t="n"/>
      <c r="D19" s="31" t="n"/>
      <c r="E19" s="32" t="n"/>
      <c r="F19" s="32" t="n"/>
      <c r="G19" s="30" t="n"/>
      <c r="H19" s="30" t="n"/>
      <c r="I19" s="31" t="n"/>
      <c r="J19" s="30" t="n"/>
      <c r="K19" s="32" t="n"/>
      <c r="L19" s="31" t="n"/>
      <c r="M19" s="30" t="n"/>
      <c r="N19" s="31" t="n"/>
      <c r="O19" s="31" t="n"/>
      <c r="P19" s="32" t="n"/>
      <c r="Q19" s="30" t="n"/>
      <c r="R19" s="33">
        <f>IF($T19=0,"",IF($AF19=1,"△ The log can't read this line",IF($W19=1,"△ Needs one owner, written as Name (Role)",IF($X19=1,"△ Look-again date missing, passed or too far ahead",IF($Y19=1,"△ No response",IF($Z19=1,"△ Closed without a date or a reason",IF($AA19=1,"△ Needs Provided by and Needed by, and Who answers as Name (Role)",IF($AB19=1,"△ Past its Needed by date","○ Clear"))))))))</f>
        <v/>
      </c>
      <c r="T19" s="34">
        <f>IF(COUNTA($A19:$Q19)&gt;0,1,0)</f>
        <v/>
      </c>
      <c r="U19" s="34">
        <f>IF(AND($T19=1,$J19&lt;&gt;"Closed"),1,0)</f>
        <v/>
      </c>
      <c r="V19" s="34">
        <f>IF(AND($U19=1,$Q19&lt;&gt;"Program workbook"),1,0)</f>
        <v/>
      </c>
      <c r="W19" s="34">
        <f>IF($V19=0,0,IF(OR(ISERROR(SEARCH(" (",$D19)),RIGHT(TRIM($D19),1)&lt;&gt;")",ISNUMBER(SEARCH(",",$AH19)),ISNUMBER(SEARCH("/",$AH19)),ISNUMBER(SEARCH(" and ",$AH19)),ISNUMBER(SEARCH("&amp;",$AH19))),1,0))</f>
        <v/>
      </c>
      <c r="X19" s="34">
        <f>IF($V19=0,0,IF(NOT(ISNUMBER($F19)),1,IF(OR($F19&lt;Summary!$K$4,$F19&gt;Summary!$K$4+Summary!$K$5,AND(ISNUMBER($P19),$F19&gt;$P19)),1,0)))</f>
        <v/>
      </c>
      <c r="Y19" s="34">
        <f>IF(AND($V19=1,OR($B19="Risk",$B19="Issue"),LEN(TRIM($I19))=0),1,0)</f>
        <v/>
      </c>
      <c r="Z19" s="34">
        <f>IF(AND($T19=1,$J19="Closed",OR(NOT(ISNUMBER($K19)),LEN(TRIM($L19))=0)),1,0)</f>
        <v/>
      </c>
      <c r="AA19" s="34">
        <f>IF(AND($U19=1,$B19="Dependency"),IF(OR(LEN(TRIM($N19))=0,NOT(ISNUMBER($P19)),NOT(AND(ISNUMBER(SEARCH(" (",$O19)),RIGHT(TRIM($O19),1)=")"))),1,0),0)</f>
        <v/>
      </c>
      <c r="AB19" s="34">
        <f>IF(AND($V19=1,$B19="Dependency",ISNUMBER($P19)),IF($P19&lt;Summary!$K$4,1,0),0)</f>
        <v/>
      </c>
      <c r="AC19" s="34">
        <f>IF($T19=0,0,IF(OR($A19="",COUNTIF($A$4:$A$153,$A19)&gt;1,ISERROR(MATCH($B19,{"Risk","Assumption","Issue","Dependency"},0))),1,IF(INDEX({"R","A","I","X"},MATCH($B19,{"Risk","Assumption","Issue","Dependency"},0))&lt;&gt;LEFT($A19,1),1,0)))</f>
        <v/>
      </c>
      <c r="AD19" s="34">
        <f>IF($T19=0,0,IF(OR(ISERROR(MATCH($J19,{"Raised","Responding","Closed"},0)),ISERROR(MATCH($G19,{"Low","Medium","High"},0)),AND(OR($B19="Risk",$B19="Assumption"),ISERROR(MATCH($H19,{"Low","Medium","High"},0))),AND($Q19&lt;&gt;"",$Q19&lt;&gt;"This log",$Q19&lt;&gt;"Program workbook"),AND($J19&lt;&gt;"Closed",OR($K19&lt;&gt;"",LEN(TRIM($L19))&gt;0))),1,0))</f>
        <v/>
      </c>
      <c r="AE19" s="34">
        <f>IF($T19=0,0,IF(OR(NOT(ISNUMBER($E19)),AND($F19&lt;&gt;"",NOT(ISNUMBER($F19))),AND($K19&lt;&gt;"",NOT(ISNUMBER($K19))),AND($P19&lt;&gt;"",NOT(ISNUMBER($P19)))),1,0))</f>
        <v/>
      </c>
      <c r="AF19" s="34">
        <f>MAX($AC19,$AD19,$AE19)</f>
        <v/>
      </c>
      <c r="AG19" s="34">
        <f>IF($T19=0,0,IFERROR(--MID(TRIM($A19),2,9),0))</f>
        <v/>
      </c>
      <c r="AH19" s="22">
        <f>IFERROR(LEFT(TRIM($D19),SEARCH(" (",TRIM($D19))-1),TRIM($D19))</f>
        <v/>
      </c>
      <c r="AI19" s="34">
        <f>IF(AND($T19=1,$J19="Closed",$G19="High",ISNUMBER($K19)),IF($K19&gt;=Summary!$K$6,1,0),0)</f>
        <v/>
      </c>
      <c r="AJ19" s="34">
        <f>IF($AI19=1,SUM($AI$4:$AI19),0)</f>
        <v/>
      </c>
    </row>
    <row r="20" ht="18" customHeight="1">
      <c r="A20" s="30" t="n"/>
      <c r="B20" s="30" t="n"/>
      <c r="C20" s="31" t="n"/>
      <c r="D20" s="31" t="n"/>
      <c r="E20" s="32" t="n"/>
      <c r="F20" s="32" t="n"/>
      <c r="G20" s="30" t="n"/>
      <c r="H20" s="30" t="n"/>
      <c r="I20" s="31" t="n"/>
      <c r="J20" s="30" t="n"/>
      <c r="K20" s="32" t="n"/>
      <c r="L20" s="31" t="n"/>
      <c r="M20" s="30" t="n"/>
      <c r="N20" s="31" t="n"/>
      <c r="O20" s="31" t="n"/>
      <c r="P20" s="32" t="n"/>
      <c r="Q20" s="30" t="n"/>
      <c r="R20" s="33">
        <f>IF($T20=0,"",IF($AF20=1,"△ The log can't read this line",IF($W20=1,"△ Needs one owner, written as Name (Role)",IF($X20=1,"△ Look-again date missing, passed or too far ahead",IF($Y20=1,"△ No response",IF($Z20=1,"△ Closed without a date or a reason",IF($AA20=1,"△ Needs Provided by and Needed by, and Who answers as Name (Role)",IF($AB20=1,"△ Past its Needed by date","○ Clear"))))))))</f>
        <v/>
      </c>
      <c r="T20" s="34">
        <f>IF(COUNTA($A20:$Q20)&gt;0,1,0)</f>
        <v/>
      </c>
      <c r="U20" s="34">
        <f>IF(AND($T20=1,$J20&lt;&gt;"Closed"),1,0)</f>
        <v/>
      </c>
      <c r="V20" s="34">
        <f>IF(AND($U20=1,$Q20&lt;&gt;"Program workbook"),1,0)</f>
        <v/>
      </c>
      <c r="W20" s="34">
        <f>IF($V20=0,0,IF(OR(ISERROR(SEARCH(" (",$D20)),RIGHT(TRIM($D20),1)&lt;&gt;")",ISNUMBER(SEARCH(",",$AH20)),ISNUMBER(SEARCH("/",$AH20)),ISNUMBER(SEARCH(" and ",$AH20)),ISNUMBER(SEARCH("&amp;",$AH20))),1,0))</f>
        <v/>
      </c>
      <c r="X20" s="34">
        <f>IF($V20=0,0,IF(NOT(ISNUMBER($F20)),1,IF(OR($F20&lt;Summary!$K$4,$F20&gt;Summary!$K$4+Summary!$K$5,AND(ISNUMBER($P20),$F20&gt;$P20)),1,0)))</f>
        <v/>
      </c>
      <c r="Y20" s="34">
        <f>IF(AND($V20=1,OR($B20="Risk",$B20="Issue"),LEN(TRIM($I20))=0),1,0)</f>
        <v/>
      </c>
      <c r="Z20" s="34">
        <f>IF(AND($T20=1,$J20="Closed",OR(NOT(ISNUMBER($K20)),LEN(TRIM($L20))=0)),1,0)</f>
        <v/>
      </c>
      <c r="AA20" s="34">
        <f>IF(AND($U20=1,$B20="Dependency"),IF(OR(LEN(TRIM($N20))=0,NOT(ISNUMBER($P20)),NOT(AND(ISNUMBER(SEARCH(" (",$O20)),RIGHT(TRIM($O20),1)=")"))),1,0),0)</f>
        <v/>
      </c>
      <c r="AB20" s="34">
        <f>IF(AND($V20=1,$B20="Dependency",ISNUMBER($P20)),IF($P20&lt;Summary!$K$4,1,0),0)</f>
        <v/>
      </c>
      <c r="AC20" s="34">
        <f>IF($T20=0,0,IF(OR($A20="",COUNTIF($A$4:$A$153,$A20)&gt;1,ISERROR(MATCH($B20,{"Risk","Assumption","Issue","Dependency"},0))),1,IF(INDEX({"R","A","I","X"},MATCH($B20,{"Risk","Assumption","Issue","Dependency"},0))&lt;&gt;LEFT($A20,1),1,0)))</f>
        <v/>
      </c>
      <c r="AD20" s="34">
        <f>IF($T20=0,0,IF(OR(ISERROR(MATCH($J20,{"Raised","Responding","Closed"},0)),ISERROR(MATCH($G20,{"Low","Medium","High"},0)),AND(OR($B20="Risk",$B20="Assumption"),ISERROR(MATCH($H20,{"Low","Medium","High"},0))),AND($Q20&lt;&gt;"",$Q20&lt;&gt;"This log",$Q20&lt;&gt;"Program workbook"),AND($J20&lt;&gt;"Closed",OR($K20&lt;&gt;"",LEN(TRIM($L20))&gt;0))),1,0))</f>
        <v/>
      </c>
      <c r="AE20" s="34">
        <f>IF($T20=0,0,IF(OR(NOT(ISNUMBER($E20)),AND($F20&lt;&gt;"",NOT(ISNUMBER($F20))),AND($K20&lt;&gt;"",NOT(ISNUMBER($K20))),AND($P20&lt;&gt;"",NOT(ISNUMBER($P20)))),1,0))</f>
        <v/>
      </c>
      <c r="AF20" s="34">
        <f>MAX($AC20,$AD20,$AE20)</f>
        <v/>
      </c>
      <c r="AG20" s="34">
        <f>IF($T20=0,0,IFERROR(--MID(TRIM($A20),2,9),0))</f>
        <v/>
      </c>
      <c r="AH20" s="22">
        <f>IFERROR(LEFT(TRIM($D20),SEARCH(" (",TRIM($D20))-1),TRIM($D20))</f>
        <v/>
      </c>
      <c r="AI20" s="34">
        <f>IF(AND($T20=1,$J20="Closed",$G20="High",ISNUMBER($K20)),IF($K20&gt;=Summary!$K$6,1,0),0)</f>
        <v/>
      </c>
      <c r="AJ20" s="34">
        <f>IF($AI20=1,SUM($AI$4:$AI20),0)</f>
        <v/>
      </c>
    </row>
    <row r="21" ht="18" customHeight="1">
      <c r="A21" s="30" t="n"/>
      <c r="B21" s="30" t="n"/>
      <c r="C21" s="31" t="n"/>
      <c r="D21" s="31" t="n"/>
      <c r="E21" s="32" t="n"/>
      <c r="F21" s="32" t="n"/>
      <c r="G21" s="30" t="n"/>
      <c r="H21" s="30" t="n"/>
      <c r="I21" s="31" t="n"/>
      <c r="J21" s="30" t="n"/>
      <c r="K21" s="32" t="n"/>
      <c r="L21" s="31" t="n"/>
      <c r="M21" s="30" t="n"/>
      <c r="N21" s="31" t="n"/>
      <c r="O21" s="31" t="n"/>
      <c r="P21" s="32" t="n"/>
      <c r="Q21" s="30" t="n"/>
      <c r="R21" s="33">
        <f>IF($T21=0,"",IF($AF21=1,"△ The log can't read this line",IF($W21=1,"△ Needs one owner, written as Name (Role)",IF($X21=1,"△ Look-again date missing, passed or too far ahead",IF($Y21=1,"△ No response",IF($Z21=1,"△ Closed without a date or a reason",IF($AA21=1,"△ Needs Provided by and Needed by, and Who answers as Name (Role)",IF($AB21=1,"△ Past its Needed by date","○ Clear"))))))))</f>
        <v/>
      </c>
      <c r="T21" s="34">
        <f>IF(COUNTA($A21:$Q21)&gt;0,1,0)</f>
        <v/>
      </c>
      <c r="U21" s="34">
        <f>IF(AND($T21=1,$J21&lt;&gt;"Closed"),1,0)</f>
        <v/>
      </c>
      <c r="V21" s="34">
        <f>IF(AND($U21=1,$Q21&lt;&gt;"Program workbook"),1,0)</f>
        <v/>
      </c>
      <c r="W21" s="34">
        <f>IF($V21=0,0,IF(OR(ISERROR(SEARCH(" (",$D21)),RIGHT(TRIM($D21),1)&lt;&gt;")",ISNUMBER(SEARCH(",",$AH21)),ISNUMBER(SEARCH("/",$AH21)),ISNUMBER(SEARCH(" and ",$AH21)),ISNUMBER(SEARCH("&amp;",$AH21))),1,0))</f>
        <v/>
      </c>
      <c r="X21" s="34">
        <f>IF($V21=0,0,IF(NOT(ISNUMBER($F21)),1,IF(OR($F21&lt;Summary!$K$4,$F21&gt;Summary!$K$4+Summary!$K$5,AND(ISNUMBER($P21),$F21&gt;$P21)),1,0)))</f>
        <v/>
      </c>
      <c r="Y21" s="34">
        <f>IF(AND($V21=1,OR($B21="Risk",$B21="Issue"),LEN(TRIM($I21))=0),1,0)</f>
        <v/>
      </c>
      <c r="Z21" s="34">
        <f>IF(AND($T21=1,$J21="Closed",OR(NOT(ISNUMBER($K21)),LEN(TRIM($L21))=0)),1,0)</f>
        <v/>
      </c>
      <c r="AA21" s="34">
        <f>IF(AND($U21=1,$B21="Dependency"),IF(OR(LEN(TRIM($N21))=0,NOT(ISNUMBER($P21)),NOT(AND(ISNUMBER(SEARCH(" (",$O21)),RIGHT(TRIM($O21),1)=")"))),1,0),0)</f>
        <v/>
      </c>
      <c r="AB21" s="34">
        <f>IF(AND($V21=1,$B21="Dependency",ISNUMBER($P21)),IF($P21&lt;Summary!$K$4,1,0),0)</f>
        <v/>
      </c>
      <c r="AC21" s="34">
        <f>IF($T21=0,0,IF(OR($A21="",COUNTIF($A$4:$A$153,$A21)&gt;1,ISERROR(MATCH($B21,{"Risk","Assumption","Issue","Dependency"},0))),1,IF(INDEX({"R","A","I","X"},MATCH($B21,{"Risk","Assumption","Issue","Dependency"},0))&lt;&gt;LEFT($A21,1),1,0)))</f>
        <v/>
      </c>
      <c r="AD21" s="34">
        <f>IF($T21=0,0,IF(OR(ISERROR(MATCH($J21,{"Raised","Responding","Closed"},0)),ISERROR(MATCH($G21,{"Low","Medium","High"},0)),AND(OR($B21="Risk",$B21="Assumption"),ISERROR(MATCH($H21,{"Low","Medium","High"},0))),AND($Q21&lt;&gt;"",$Q21&lt;&gt;"This log",$Q21&lt;&gt;"Program workbook"),AND($J21&lt;&gt;"Closed",OR($K21&lt;&gt;"",LEN(TRIM($L21))&gt;0))),1,0))</f>
        <v/>
      </c>
      <c r="AE21" s="34">
        <f>IF($T21=0,0,IF(OR(NOT(ISNUMBER($E21)),AND($F21&lt;&gt;"",NOT(ISNUMBER($F21))),AND($K21&lt;&gt;"",NOT(ISNUMBER($K21))),AND($P21&lt;&gt;"",NOT(ISNUMBER($P21)))),1,0))</f>
        <v/>
      </c>
      <c r="AF21" s="34">
        <f>MAX($AC21,$AD21,$AE21)</f>
        <v/>
      </c>
      <c r="AG21" s="34">
        <f>IF($T21=0,0,IFERROR(--MID(TRIM($A21),2,9),0))</f>
        <v/>
      </c>
      <c r="AH21" s="22">
        <f>IFERROR(LEFT(TRIM($D21),SEARCH(" (",TRIM($D21))-1),TRIM($D21))</f>
        <v/>
      </c>
      <c r="AI21" s="34">
        <f>IF(AND($T21=1,$J21="Closed",$G21="High",ISNUMBER($K21)),IF($K21&gt;=Summary!$K$6,1,0),0)</f>
        <v/>
      </c>
      <c r="AJ21" s="34">
        <f>IF($AI21=1,SUM($AI$4:$AI21),0)</f>
        <v/>
      </c>
    </row>
    <row r="22" ht="18" customHeight="1">
      <c r="A22" s="30" t="n"/>
      <c r="B22" s="30" t="n"/>
      <c r="C22" s="31" t="n"/>
      <c r="D22" s="31" t="n"/>
      <c r="E22" s="32" t="n"/>
      <c r="F22" s="32" t="n"/>
      <c r="G22" s="30" t="n"/>
      <c r="H22" s="30" t="n"/>
      <c r="I22" s="31" t="n"/>
      <c r="J22" s="30" t="n"/>
      <c r="K22" s="32" t="n"/>
      <c r="L22" s="31" t="n"/>
      <c r="M22" s="30" t="n"/>
      <c r="N22" s="31" t="n"/>
      <c r="O22" s="31" t="n"/>
      <c r="P22" s="32" t="n"/>
      <c r="Q22" s="30" t="n"/>
      <c r="R22" s="33">
        <f>IF($T22=0,"",IF($AF22=1,"△ The log can't read this line",IF($W22=1,"△ Needs one owner, written as Name (Role)",IF($X22=1,"△ Look-again date missing, passed or too far ahead",IF($Y22=1,"△ No response",IF($Z22=1,"△ Closed without a date or a reason",IF($AA22=1,"△ Needs Provided by and Needed by, and Who answers as Name (Role)",IF($AB22=1,"△ Past its Needed by date","○ Clear"))))))))</f>
        <v/>
      </c>
      <c r="T22" s="34">
        <f>IF(COUNTA($A22:$Q22)&gt;0,1,0)</f>
        <v/>
      </c>
      <c r="U22" s="34">
        <f>IF(AND($T22=1,$J22&lt;&gt;"Closed"),1,0)</f>
        <v/>
      </c>
      <c r="V22" s="34">
        <f>IF(AND($U22=1,$Q22&lt;&gt;"Program workbook"),1,0)</f>
        <v/>
      </c>
      <c r="W22" s="34">
        <f>IF($V22=0,0,IF(OR(ISERROR(SEARCH(" (",$D22)),RIGHT(TRIM($D22),1)&lt;&gt;")",ISNUMBER(SEARCH(",",$AH22)),ISNUMBER(SEARCH("/",$AH22)),ISNUMBER(SEARCH(" and ",$AH22)),ISNUMBER(SEARCH("&amp;",$AH22))),1,0))</f>
        <v/>
      </c>
      <c r="X22" s="34">
        <f>IF($V22=0,0,IF(NOT(ISNUMBER($F22)),1,IF(OR($F22&lt;Summary!$K$4,$F22&gt;Summary!$K$4+Summary!$K$5,AND(ISNUMBER($P22),$F22&gt;$P22)),1,0)))</f>
        <v/>
      </c>
      <c r="Y22" s="34">
        <f>IF(AND($V22=1,OR($B22="Risk",$B22="Issue"),LEN(TRIM($I22))=0),1,0)</f>
        <v/>
      </c>
      <c r="Z22" s="34">
        <f>IF(AND($T22=1,$J22="Closed",OR(NOT(ISNUMBER($K22)),LEN(TRIM($L22))=0)),1,0)</f>
        <v/>
      </c>
      <c r="AA22" s="34">
        <f>IF(AND($U22=1,$B22="Dependency"),IF(OR(LEN(TRIM($N22))=0,NOT(ISNUMBER($P22)),NOT(AND(ISNUMBER(SEARCH(" (",$O22)),RIGHT(TRIM($O22),1)=")"))),1,0),0)</f>
        <v/>
      </c>
      <c r="AB22" s="34">
        <f>IF(AND($V22=1,$B22="Dependency",ISNUMBER($P22)),IF($P22&lt;Summary!$K$4,1,0),0)</f>
        <v/>
      </c>
      <c r="AC22" s="34">
        <f>IF($T22=0,0,IF(OR($A22="",COUNTIF($A$4:$A$153,$A22)&gt;1,ISERROR(MATCH($B22,{"Risk","Assumption","Issue","Dependency"},0))),1,IF(INDEX({"R","A","I","X"},MATCH($B22,{"Risk","Assumption","Issue","Dependency"},0))&lt;&gt;LEFT($A22,1),1,0)))</f>
        <v/>
      </c>
      <c r="AD22" s="34">
        <f>IF($T22=0,0,IF(OR(ISERROR(MATCH($J22,{"Raised","Responding","Closed"},0)),ISERROR(MATCH($G22,{"Low","Medium","High"},0)),AND(OR($B22="Risk",$B22="Assumption"),ISERROR(MATCH($H22,{"Low","Medium","High"},0))),AND($Q22&lt;&gt;"",$Q22&lt;&gt;"This log",$Q22&lt;&gt;"Program workbook"),AND($J22&lt;&gt;"Closed",OR($K22&lt;&gt;"",LEN(TRIM($L22))&gt;0))),1,0))</f>
        <v/>
      </c>
      <c r="AE22" s="34">
        <f>IF($T22=0,0,IF(OR(NOT(ISNUMBER($E22)),AND($F22&lt;&gt;"",NOT(ISNUMBER($F22))),AND($K22&lt;&gt;"",NOT(ISNUMBER($K22))),AND($P22&lt;&gt;"",NOT(ISNUMBER($P22)))),1,0))</f>
        <v/>
      </c>
      <c r="AF22" s="34">
        <f>MAX($AC22,$AD22,$AE22)</f>
        <v/>
      </c>
      <c r="AG22" s="34">
        <f>IF($T22=0,0,IFERROR(--MID(TRIM($A22),2,9),0))</f>
        <v/>
      </c>
      <c r="AH22" s="22">
        <f>IFERROR(LEFT(TRIM($D22),SEARCH(" (",TRIM($D22))-1),TRIM($D22))</f>
        <v/>
      </c>
      <c r="AI22" s="34">
        <f>IF(AND($T22=1,$J22="Closed",$G22="High",ISNUMBER($K22)),IF($K22&gt;=Summary!$K$6,1,0),0)</f>
        <v/>
      </c>
      <c r="AJ22" s="34">
        <f>IF($AI22=1,SUM($AI$4:$AI22),0)</f>
        <v/>
      </c>
    </row>
    <row r="23" ht="18" customHeight="1">
      <c r="A23" s="30" t="n"/>
      <c r="B23" s="30" t="n"/>
      <c r="C23" s="31" t="n"/>
      <c r="D23" s="31" t="n"/>
      <c r="E23" s="32" t="n"/>
      <c r="F23" s="32" t="n"/>
      <c r="G23" s="30" t="n"/>
      <c r="H23" s="30" t="n"/>
      <c r="I23" s="31" t="n"/>
      <c r="J23" s="30" t="n"/>
      <c r="K23" s="32" t="n"/>
      <c r="L23" s="31" t="n"/>
      <c r="M23" s="30" t="n"/>
      <c r="N23" s="31" t="n"/>
      <c r="O23" s="31" t="n"/>
      <c r="P23" s="32" t="n"/>
      <c r="Q23" s="30" t="n"/>
      <c r="R23" s="33">
        <f>IF($T23=0,"",IF($AF23=1,"△ The log can't read this line",IF($W23=1,"△ Needs one owner, written as Name (Role)",IF($X23=1,"△ Look-again date missing, passed or too far ahead",IF($Y23=1,"△ No response",IF($Z23=1,"△ Closed without a date or a reason",IF($AA23=1,"△ Needs Provided by and Needed by, and Who answers as Name (Role)",IF($AB23=1,"△ Past its Needed by date","○ Clear"))))))))</f>
        <v/>
      </c>
      <c r="T23" s="34">
        <f>IF(COUNTA($A23:$Q23)&gt;0,1,0)</f>
        <v/>
      </c>
      <c r="U23" s="34">
        <f>IF(AND($T23=1,$J23&lt;&gt;"Closed"),1,0)</f>
        <v/>
      </c>
      <c r="V23" s="34">
        <f>IF(AND($U23=1,$Q23&lt;&gt;"Program workbook"),1,0)</f>
        <v/>
      </c>
      <c r="W23" s="34">
        <f>IF($V23=0,0,IF(OR(ISERROR(SEARCH(" (",$D23)),RIGHT(TRIM($D23),1)&lt;&gt;")",ISNUMBER(SEARCH(",",$AH23)),ISNUMBER(SEARCH("/",$AH23)),ISNUMBER(SEARCH(" and ",$AH23)),ISNUMBER(SEARCH("&amp;",$AH23))),1,0))</f>
        <v/>
      </c>
      <c r="X23" s="34">
        <f>IF($V23=0,0,IF(NOT(ISNUMBER($F23)),1,IF(OR($F23&lt;Summary!$K$4,$F23&gt;Summary!$K$4+Summary!$K$5,AND(ISNUMBER($P23),$F23&gt;$P23)),1,0)))</f>
        <v/>
      </c>
      <c r="Y23" s="34">
        <f>IF(AND($V23=1,OR($B23="Risk",$B23="Issue"),LEN(TRIM($I23))=0),1,0)</f>
        <v/>
      </c>
      <c r="Z23" s="34">
        <f>IF(AND($T23=1,$J23="Closed",OR(NOT(ISNUMBER($K23)),LEN(TRIM($L23))=0)),1,0)</f>
        <v/>
      </c>
      <c r="AA23" s="34">
        <f>IF(AND($U23=1,$B23="Dependency"),IF(OR(LEN(TRIM($N23))=0,NOT(ISNUMBER($P23)),NOT(AND(ISNUMBER(SEARCH(" (",$O23)),RIGHT(TRIM($O23),1)=")"))),1,0),0)</f>
        <v/>
      </c>
      <c r="AB23" s="34">
        <f>IF(AND($V23=1,$B23="Dependency",ISNUMBER($P23)),IF($P23&lt;Summary!$K$4,1,0),0)</f>
        <v/>
      </c>
      <c r="AC23" s="34">
        <f>IF($T23=0,0,IF(OR($A23="",COUNTIF($A$4:$A$153,$A23)&gt;1,ISERROR(MATCH($B23,{"Risk","Assumption","Issue","Dependency"},0))),1,IF(INDEX({"R","A","I","X"},MATCH($B23,{"Risk","Assumption","Issue","Dependency"},0))&lt;&gt;LEFT($A23,1),1,0)))</f>
        <v/>
      </c>
      <c r="AD23" s="34">
        <f>IF($T23=0,0,IF(OR(ISERROR(MATCH($J23,{"Raised","Responding","Closed"},0)),ISERROR(MATCH($G23,{"Low","Medium","High"},0)),AND(OR($B23="Risk",$B23="Assumption"),ISERROR(MATCH($H23,{"Low","Medium","High"},0))),AND($Q23&lt;&gt;"",$Q23&lt;&gt;"This log",$Q23&lt;&gt;"Program workbook"),AND($J23&lt;&gt;"Closed",OR($K23&lt;&gt;"",LEN(TRIM($L23))&gt;0))),1,0))</f>
        <v/>
      </c>
      <c r="AE23" s="34">
        <f>IF($T23=0,0,IF(OR(NOT(ISNUMBER($E23)),AND($F23&lt;&gt;"",NOT(ISNUMBER($F23))),AND($K23&lt;&gt;"",NOT(ISNUMBER($K23))),AND($P23&lt;&gt;"",NOT(ISNUMBER($P23)))),1,0))</f>
        <v/>
      </c>
      <c r="AF23" s="34">
        <f>MAX($AC23,$AD23,$AE23)</f>
        <v/>
      </c>
      <c r="AG23" s="34">
        <f>IF($T23=0,0,IFERROR(--MID(TRIM($A23),2,9),0))</f>
        <v/>
      </c>
      <c r="AH23" s="22">
        <f>IFERROR(LEFT(TRIM($D23),SEARCH(" (",TRIM($D23))-1),TRIM($D23))</f>
        <v/>
      </c>
      <c r="AI23" s="34">
        <f>IF(AND($T23=1,$J23="Closed",$G23="High",ISNUMBER($K23)),IF($K23&gt;=Summary!$K$6,1,0),0)</f>
        <v/>
      </c>
      <c r="AJ23" s="34">
        <f>IF($AI23=1,SUM($AI$4:$AI23),0)</f>
        <v/>
      </c>
    </row>
    <row r="24" ht="18" customHeight="1">
      <c r="A24" s="30" t="n"/>
      <c r="B24" s="30" t="n"/>
      <c r="C24" s="31" t="n"/>
      <c r="D24" s="31" t="n"/>
      <c r="E24" s="32" t="n"/>
      <c r="F24" s="32" t="n"/>
      <c r="G24" s="30" t="n"/>
      <c r="H24" s="30" t="n"/>
      <c r="I24" s="31" t="n"/>
      <c r="J24" s="30" t="n"/>
      <c r="K24" s="32" t="n"/>
      <c r="L24" s="31" t="n"/>
      <c r="M24" s="30" t="n"/>
      <c r="N24" s="31" t="n"/>
      <c r="O24" s="31" t="n"/>
      <c r="P24" s="32" t="n"/>
      <c r="Q24" s="30" t="n"/>
      <c r="R24" s="33">
        <f>IF($T24=0,"",IF($AF24=1,"△ The log can't read this line",IF($W24=1,"△ Needs one owner, written as Name (Role)",IF($X24=1,"△ Look-again date missing, passed or too far ahead",IF($Y24=1,"△ No response",IF($Z24=1,"△ Closed without a date or a reason",IF($AA24=1,"△ Needs Provided by and Needed by, and Who answers as Name (Role)",IF($AB24=1,"△ Past its Needed by date","○ Clear"))))))))</f>
        <v/>
      </c>
      <c r="T24" s="34">
        <f>IF(COUNTA($A24:$Q24)&gt;0,1,0)</f>
        <v/>
      </c>
      <c r="U24" s="34">
        <f>IF(AND($T24=1,$J24&lt;&gt;"Closed"),1,0)</f>
        <v/>
      </c>
      <c r="V24" s="34">
        <f>IF(AND($U24=1,$Q24&lt;&gt;"Program workbook"),1,0)</f>
        <v/>
      </c>
      <c r="W24" s="34">
        <f>IF($V24=0,0,IF(OR(ISERROR(SEARCH(" (",$D24)),RIGHT(TRIM($D24),1)&lt;&gt;")",ISNUMBER(SEARCH(",",$AH24)),ISNUMBER(SEARCH("/",$AH24)),ISNUMBER(SEARCH(" and ",$AH24)),ISNUMBER(SEARCH("&amp;",$AH24))),1,0))</f>
        <v/>
      </c>
      <c r="X24" s="34">
        <f>IF($V24=0,0,IF(NOT(ISNUMBER($F24)),1,IF(OR($F24&lt;Summary!$K$4,$F24&gt;Summary!$K$4+Summary!$K$5,AND(ISNUMBER($P24),$F24&gt;$P24)),1,0)))</f>
        <v/>
      </c>
      <c r="Y24" s="34">
        <f>IF(AND($V24=1,OR($B24="Risk",$B24="Issue"),LEN(TRIM($I24))=0),1,0)</f>
        <v/>
      </c>
      <c r="Z24" s="34">
        <f>IF(AND($T24=1,$J24="Closed",OR(NOT(ISNUMBER($K24)),LEN(TRIM($L24))=0)),1,0)</f>
        <v/>
      </c>
      <c r="AA24" s="34">
        <f>IF(AND($U24=1,$B24="Dependency"),IF(OR(LEN(TRIM($N24))=0,NOT(ISNUMBER($P24)),NOT(AND(ISNUMBER(SEARCH(" (",$O24)),RIGHT(TRIM($O24),1)=")"))),1,0),0)</f>
        <v/>
      </c>
      <c r="AB24" s="34">
        <f>IF(AND($V24=1,$B24="Dependency",ISNUMBER($P24)),IF($P24&lt;Summary!$K$4,1,0),0)</f>
        <v/>
      </c>
      <c r="AC24" s="34">
        <f>IF($T24=0,0,IF(OR($A24="",COUNTIF($A$4:$A$153,$A24)&gt;1,ISERROR(MATCH($B24,{"Risk","Assumption","Issue","Dependency"},0))),1,IF(INDEX({"R","A","I","X"},MATCH($B24,{"Risk","Assumption","Issue","Dependency"},0))&lt;&gt;LEFT($A24,1),1,0)))</f>
        <v/>
      </c>
      <c r="AD24" s="34">
        <f>IF($T24=0,0,IF(OR(ISERROR(MATCH($J24,{"Raised","Responding","Closed"},0)),ISERROR(MATCH($G24,{"Low","Medium","High"},0)),AND(OR($B24="Risk",$B24="Assumption"),ISERROR(MATCH($H24,{"Low","Medium","High"},0))),AND($Q24&lt;&gt;"",$Q24&lt;&gt;"This log",$Q24&lt;&gt;"Program workbook"),AND($J24&lt;&gt;"Closed",OR($K24&lt;&gt;"",LEN(TRIM($L24))&gt;0))),1,0))</f>
        <v/>
      </c>
      <c r="AE24" s="34">
        <f>IF($T24=0,0,IF(OR(NOT(ISNUMBER($E24)),AND($F24&lt;&gt;"",NOT(ISNUMBER($F24))),AND($K24&lt;&gt;"",NOT(ISNUMBER($K24))),AND($P24&lt;&gt;"",NOT(ISNUMBER($P24)))),1,0))</f>
        <v/>
      </c>
      <c r="AF24" s="34">
        <f>MAX($AC24,$AD24,$AE24)</f>
        <v/>
      </c>
      <c r="AG24" s="34">
        <f>IF($T24=0,0,IFERROR(--MID(TRIM($A24),2,9),0))</f>
        <v/>
      </c>
      <c r="AH24" s="22">
        <f>IFERROR(LEFT(TRIM($D24),SEARCH(" (",TRIM($D24))-1),TRIM($D24))</f>
        <v/>
      </c>
      <c r="AI24" s="34">
        <f>IF(AND($T24=1,$J24="Closed",$G24="High",ISNUMBER($K24)),IF($K24&gt;=Summary!$K$6,1,0),0)</f>
        <v/>
      </c>
      <c r="AJ24" s="34">
        <f>IF($AI24=1,SUM($AI$4:$AI24),0)</f>
        <v/>
      </c>
    </row>
    <row r="25" ht="18" customHeight="1">
      <c r="A25" s="30" t="n"/>
      <c r="B25" s="30" t="n"/>
      <c r="C25" s="31" t="n"/>
      <c r="D25" s="31" t="n"/>
      <c r="E25" s="32" t="n"/>
      <c r="F25" s="32" t="n"/>
      <c r="G25" s="30" t="n"/>
      <c r="H25" s="30" t="n"/>
      <c r="I25" s="31" t="n"/>
      <c r="J25" s="30" t="n"/>
      <c r="K25" s="32" t="n"/>
      <c r="L25" s="31" t="n"/>
      <c r="M25" s="30" t="n"/>
      <c r="N25" s="31" t="n"/>
      <c r="O25" s="31" t="n"/>
      <c r="P25" s="32" t="n"/>
      <c r="Q25" s="30" t="n"/>
      <c r="R25" s="33">
        <f>IF($T25=0,"",IF($AF25=1,"△ The log can't read this line",IF($W25=1,"△ Needs one owner, written as Name (Role)",IF($X25=1,"△ Look-again date missing, passed or too far ahead",IF($Y25=1,"△ No response",IF($Z25=1,"△ Closed without a date or a reason",IF($AA25=1,"△ Needs Provided by and Needed by, and Who answers as Name (Role)",IF($AB25=1,"△ Past its Needed by date","○ Clear"))))))))</f>
        <v/>
      </c>
      <c r="T25" s="34">
        <f>IF(COUNTA($A25:$Q25)&gt;0,1,0)</f>
        <v/>
      </c>
      <c r="U25" s="34">
        <f>IF(AND($T25=1,$J25&lt;&gt;"Closed"),1,0)</f>
        <v/>
      </c>
      <c r="V25" s="34">
        <f>IF(AND($U25=1,$Q25&lt;&gt;"Program workbook"),1,0)</f>
        <v/>
      </c>
      <c r="W25" s="34">
        <f>IF($V25=0,0,IF(OR(ISERROR(SEARCH(" (",$D25)),RIGHT(TRIM($D25),1)&lt;&gt;")",ISNUMBER(SEARCH(",",$AH25)),ISNUMBER(SEARCH("/",$AH25)),ISNUMBER(SEARCH(" and ",$AH25)),ISNUMBER(SEARCH("&amp;",$AH25))),1,0))</f>
        <v/>
      </c>
      <c r="X25" s="34">
        <f>IF($V25=0,0,IF(NOT(ISNUMBER($F25)),1,IF(OR($F25&lt;Summary!$K$4,$F25&gt;Summary!$K$4+Summary!$K$5,AND(ISNUMBER($P25),$F25&gt;$P25)),1,0)))</f>
        <v/>
      </c>
      <c r="Y25" s="34">
        <f>IF(AND($V25=1,OR($B25="Risk",$B25="Issue"),LEN(TRIM($I25))=0),1,0)</f>
        <v/>
      </c>
      <c r="Z25" s="34">
        <f>IF(AND($T25=1,$J25="Closed",OR(NOT(ISNUMBER($K25)),LEN(TRIM($L25))=0)),1,0)</f>
        <v/>
      </c>
      <c r="AA25" s="34">
        <f>IF(AND($U25=1,$B25="Dependency"),IF(OR(LEN(TRIM($N25))=0,NOT(ISNUMBER($P25)),NOT(AND(ISNUMBER(SEARCH(" (",$O25)),RIGHT(TRIM($O25),1)=")"))),1,0),0)</f>
        <v/>
      </c>
      <c r="AB25" s="34">
        <f>IF(AND($V25=1,$B25="Dependency",ISNUMBER($P25)),IF($P25&lt;Summary!$K$4,1,0),0)</f>
        <v/>
      </c>
      <c r="AC25" s="34">
        <f>IF($T25=0,0,IF(OR($A25="",COUNTIF($A$4:$A$153,$A25)&gt;1,ISERROR(MATCH($B25,{"Risk","Assumption","Issue","Dependency"},0))),1,IF(INDEX({"R","A","I","X"},MATCH($B25,{"Risk","Assumption","Issue","Dependency"},0))&lt;&gt;LEFT($A25,1),1,0)))</f>
        <v/>
      </c>
      <c r="AD25" s="34">
        <f>IF($T25=0,0,IF(OR(ISERROR(MATCH($J25,{"Raised","Responding","Closed"},0)),ISERROR(MATCH($G25,{"Low","Medium","High"},0)),AND(OR($B25="Risk",$B25="Assumption"),ISERROR(MATCH($H25,{"Low","Medium","High"},0))),AND($Q25&lt;&gt;"",$Q25&lt;&gt;"This log",$Q25&lt;&gt;"Program workbook"),AND($J25&lt;&gt;"Closed",OR($K25&lt;&gt;"",LEN(TRIM($L25))&gt;0))),1,0))</f>
        <v/>
      </c>
      <c r="AE25" s="34">
        <f>IF($T25=0,0,IF(OR(NOT(ISNUMBER($E25)),AND($F25&lt;&gt;"",NOT(ISNUMBER($F25))),AND($K25&lt;&gt;"",NOT(ISNUMBER($K25))),AND($P25&lt;&gt;"",NOT(ISNUMBER($P25)))),1,0))</f>
        <v/>
      </c>
      <c r="AF25" s="34">
        <f>MAX($AC25,$AD25,$AE25)</f>
        <v/>
      </c>
      <c r="AG25" s="34">
        <f>IF($T25=0,0,IFERROR(--MID(TRIM($A25),2,9),0))</f>
        <v/>
      </c>
      <c r="AH25" s="22">
        <f>IFERROR(LEFT(TRIM($D25),SEARCH(" (",TRIM($D25))-1),TRIM($D25))</f>
        <v/>
      </c>
      <c r="AI25" s="34">
        <f>IF(AND($T25=1,$J25="Closed",$G25="High",ISNUMBER($K25)),IF($K25&gt;=Summary!$K$6,1,0),0)</f>
        <v/>
      </c>
      <c r="AJ25" s="34">
        <f>IF($AI25=1,SUM($AI$4:$AI25),0)</f>
        <v/>
      </c>
    </row>
    <row r="26" ht="18" customHeight="1">
      <c r="A26" s="30" t="n"/>
      <c r="B26" s="30" t="n"/>
      <c r="C26" s="31" t="n"/>
      <c r="D26" s="31" t="n"/>
      <c r="E26" s="32" t="n"/>
      <c r="F26" s="32" t="n"/>
      <c r="G26" s="30" t="n"/>
      <c r="H26" s="30" t="n"/>
      <c r="I26" s="31" t="n"/>
      <c r="J26" s="30" t="n"/>
      <c r="K26" s="32" t="n"/>
      <c r="L26" s="31" t="n"/>
      <c r="M26" s="30" t="n"/>
      <c r="N26" s="31" t="n"/>
      <c r="O26" s="31" t="n"/>
      <c r="P26" s="32" t="n"/>
      <c r="Q26" s="30" t="n"/>
      <c r="R26" s="33">
        <f>IF($T26=0,"",IF($AF26=1,"△ The log can't read this line",IF($W26=1,"△ Needs one owner, written as Name (Role)",IF($X26=1,"△ Look-again date missing, passed or too far ahead",IF($Y26=1,"△ No response",IF($Z26=1,"△ Closed without a date or a reason",IF($AA26=1,"△ Needs Provided by and Needed by, and Who answers as Name (Role)",IF($AB26=1,"△ Past its Needed by date","○ Clear"))))))))</f>
        <v/>
      </c>
      <c r="T26" s="34">
        <f>IF(COUNTA($A26:$Q26)&gt;0,1,0)</f>
        <v/>
      </c>
      <c r="U26" s="34">
        <f>IF(AND($T26=1,$J26&lt;&gt;"Closed"),1,0)</f>
        <v/>
      </c>
      <c r="V26" s="34">
        <f>IF(AND($U26=1,$Q26&lt;&gt;"Program workbook"),1,0)</f>
        <v/>
      </c>
      <c r="W26" s="34">
        <f>IF($V26=0,0,IF(OR(ISERROR(SEARCH(" (",$D26)),RIGHT(TRIM($D26),1)&lt;&gt;")",ISNUMBER(SEARCH(",",$AH26)),ISNUMBER(SEARCH("/",$AH26)),ISNUMBER(SEARCH(" and ",$AH26)),ISNUMBER(SEARCH("&amp;",$AH26))),1,0))</f>
        <v/>
      </c>
      <c r="X26" s="34">
        <f>IF($V26=0,0,IF(NOT(ISNUMBER($F26)),1,IF(OR($F26&lt;Summary!$K$4,$F26&gt;Summary!$K$4+Summary!$K$5,AND(ISNUMBER($P26),$F26&gt;$P26)),1,0)))</f>
        <v/>
      </c>
      <c r="Y26" s="34">
        <f>IF(AND($V26=1,OR($B26="Risk",$B26="Issue"),LEN(TRIM($I26))=0),1,0)</f>
        <v/>
      </c>
      <c r="Z26" s="34">
        <f>IF(AND($T26=1,$J26="Closed",OR(NOT(ISNUMBER($K26)),LEN(TRIM($L26))=0)),1,0)</f>
        <v/>
      </c>
      <c r="AA26" s="34">
        <f>IF(AND($U26=1,$B26="Dependency"),IF(OR(LEN(TRIM($N26))=0,NOT(ISNUMBER($P26)),NOT(AND(ISNUMBER(SEARCH(" (",$O26)),RIGHT(TRIM($O26),1)=")"))),1,0),0)</f>
        <v/>
      </c>
      <c r="AB26" s="34">
        <f>IF(AND($V26=1,$B26="Dependency",ISNUMBER($P26)),IF($P26&lt;Summary!$K$4,1,0),0)</f>
        <v/>
      </c>
      <c r="AC26" s="34">
        <f>IF($T26=0,0,IF(OR($A26="",COUNTIF($A$4:$A$153,$A26)&gt;1,ISERROR(MATCH($B26,{"Risk","Assumption","Issue","Dependency"},0))),1,IF(INDEX({"R","A","I","X"},MATCH($B26,{"Risk","Assumption","Issue","Dependency"},0))&lt;&gt;LEFT($A26,1),1,0)))</f>
        <v/>
      </c>
      <c r="AD26" s="34">
        <f>IF($T26=0,0,IF(OR(ISERROR(MATCH($J26,{"Raised","Responding","Closed"},0)),ISERROR(MATCH($G26,{"Low","Medium","High"},0)),AND(OR($B26="Risk",$B26="Assumption"),ISERROR(MATCH($H26,{"Low","Medium","High"},0))),AND($Q26&lt;&gt;"",$Q26&lt;&gt;"This log",$Q26&lt;&gt;"Program workbook"),AND($J26&lt;&gt;"Closed",OR($K26&lt;&gt;"",LEN(TRIM($L26))&gt;0))),1,0))</f>
        <v/>
      </c>
      <c r="AE26" s="34">
        <f>IF($T26=0,0,IF(OR(NOT(ISNUMBER($E26)),AND($F26&lt;&gt;"",NOT(ISNUMBER($F26))),AND($K26&lt;&gt;"",NOT(ISNUMBER($K26))),AND($P26&lt;&gt;"",NOT(ISNUMBER($P26)))),1,0))</f>
        <v/>
      </c>
      <c r="AF26" s="34">
        <f>MAX($AC26,$AD26,$AE26)</f>
        <v/>
      </c>
      <c r="AG26" s="34">
        <f>IF($T26=0,0,IFERROR(--MID(TRIM($A26),2,9),0))</f>
        <v/>
      </c>
      <c r="AH26" s="22">
        <f>IFERROR(LEFT(TRIM($D26),SEARCH(" (",TRIM($D26))-1),TRIM($D26))</f>
        <v/>
      </c>
      <c r="AI26" s="34">
        <f>IF(AND($T26=1,$J26="Closed",$G26="High",ISNUMBER($K26)),IF($K26&gt;=Summary!$K$6,1,0),0)</f>
        <v/>
      </c>
      <c r="AJ26" s="34">
        <f>IF($AI26=1,SUM($AI$4:$AI26),0)</f>
        <v/>
      </c>
    </row>
    <row r="27" ht="18" customHeight="1">
      <c r="A27" s="30" t="n"/>
      <c r="B27" s="30" t="n"/>
      <c r="C27" s="31" t="n"/>
      <c r="D27" s="31" t="n"/>
      <c r="E27" s="32" t="n"/>
      <c r="F27" s="32" t="n"/>
      <c r="G27" s="30" t="n"/>
      <c r="H27" s="30" t="n"/>
      <c r="I27" s="31" t="n"/>
      <c r="J27" s="30" t="n"/>
      <c r="K27" s="32" t="n"/>
      <c r="L27" s="31" t="n"/>
      <c r="M27" s="30" t="n"/>
      <c r="N27" s="31" t="n"/>
      <c r="O27" s="31" t="n"/>
      <c r="P27" s="32" t="n"/>
      <c r="Q27" s="30" t="n"/>
      <c r="R27" s="33">
        <f>IF($T27=0,"",IF($AF27=1,"△ The log can't read this line",IF($W27=1,"△ Needs one owner, written as Name (Role)",IF($X27=1,"△ Look-again date missing, passed or too far ahead",IF($Y27=1,"△ No response",IF($Z27=1,"△ Closed without a date or a reason",IF($AA27=1,"△ Needs Provided by and Needed by, and Who answers as Name (Role)",IF($AB27=1,"△ Past its Needed by date","○ Clear"))))))))</f>
        <v/>
      </c>
      <c r="T27" s="34">
        <f>IF(COUNTA($A27:$Q27)&gt;0,1,0)</f>
        <v/>
      </c>
      <c r="U27" s="34">
        <f>IF(AND($T27=1,$J27&lt;&gt;"Closed"),1,0)</f>
        <v/>
      </c>
      <c r="V27" s="34">
        <f>IF(AND($U27=1,$Q27&lt;&gt;"Program workbook"),1,0)</f>
        <v/>
      </c>
      <c r="W27" s="34">
        <f>IF($V27=0,0,IF(OR(ISERROR(SEARCH(" (",$D27)),RIGHT(TRIM($D27),1)&lt;&gt;")",ISNUMBER(SEARCH(",",$AH27)),ISNUMBER(SEARCH("/",$AH27)),ISNUMBER(SEARCH(" and ",$AH27)),ISNUMBER(SEARCH("&amp;",$AH27))),1,0))</f>
        <v/>
      </c>
      <c r="X27" s="34">
        <f>IF($V27=0,0,IF(NOT(ISNUMBER($F27)),1,IF(OR($F27&lt;Summary!$K$4,$F27&gt;Summary!$K$4+Summary!$K$5,AND(ISNUMBER($P27),$F27&gt;$P27)),1,0)))</f>
        <v/>
      </c>
      <c r="Y27" s="34">
        <f>IF(AND($V27=1,OR($B27="Risk",$B27="Issue"),LEN(TRIM($I27))=0),1,0)</f>
        <v/>
      </c>
      <c r="Z27" s="34">
        <f>IF(AND($T27=1,$J27="Closed",OR(NOT(ISNUMBER($K27)),LEN(TRIM($L27))=0)),1,0)</f>
        <v/>
      </c>
      <c r="AA27" s="34">
        <f>IF(AND($U27=1,$B27="Dependency"),IF(OR(LEN(TRIM($N27))=0,NOT(ISNUMBER($P27)),NOT(AND(ISNUMBER(SEARCH(" (",$O27)),RIGHT(TRIM($O27),1)=")"))),1,0),0)</f>
        <v/>
      </c>
      <c r="AB27" s="34">
        <f>IF(AND($V27=1,$B27="Dependency",ISNUMBER($P27)),IF($P27&lt;Summary!$K$4,1,0),0)</f>
        <v/>
      </c>
      <c r="AC27" s="34">
        <f>IF($T27=0,0,IF(OR($A27="",COUNTIF($A$4:$A$153,$A27)&gt;1,ISERROR(MATCH($B27,{"Risk","Assumption","Issue","Dependency"},0))),1,IF(INDEX({"R","A","I","X"},MATCH($B27,{"Risk","Assumption","Issue","Dependency"},0))&lt;&gt;LEFT($A27,1),1,0)))</f>
        <v/>
      </c>
      <c r="AD27" s="34">
        <f>IF($T27=0,0,IF(OR(ISERROR(MATCH($J27,{"Raised","Responding","Closed"},0)),ISERROR(MATCH($G27,{"Low","Medium","High"},0)),AND(OR($B27="Risk",$B27="Assumption"),ISERROR(MATCH($H27,{"Low","Medium","High"},0))),AND($Q27&lt;&gt;"",$Q27&lt;&gt;"This log",$Q27&lt;&gt;"Program workbook"),AND($J27&lt;&gt;"Closed",OR($K27&lt;&gt;"",LEN(TRIM($L27))&gt;0))),1,0))</f>
        <v/>
      </c>
      <c r="AE27" s="34">
        <f>IF($T27=0,0,IF(OR(NOT(ISNUMBER($E27)),AND($F27&lt;&gt;"",NOT(ISNUMBER($F27))),AND($K27&lt;&gt;"",NOT(ISNUMBER($K27))),AND($P27&lt;&gt;"",NOT(ISNUMBER($P27)))),1,0))</f>
        <v/>
      </c>
      <c r="AF27" s="34">
        <f>MAX($AC27,$AD27,$AE27)</f>
        <v/>
      </c>
      <c r="AG27" s="34">
        <f>IF($T27=0,0,IFERROR(--MID(TRIM($A27),2,9),0))</f>
        <v/>
      </c>
      <c r="AH27" s="22">
        <f>IFERROR(LEFT(TRIM($D27),SEARCH(" (",TRIM($D27))-1),TRIM($D27))</f>
        <v/>
      </c>
      <c r="AI27" s="34">
        <f>IF(AND($T27=1,$J27="Closed",$G27="High",ISNUMBER($K27)),IF($K27&gt;=Summary!$K$6,1,0),0)</f>
        <v/>
      </c>
      <c r="AJ27" s="34">
        <f>IF($AI27=1,SUM($AI$4:$AI27),0)</f>
        <v/>
      </c>
    </row>
    <row r="28" ht="18" customHeight="1">
      <c r="A28" s="30" t="n"/>
      <c r="B28" s="30" t="n"/>
      <c r="C28" s="31" t="n"/>
      <c r="D28" s="31" t="n"/>
      <c r="E28" s="32" t="n"/>
      <c r="F28" s="32" t="n"/>
      <c r="G28" s="30" t="n"/>
      <c r="H28" s="30" t="n"/>
      <c r="I28" s="31" t="n"/>
      <c r="J28" s="30" t="n"/>
      <c r="K28" s="32" t="n"/>
      <c r="L28" s="31" t="n"/>
      <c r="M28" s="30" t="n"/>
      <c r="N28" s="31" t="n"/>
      <c r="O28" s="31" t="n"/>
      <c r="P28" s="32" t="n"/>
      <c r="Q28" s="30" t="n"/>
      <c r="R28" s="33">
        <f>IF($T28=0,"",IF($AF28=1,"△ The log can't read this line",IF($W28=1,"△ Needs one owner, written as Name (Role)",IF($X28=1,"△ Look-again date missing, passed or too far ahead",IF($Y28=1,"△ No response",IF($Z28=1,"△ Closed without a date or a reason",IF($AA28=1,"△ Needs Provided by and Needed by, and Who answers as Name (Role)",IF($AB28=1,"△ Past its Needed by date","○ Clear"))))))))</f>
        <v/>
      </c>
      <c r="T28" s="34">
        <f>IF(COUNTA($A28:$Q28)&gt;0,1,0)</f>
        <v/>
      </c>
      <c r="U28" s="34">
        <f>IF(AND($T28=1,$J28&lt;&gt;"Closed"),1,0)</f>
        <v/>
      </c>
      <c r="V28" s="34">
        <f>IF(AND($U28=1,$Q28&lt;&gt;"Program workbook"),1,0)</f>
        <v/>
      </c>
      <c r="W28" s="34">
        <f>IF($V28=0,0,IF(OR(ISERROR(SEARCH(" (",$D28)),RIGHT(TRIM($D28),1)&lt;&gt;")",ISNUMBER(SEARCH(",",$AH28)),ISNUMBER(SEARCH("/",$AH28)),ISNUMBER(SEARCH(" and ",$AH28)),ISNUMBER(SEARCH("&amp;",$AH28))),1,0))</f>
        <v/>
      </c>
      <c r="X28" s="34">
        <f>IF($V28=0,0,IF(NOT(ISNUMBER($F28)),1,IF(OR($F28&lt;Summary!$K$4,$F28&gt;Summary!$K$4+Summary!$K$5,AND(ISNUMBER($P28),$F28&gt;$P28)),1,0)))</f>
        <v/>
      </c>
      <c r="Y28" s="34">
        <f>IF(AND($V28=1,OR($B28="Risk",$B28="Issue"),LEN(TRIM($I28))=0),1,0)</f>
        <v/>
      </c>
      <c r="Z28" s="34">
        <f>IF(AND($T28=1,$J28="Closed",OR(NOT(ISNUMBER($K28)),LEN(TRIM($L28))=0)),1,0)</f>
        <v/>
      </c>
      <c r="AA28" s="34">
        <f>IF(AND($U28=1,$B28="Dependency"),IF(OR(LEN(TRIM($N28))=0,NOT(ISNUMBER($P28)),NOT(AND(ISNUMBER(SEARCH(" (",$O28)),RIGHT(TRIM($O28),1)=")"))),1,0),0)</f>
        <v/>
      </c>
      <c r="AB28" s="34">
        <f>IF(AND($V28=1,$B28="Dependency",ISNUMBER($P28)),IF($P28&lt;Summary!$K$4,1,0),0)</f>
        <v/>
      </c>
      <c r="AC28" s="34">
        <f>IF($T28=0,0,IF(OR($A28="",COUNTIF($A$4:$A$153,$A28)&gt;1,ISERROR(MATCH($B28,{"Risk","Assumption","Issue","Dependency"},0))),1,IF(INDEX({"R","A","I","X"},MATCH($B28,{"Risk","Assumption","Issue","Dependency"},0))&lt;&gt;LEFT($A28,1),1,0)))</f>
        <v/>
      </c>
      <c r="AD28" s="34">
        <f>IF($T28=0,0,IF(OR(ISERROR(MATCH($J28,{"Raised","Responding","Closed"},0)),ISERROR(MATCH($G28,{"Low","Medium","High"},0)),AND(OR($B28="Risk",$B28="Assumption"),ISERROR(MATCH($H28,{"Low","Medium","High"},0))),AND($Q28&lt;&gt;"",$Q28&lt;&gt;"This log",$Q28&lt;&gt;"Program workbook"),AND($J28&lt;&gt;"Closed",OR($K28&lt;&gt;"",LEN(TRIM($L28))&gt;0))),1,0))</f>
        <v/>
      </c>
      <c r="AE28" s="34">
        <f>IF($T28=0,0,IF(OR(NOT(ISNUMBER($E28)),AND($F28&lt;&gt;"",NOT(ISNUMBER($F28))),AND($K28&lt;&gt;"",NOT(ISNUMBER($K28))),AND($P28&lt;&gt;"",NOT(ISNUMBER($P28)))),1,0))</f>
        <v/>
      </c>
      <c r="AF28" s="34">
        <f>MAX($AC28,$AD28,$AE28)</f>
        <v/>
      </c>
      <c r="AG28" s="34">
        <f>IF($T28=0,0,IFERROR(--MID(TRIM($A28),2,9),0))</f>
        <v/>
      </c>
      <c r="AH28" s="22">
        <f>IFERROR(LEFT(TRIM($D28),SEARCH(" (",TRIM($D28))-1),TRIM($D28))</f>
        <v/>
      </c>
      <c r="AI28" s="34">
        <f>IF(AND($T28=1,$J28="Closed",$G28="High",ISNUMBER($K28)),IF($K28&gt;=Summary!$K$6,1,0),0)</f>
        <v/>
      </c>
      <c r="AJ28" s="34">
        <f>IF($AI28=1,SUM($AI$4:$AI28),0)</f>
        <v/>
      </c>
    </row>
    <row r="29" ht="18" customHeight="1">
      <c r="A29" s="30" t="n"/>
      <c r="B29" s="30" t="n"/>
      <c r="C29" s="31" t="n"/>
      <c r="D29" s="31" t="n"/>
      <c r="E29" s="32" t="n"/>
      <c r="F29" s="32" t="n"/>
      <c r="G29" s="30" t="n"/>
      <c r="H29" s="30" t="n"/>
      <c r="I29" s="31" t="n"/>
      <c r="J29" s="30" t="n"/>
      <c r="K29" s="32" t="n"/>
      <c r="L29" s="31" t="n"/>
      <c r="M29" s="30" t="n"/>
      <c r="N29" s="31" t="n"/>
      <c r="O29" s="31" t="n"/>
      <c r="P29" s="32" t="n"/>
      <c r="Q29" s="30" t="n"/>
      <c r="R29" s="33">
        <f>IF($T29=0,"",IF($AF29=1,"△ The log can't read this line",IF($W29=1,"△ Needs one owner, written as Name (Role)",IF($X29=1,"△ Look-again date missing, passed or too far ahead",IF($Y29=1,"△ No response",IF($Z29=1,"△ Closed without a date or a reason",IF($AA29=1,"△ Needs Provided by and Needed by, and Who answers as Name (Role)",IF($AB29=1,"△ Past its Needed by date","○ Clear"))))))))</f>
        <v/>
      </c>
      <c r="T29" s="34">
        <f>IF(COUNTA($A29:$Q29)&gt;0,1,0)</f>
        <v/>
      </c>
      <c r="U29" s="34">
        <f>IF(AND($T29=1,$J29&lt;&gt;"Closed"),1,0)</f>
        <v/>
      </c>
      <c r="V29" s="34">
        <f>IF(AND($U29=1,$Q29&lt;&gt;"Program workbook"),1,0)</f>
        <v/>
      </c>
      <c r="W29" s="34">
        <f>IF($V29=0,0,IF(OR(ISERROR(SEARCH(" (",$D29)),RIGHT(TRIM($D29),1)&lt;&gt;")",ISNUMBER(SEARCH(",",$AH29)),ISNUMBER(SEARCH("/",$AH29)),ISNUMBER(SEARCH(" and ",$AH29)),ISNUMBER(SEARCH("&amp;",$AH29))),1,0))</f>
        <v/>
      </c>
      <c r="X29" s="34">
        <f>IF($V29=0,0,IF(NOT(ISNUMBER($F29)),1,IF(OR($F29&lt;Summary!$K$4,$F29&gt;Summary!$K$4+Summary!$K$5,AND(ISNUMBER($P29),$F29&gt;$P29)),1,0)))</f>
        <v/>
      </c>
      <c r="Y29" s="34">
        <f>IF(AND($V29=1,OR($B29="Risk",$B29="Issue"),LEN(TRIM($I29))=0),1,0)</f>
        <v/>
      </c>
      <c r="Z29" s="34">
        <f>IF(AND($T29=1,$J29="Closed",OR(NOT(ISNUMBER($K29)),LEN(TRIM($L29))=0)),1,0)</f>
        <v/>
      </c>
      <c r="AA29" s="34">
        <f>IF(AND($U29=1,$B29="Dependency"),IF(OR(LEN(TRIM($N29))=0,NOT(ISNUMBER($P29)),NOT(AND(ISNUMBER(SEARCH(" (",$O29)),RIGHT(TRIM($O29),1)=")"))),1,0),0)</f>
        <v/>
      </c>
      <c r="AB29" s="34">
        <f>IF(AND($V29=1,$B29="Dependency",ISNUMBER($P29)),IF($P29&lt;Summary!$K$4,1,0),0)</f>
        <v/>
      </c>
      <c r="AC29" s="34">
        <f>IF($T29=0,0,IF(OR($A29="",COUNTIF($A$4:$A$153,$A29)&gt;1,ISERROR(MATCH($B29,{"Risk","Assumption","Issue","Dependency"},0))),1,IF(INDEX({"R","A","I","X"},MATCH($B29,{"Risk","Assumption","Issue","Dependency"},0))&lt;&gt;LEFT($A29,1),1,0)))</f>
        <v/>
      </c>
      <c r="AD29" s="34">
        <f>IF($T29=0,0,IF(OR(ISERROR(MATCH($J29,{"Raised","Responding","Closed"},0)),ISERROR(MATCH($G29,{"Low","Medium","High"},0)),AND(OR($B29="Risk",$B29="Assumption"),ISERROR(MATCH($H29,{"Low","Medium","High"},0))),AND($Q29&lt;&gt;"",$Q29&lt;&gt;"This log",$Q29&lt;&gt;"Program workbook"),AND($J29&lt;&gt;"Closed",OR($K29&lt;&gt;"",LEN(TRIM($L29))&gt;0))),1,0))</f>
        <v/>
      </c>
      <c r="AE29" s="34">
        <f>IF($T29=0,0,IF(OR(NOT(ISNUMBER($E29)),AND($F29&lt;&gt;"",NOT(ISNUMBER($F29))),AND($K29&lt;&gt;"",NOT(ISNUMBER($K29))),AND($P29&lt;&gt;"",NOT(ISNUMBER($P29)))),1,0))</f>
        <v/>
      </c>
      <c r="AF29" s="34">
        <f>MAX($AC29,$AD29,$AE29)</f>
        <v/>
      </c>
      <c r="AG29" s="34">
        <f>IF($T29=0,0,IFERROR(--MID(TRIM($A29),2,9),0))</f>
        <v/>
      </c>
      <c r="AH29" s="22">
        <f>IFERROR(LEFT(TRIM($D29),SEARCH(" (",TRIM($D29))-1),TRIM($D29))</f>
        <v/>
      </c>
      <c r="AI29" s="34">
        <f>IF(AND($T29=1,$J29="Closed",$G29="High",ISNUMBER($K29)),IF($K29&gt;=Summary!$K$6,1,0),0)</f>
        <v/>
      </c>
      <c r="AJ29" s="34">
        <f>IF($AI29=1,SUM($AI$4:$AI29),0)</f>
        <v/>
      </c>
    </row>
    <row r="30" ht="18" customHeight="1">
      <c r="A30" s="30" t="n"/>
      <c r="B30" s="30" t="n"/>
      <c r="C30" s="31" t="n"/>
      <c r="D30" s="31" t="n"/>
      <c r="E30" s="32" t="n"/>
      <c r="F30" s="32" t="n"/>
      <c r="G30" s="30" t="n"/>
      <c r="H30" s="30" t="n"/>
      <c r="I30" s="31" t="n"/>
      <c r="J30" s="30" t="n"/>
      <c r="K30" s="32" t="n"/>
      <c r="L30" s="31" t="n"/>
      <c r="M30" s="30" t="n"/>
      <c r="N30" s="31" t="n"/>
      <c r="O30" s="31" t="n"/>
      <c r="P30" s="32" t="n"/>
      <c r="Q30" s="30" t="n"/>
      <c r="R30" s="33">
        <f>IF($T30=0,"",IF($AF30=1,"△ The log can't read this line",IF($W30=1,"△ Needs one owner, written as Name (Role)",IF($X30=1,"△ Look-again date missing, passed or too far ahead",IF($Y30=1,"△ No response",IF($Z30=1,"△ Closed without a date or a reason",IF($AA30=1,"△ Needs Provided by and Needed by, and Who answers as Name (Role)",IF($AB30=1,"△ Past its Needed by date","○ Clear"))))))))</f>
        <v/>
      </c>
      <c r="T30" s="34">
        <f>IF(COUNTA($A30:$Q30)&gt;0,1,0)</f>
        <v/>
      </c>
      <c r="U30" s="34">
        <f>IF(AND($T30=1,$J30&lt;&gt;"Closed"),1,0)</f>
        <v/>
      </c>
      <c r="V30" s="34">
        <f>IF(AND($U30=1,$Q30&lt;&gt;"Program workbook"),1,0)</f>
        <v/>
      </c>
      <c r="W30" s="34">
        <f>IF($V30=0,0,IF(OR(ISERROR(SEARCH(" (",$D30)),RIGHT(TRIM($D30),1)&lt;&gt;")",ISNUMBER(SEARCH(",",$AH30)),ISNUMBER(SEARCH("/",$AH30)),ISNUMBER(SEARCH(" and ",$AH30)),ISNUMBER(SEARCH("&amp;",$AH30))),1,0))</f>
        <v/>
      </c>
      <c r="X30" s="34">
        <f>IF($V30=0,0,IF(NOT(ISNUMBER($F30)),1,IF(OR($F30&lt;Summary!$K$4,$F30&gt;Summary!$K$4+Summary!$K$5,AND(ISNUMBER($P30),$F30&gt;$P30)),1,0)))</f>
        <v/>
      </c>
      <c r="Y30" s="34">
        <f>IF(AND($V30=1,OR($B30="Risk",$B30="Issue"),LEN(TRIM($I30))=0),1,0)</f>
        <v/>
      </c>
      <c r="Z30" s="34">
        <f>IF(AND($T30=1,$J30="Closed",OR(NOT(ISNUMBER($K30)),LEN(TRIM($L30))=0)),1,0)</f>
        <v/>
      </c>
      <c r="AA30" s="34">
        <f>IF(AND($U30=1,$B30="Dependency"),IF(OR(LEN(TRIM($N30))=0,NOT(ISNUMBER($P30)),NOT(AND(ISNUMBER(SEARCH(" (",$O30)),RIGHT(TRIM($O30),1)=")"))),1,0),0)</f>
        <v/>
      </c>
      <c r="AB30" s="34">
        <f>IF(AND($V30=1,$B30="Dependency",ISNUMBER($P30)),IF($P30&lt;Summary!$K$4,1,0),0)</f>
        <v/>
      </c>
      <c r="AC30" s="34">
        <f>IF($T30=0,0,IF(OR($A30="",COUNTIF($A$4:$A$153,$A30)&gt;1,ISERROR(MATCH($B30,{"Risk","Assumption","Issue","Dependency"},0))),1,IF(INDEX({"R","A","I","X"},MATCH($B30,{"Risk","Assumption","Issue","Dependency"},0))&lt;&gt;LEFT($A30,1),1,0)))</f>
        <v/>
      </c>
      <c r="AD30" s="34">
        <f>IF($T30=0,0,IF(OR(ISERROR(MATCH($J30,{"Raised","Responding","Closed"},0)),ISERROR(MATCH($G30,{"Low","Medium","High"},0)),AND(OR($B30="Risk",$B30="Assumption"),ISERROR(MATCH($H30,{"Low","Medium","High"},0))),AND($Q30&lt;&gt;"",$Q30&lt;&gt;"This log",$Q30&lt;&gt;"Program workbook"),AND($J30&lt;&gt;"Closed",OR($K30&lt;&gt;"",LEN(TRIM($L30))&gt;0))),1,0))</f>
        <v/>
      </c>
      <c r="AE30" s="34">
        <f>IF($T30=0,0,IF(OR(NOT(ISNUMBER($E30)),AND($F30&lt;&gt;"",NOT(ISNUMBER($F30))),AND($K30&lt;&gt;"",NOT(ISNUMBER($K30))),AND($P30&lt;&gt;"",NOT(ISNUMBER($P30)))),1,0))</f>
        <v/>
      </c>
      <c r="AF30" s="34">
        <f>MAX($AC30,$AD30,$AE30)</f>
        <v/>
      </c>
      <c r="AG30" s="34">
        <f>IF($T30=0,0,IFERROR(--MID(TRIM($A30),2,9),0))</f>
        <v/>
      </c>
      <c r="AH30" s="22">
        <f>IFERROR(LEFT(TRIM($D30),SEARCH(" (",TRIM($D30))-1),TRIM($D30))</f>
        <v/>
      </c>
      <c r="AI30" s="34">
        <f>IF(AND($T30=1,$J30="Closed",$G30="High",ISNUMBER($K30)),IF($K30&gt;=Summary!$K$6,1,0),0)</f>
        <v/>
      </c>
      <c r="AJ30" s="34">
        <f>IF($AI30=1,SUM($AI$4:$AI30),0)</f>
        <v/>
      </c>
    </row>
    <row r="31" ht="18" customHeight="1">
      <c r="A31" s="30" t="n"/>
      <c r="B31" s="30" t="n"/>
      <c r="C31" s="31" t="n"/>
      <c r="D31" s="31" t="n"/>
      <c r="E31" s="32" t="n"/>
      <c r="F31" s="32" t="n"/>
      <c r="G31" s="30" t="n"/>
      <c r="H31" s="30" t="n"/>
      <c r="I31" s="31" t="n"/>
      <c r="J31" s="30" t="n"/>
      <c r="K31" s="32" t="n"/>
      <c r="L31" s="31" t="n"/>
      <c r="M31" s="30" t="n"/>
      <c r="N31" s="31" t="n"/>
      <c r="O31" s="31" t="n"/>
      <c r="P31" s="32" t="n"/>
      <c r="Q31" s="30" t="n"/>
      <c r="R31" s="33">
        <f>IF($T31=0,"",IF($AF31=1,"△ The log can't read this line",IF($W31=1,"△ Needs one owner, written as Name (Role)",IF($X31=1,"△ Look-again date missing, passed or too far ahead",IF($Y31=1,"△ No response",IF($Z31=1,"△ Closed without a date or a reason",IF($AA31=1,"△ Needs Provided by and Needed by, and Who answers as Name (Role)",IF($AB31=1,"△ Past its Needed by date","○ Clear"))))))))</f>
        <v/>
      </c>
      <c r="T31" s="34">
        <f>IF(COUNTA($A31:$Q31)&gt;0,1,0)</f>
        <v/>
      </c>
      <c r="U31" s="34">
        <f>IF(AND($T31=1,$J31&lt;&gt;"Closed"),1,0)</f>
        <v/>
      </c>
      <c r="V31" s="34">
        <f>IF(AND($U31=1,$Q31&lt;&gt;"Program workbook"),1,0)</f>
        <v/>
      </c>
      <c r="W31" s="34">
        <f>IF($V31=0,0,IF(OR(ISERROR(SEARCH(" (",$D31)),RIGHT(TRIM($D31),1)&lt;&gt;")",ISNUMBER(SEARCH(",",$AH31)),ISNUMBER(SEARCH("/",$AH31)),ISNUMBER(SEARCH(" and ",$AH31)),ISNUMBER(SEARCH("&amp;",$AH31))),1,0))</f>
        <v/>
      </c>
      <c r="X31" s="34">
        <f>IF($V31=0,0,IF(NOT(ISNUMBER($F31)),1,IF(OR($F31&lt;Summary!$K$4,$F31&gt;Summary!$K$4+Summary!$K$5,AND(ISNUMBER($P31),$F31&gt;$P31)),1,0)))</f>
        <v/>
      </c>
      <c r="Y31" s="34">
        <f>IF(AND($V31=1,OR($B31="Risk",$B31="Issue"),LEN(TRIM($I31))=0),1,0)</f>
        <v/>
      </c>
      <c r="Z31" s="34">
        <f>IF(AND($T31=1,$J31="Closed",OR(NOT(ISNUMBER($K31)),LEN(TRIM($L31))=0)),1,0)</f>
        <v/>
      </c>
      <c r="AA31" s="34">
        <f>IF(AND($U31=1,$B31="Dependency"),IF(OR(LEN(TRIM($N31))=0,NOT(ISNUMBER($P31)),NOT(AND(ISNUMBER(SEARCH(" (",$O31)),RIGHT(TRIM($O31),1)=")"))),1,0),0)</f>
        <v/>
      </c>
      <c r="AB31" s="34">
        <f>IF(AND($V31=1,$B31="Dependency",ISNUMBER($P31)),IF($P31&lt;Summary!$K$4,1,0),0)</f>
        <v/>
      </c>
      <c r="AC31" s="34">
        <f>IF($T31=0,0,IF(OR($A31="",COUNTIF($A$4:$A$153,$A31)&gt;1,ISERROR(MATCH($B31,{"Risk","Assumption","Issue","Dependency"},0))),1,IF(INDEX({"R","A","I","X"},MATCH($B31,{"Risk","Assumption","Issue","Dependency"},0))&lt;&gt;LEFT($A31,1),1,0)))</f>
        <v/>
      </c>
      <c r="AD31" s="34">
        <f>IF($T31=0,0,IF(OR(ISERROR(MATCH($J31,{"Raised","Responding","Closed"},0)),ISERROR(MATCH($G31,{"Low","Medium","High"},0)),AND(OR($B31="Risk",$B31="Assumption"),ISERROR(MATCH($H31,{"Low","Medium","High"},0))),AND($Q31&lt;&gt;"",$Q31&lt;&gt;"This log",$Q31&lt;&gt;"Program workbook"),AND($J31&lt;&gt;"Closed",OR($K31&lt;&gt;"",LEN(TRIM($L31))&gt;0))),1,0))</f>
        <v/>
      </c>
      <c r="AE31" s="34">
        <f>IF($T31=0,0,IF(OR(NOT(ISNUMBER($E31)),AND($F31&lt;&gt;"",NOT(ISNUMBER($F31))),AND($K31&lt;&gt;"",NOT(ISNUMBER($K31))),AND($P31&lt;&gt;"",NOT(ISNUMBER($P31)))),1,0))</f>
        <v/>
      </c>
      <c r="AF31" s="34">
        <f>MAX($AC31,$AD31,$AE31)</f>
        <v/>
      </c>
      <c r="AG31" s="34">
        <f>IF($T31=0,0,IFERROR(--MID(TRIM($A31),2,9),0))</f>
        <v/>
      </c>
      <c r="AH31" s="22">
        <f>IFERROR(LEFT(TRIM($D31),SEARCH(" (",TRIM($D31))-1),TRIM($D31))</f>
        <v/>
      </c>
      <c r="AI31" s="34">
        <f>IF(AND($T31=1,$J31="Closed",$G31="High",ISNUMBER($K31)),IF($K31&gt;=Summary!$K$6,1,0),0)</f>
        <v/>
      </c>
      <c r="AJ31" s="34">
        <f>IF($AI31=1,SUM($AI$4:$AI31),0)</f>
        <v/>
      </c>
    </row>
    <row r="32" ht="18" customHeight="1">
      <c r="A32" s="30" t="n"/>
      <c r="B32" s="30" t="n"/>
      <c r="C32" s="31" t="n"/>
      <c r="D32" s="31" t="n"/>
      <c r="E32" s="32" t="n"/>
      <c r="F32" s="32" t="n"/>
      <c r="G32" s="30" t="n"/>
      <c r="H32" s="30" t="n"/>
      <c r="I32" s="31" t="n"/>
      <c r="J32" s="30" t="n"/>
      <c r="K32" s="32" t="n"/>
      <c r="L32" s="31" t="n"/>
      <c r="M32" s="30" t="n"/>
      <c r="N32" s="31" t="n"/>
      <c r="O32" s="31" t="n"/>
      <c r="P32" s="32" t="n"/>
      <c r="Q32" s="30" t="n"/>
      <c r="R32" s="33">
        <f>IF($T32=0,"",IF($AF32=1,"△ The log can't read this line",IF($W32=1,"△ Needs one owner, written as Name (Role)",IF($X32=1,"△ Look-again date missing, passed or too far ahead",IF($Y32=1,"△ No response",IF($Z32=1,"△ Closed without a date or a reason",IF($AA32=1,"△ Needs Provided by and Needed by, and Who answers as Name (Role)",IF($AB32=1,"△ Past its Needed by date","○ Clear"))))))))</f>
        <v/>
      </c>
      <c r="T32" s="34">
        <f>IF(COUNTA($A32:$Q32)&gt;0,1,0)</f>
        <v/>
      </c>
      <c r="U32" s="34">
        <f>IF(AND($T32=1,$J32&lt;&gt;"Closed"),1,0)</f>
        <v/>
      </c>
      <c r="V32" s="34">
        <f>IF(AND($U32=1,$Q32&lt;&gt;"Program workbook"),1,0)</f>
        <v/>
      </c>
      <c r="W32" s="34">
        <f>IF($V32=0,0,IF(OR(ISERROR(SEARCH(" (",$D32)),RIGHT(TRIM($D32),1)&lt;&gt;")",ISNUMBER(SEARCH(",",$AH32)),ISNUMBER(SEARCH("/",$AH32)),ISNUMBER(SEARCH(" and ",$AH32)),ISNUMBER(SEARCH("&amp;",$AH32))),1,0))</f>
        <v/>
      </c>
      <c r="X32" s="34">
        <f>IF($V32=0,0,IF(NOT(ISNUMBER($F32)),1,IF(OR($F32&lt;Summary!$K$4,$F32&gt;Summary!$K$4+Summary!$K$5,AND(ISNUMBER($P32),$F32&gt;$P32)),1,0)))</f>
        <v/>
      </c>
      <c r="Y32" s="34">
        <f>IF(AND($V32=1,OR($B32="Risk",$B32="Issue"),LEN(TRIM($I32))=0),1,0)</f>
        <v/>
      </c>
      <c r="Z32" s="34">
        <f>IF(AND($T32=1,$J32="Closed",OR(NOT(ISNUMBER($K32)),LEN(TRIM($L32))=0)),1,0)</f>
        <v/>
      </c>
      <c r="AA32" s="34">
        <f>IF(AND($U32=1,$B32="Dependency"),IF(OR(LEN(TRIM($N32))=0,NOT(ISNUMBER($P32)),NOT(AND(ISNUMBER(SEARCH(" (",$O32)),RIGHT(TRIM($O32),1)=")"))),1,0),0)</f>
        <v/>
      </c>
      <c r="AB32" s="34">
        <f>IF(AND($V32=1,$B32="Dependency",ISNUMBER($P32)),IF($P32&lt;Summary!$K$4,1,0),0)</f>
        <v/>
      </c>
      <c r="AC32" s="34">
        <f>IF($T32=0,0,IF(OR($A32="",COUNTIF($A$4:$A$153,$A32)&gt;1,ISERROR(MATCH($B32,{"Risk","Assumption","Issue","Dependency"},0))),1,IF(INDEX({"R","A","I","X"},MATCH($B32,{"Risk","Assumption","Issue","Dependency"},0))&lt;&gt;LEFT($A32,1),1,0)))</f>
        <v/>
      </c>
      <c r="AD32" s="34">
        <f>IF($T32=0,0,IF(OR(ISERROR(MATCH($J32,{"Raised","Responding","Closed"},0)),ISERROR(MATCH($G32,{"Low","Medium","High"},0)),AND(OR($B32="Risk",$B32="Assumption"),ISERROR(MATCH($H32,{"Low","Medium","High"},0))),AND($Q32&lt;&gt;"",$Q32&lt;&gt;"This log",$Q32&lt;&gt;"Program workbook"),AND($J32&lt;&gt;"Closed",OR($K32&lt;&gt;"",LEN(TRIM($L32))&gt;0))),1,0))</f>
        <v/>
      </c>
      <c r="AE32" s="34">
        <f>IF($T32=0,0,IF(OR(NOT(ISNUMBER($E32)),AND($F32&lt;&gt;"",NOT(ISNUMBER($F32))),AND($K32&lt;&gt;"",NOT(ISNUMBER($K32))),AND($P32&lt;&gt;"",NOT(ISNUMBER($P32)))),1,0))</f>
        <v/>
      </c>
      <c r="AF32" s="34">
        <f>MAX($AC32,$AD32,$AE32)</f>
        <v/>
      </c>
      <c r="AG32" s="34">
        <f>IF($T32=0,0,IFERROR(--MID(TRIM($A32),2,9),0))</f>
        <v/>
      </c>
      <c r="AH32" s="22">
        <f>IFERROR(LEFT(TRIM($D32),SEARCH(" (",TRIM($D32))-1),TRIM($D32))</f>
        <v/>
      </c>
      <c r="AI32" s="34">
        <f>IF(AND($T32=1,$J32="Closed",$G32="High",ISNUMBER($K32)),IF($K32&gt;=Summary!$K$6,1,0),0)</f>
        <v/>
      </c>
      <c r="AJ32" s="34">
        <f>IF($AI32=1,SUM($AI$4:$AI32),0)</f>
        <v/>
      </c>
    </row>
    <row r="33" ht="18" customHeight="1">
      <c r="A33" s="30" t="n"/>
      <c r="B33" s="30" t="n"/>
      <c r="C33" s="31" t="n"/>
      <c r="D33" s="31" t="n"/>
      <c r="E33" s="32" t="n"/>
      <c r="F33" s="32" t="n"/>
      <c r="G33" s="30" t="n"/>
      <c r="H33" s="30" t="n"/>
      <c r="I33" s="31" t="n"/>
      <c r="J33" s="30" t="n"/>
      <c r="K33" s="32" t="n"/>
      <c r="L33" s="31" t="n"/>
      <c r="M33" s="30" t="n"/>
      <c r="N33" s="31" t="n"/>
      <c r="O33" s="31" t="n"/>
      <c r="P33" s="32" t="n"/>
      <c r="Q33" s="30" t="n"/>
      <c r="R33" s="33">
        <f>IF($T33=0,"",IF($AF33=1,"△ The log can't read this line",IF($W33=1,"△ Needs one owner, written as Name (Role)",IF($X33=1,"△ Look-again date missing, passed or too far ahead",IF($Y33=1,"△ No response",IF($Z33=1,"△ Closed without a date or a reason",IF($AA33=1,"△ Needs Provided by and Needed by, and Who answers as Name (Role)",IF($AB33=1,"△ Past its Needed by date","○ Clear"))))))))</f>
        <v/>
      </c>
      <c r="T33" s="34">
        <f>IF(COUNTA($A33:$Q33)&gt;0,1,0)</f>
        <v/>
      </c>
      <c r="U33" s="34">
        <f>IF(AND($T33=1,$J33&lt;&gt;"Closed"),1,0)</f>
        <v/>
      </c>
      <c r="V33" s="34">
        <f>IF(AND($U33=1,$Q33&lt;&gt;"Program workbook"),1,0)</f>
        <v/>
      </c>
      <c r="W33" s="34">
        <f>IF($V33=0,0,IF(OR(ISERROR(SEARCH(" (",$D33)),RIGHT(TRIM($D33),1)&lt;&gt;")",ISNUMBER(SEARCH(",",$AH33)),ISNUMBER(SEARCH("/",$AH33)),ISNUMBER(SEARCH(" and ",$AH33)),ISNUMBER(SEARCH("&amp;",$AH33))),1,0))</f>
        <v/>
      </c>
      <c r="X33" s="34">
        <f>IF($V33=0,0,IF(NOT(ISNUMBER($F33)),1,IF(OR($F33&lt;Summary!$K$4,$F33&gt;Summary!$K$4+Summary!$K$5,AND(ISNUMBER($P33),$F33&gt;$P33)),1,0)))</f>
        <v/>
      </c>
      <c r="Y33" s="34">
        <f>IF(AND($V33=1,OR($B33="Risk",$B33="Issue"),LEN(TRIM($I33))=0),1,0)</f>
        <v/>
      </c>
      <c r="Z33" s="34">
        <f>IF(AND($T33=1,$J33="Closed",OR(NOT(ISNUMBER($K33)),LEN(TRIM($L33))=0)),1,0)</f>
        <v/>
      </c>
      <c r="AA33" s="34">
        <f>IF(AND($U33=1,$B33="Dependency"),IF(OR(LEN(TRIM($N33))=0,NOT(ISNUMBER($P33)),NOT(AND(ISNUMBER(SEARCH(" (",$O33)),RIGHT(TRIM($O33),1)=")"))),1,0),0)</f>
        <v/>
      </c>
      <c r="AB33" s="34">
        <f>IF(AND($V33=1,$B33="Dependency",ISNUMBER($P33)),IF($P33&lt;Summary!$K$4,1,0),0)</f>
        <v/>
      </c>
      <c r="AC33" s="34">
        <f>IF($T33=0,0,IF(OR($A33="",COUNTIF($A$4:$A$153,$A33)&gt;1,ISERROR(MATCH($B33,{"Risk","Assumption","Issue","Dependency"},0))),1,IF(INDEX({"R","A","I","X"},MATCH($B33,{"Risk","Assumption","Issue","Dependency"},0))&lt;&gt;LEFT($A33,1),1,0)))</f>
        <v/>
      </c>
      <c r="AD33" s="34">
        <f>IF($T33=0,0,IF(OR(ISERROR(MATCH($J33,{"Raised","Responding","Closed"},0)),ISERROR(MATCH($G33,{"Low","Medium","High"},0)),AND(OR($B33="Risk",$B33="Assumption"),ISERROR(MATCH($H33,{"Low","Medium","High"},0))),AND($Q33&lt;&gt;"",$Q33&lt;&gt;"This log",$Q33&lt;&gt;"Program workbook"),AND($J33&lt;&gt;"Closed",OR($K33&lt;&gt;"",LEN(TRIM($L33))&gt;0))),1,0))</f>
        <v/>
      </c>
      <c r="AE33" s="34">
        <f>IF($T33=0,0,IF(OR(NOT(ISNUMBER($E33)),AND($F33&lt;&gt;"",NOT(ISNUMBER($F33))),AND($K33&lt;&gt;"",NOT(ISNUMBER($K33))),AND($P33&lt;&gt;"",NOT(ISNUMBER($P33)))),1,0))</f>
        <v/>
      </c>
      <c r="AF33" s="34">
        <f>MAX($AC33,$AD33,$AE33)</f>
        <v/>
      </c>
      <c r="AG33" s="34">
        <f>IF($T33=0,0,IFERROR(--MID(TRIM($A33),2,9),0))</f>
        <v/>
      </c>
      <c r="AH33" s="22">
        <f>IFERROR(LEFT(TRIM($D33),SEARCH(" (",TRIM($D33))-1),TRIM($D33))</f>
        <v/>
      </c>
      <c r="AI33" s="34">
        <f>IF(AND($T33=1,$J33="Closed",$G33="High",ISNUMBER($K33)),IF($K33&gt;=Summary!$K$6,1,0),0)</f>
        <v/>
      </c>
      <c r="AJ33" s="34">
        <f>IF($AI33=1,SUM($AI$4:$AI33),0)</f>
        <v/>
      </c>
    </row>
    <row r="34" ht="18" customHeight="1">
      <c r="A34" s="30" t="n"/>
      <c r="B34" s="30" t="n"/>
      <c r="C34" s="31" t="n"/>
      <c r="D34" s="31" t="n"/>
      <c r="E34" s="32" t="n"/>
      <c r="F34" s="32" t="n"/>
      <c r="G34" s="30" t="n"/>
      <c r="H34" s="30" t="n"/>
      <c r="I34" s="31" t="n"/>
      <c r="J34" s="30" t="n"/>
      <c r="K34" s="32" t="n"/>
      <c r="L34" s="31" t="n"/>
      <c r="M34" s="30" t="n"/>
      <c r="N34" s="31" t="n"/>
      <c r="O34" s="31" t="n"/>
      <c r="P34" s="32" t="n"/>
      <c r="Q34" s="30" t="n"/>
      <c r="R34" s="33">
        <f>IF($T34=0,"",IF($AF34=1,"△ The log can't read this line",IF($W34=1,"△ Needs one owner, written as Name (Role)",IF($X34=1,"△ Look-again date missing, passed or too far ahead",IF($Y34=1,"△ No response",IF($Z34=1,"△ Closed without a date or a reason",IF($AA34=1,"△ Needs Provided by and Needed by, and Who answers as Name (Role)",IF($AB34=1,"△ Past its Needed by date","○ Clear"))))))))</f>
        <v/>
      </c>
      <c r="T34" s="34">
        <f>IF(COUNTA($A34:$Q34)&gt;0,1,0)</f>
        <v/>
      </c>
      <c r="U34" s="34">
        <f>IF(AND($T34=1,$J34&lt;&gt;"Closed"),1,0)</f>
        <v/>
      </c>
      <c r="V34" s="34">
        <f>IF(AND($U34=1,$Q34&lt;&gt;"Program workbook"),1,0)</f>
        <v/>
      </c>
      <c r="W34" s="34">
        <f>IF($V34=0,0,IF(OR(ISERROR(SEARCH(" (",$D34)),RIGHT(TRIM($D34),1)&lt;&gt;")",ISNUMBER(SEARCH(",",$AH34)),ISNUMBER(SEARCH("/",$AH34)),ISNUMBER(SEARCH(" and ",$AH34)),ISNUMBER(SEARCH("&amp;",$AH34))),1,0))</f>
        <v/>
      </c>
      <c r="X34" s="34">
        <f>IF($V34=0,0,IF(NOT(ISNUMBER($F34)),1,IF(OR($F34&lt;Summary!$K$4,$F34&gt;Summary!$K$4+Summary!$K$5,AND(ISNUMBER($P34),$F34&gt;$P34)),1,0)))</f>
        <v/>
      </c>
      <c r="Y34" s="34">
        <f>IF(AND($V34=1,OR($B34="Risk",$B34="Issue"),LEN(TRIM($I34))=0),1,0)</f>
        <v/>
      </c>
      <c r="Z34" s="34">
        <f>IF(AND($T34=1,$J34="Closed",OR(NOT(ISNUMBER($K34)),LEN(TRIM($L34))=0)),1,0)</f>
        <v/>
      </c>
      <c r="AA34" s="34">
        <f>IF(AND($U34=1,$B34="Dependency"),IF(OR(LEN(TRIM($N34))=0,NOT(ISNUMBER($P34)),NOT(AND(ISNUMBER(SEARCH(" (",$O34)),RIGHT(TRIM($O34),1)=")"))),1,0),0)</f>
        <v/>
      </c>
      <c r="AB34" s="34">
        <f>IF(AND($V34=1,$B34="Dependency",ISNUMBER($P34)),IF($P34&lt;Summary!$K$4,1,0),0)</f>
        <v/>
      </c>
      <c r="AC34" s="34">
        <f>IF($T34=0,0,IF(OR($A34="",COUNTIF($A$4:$A$153,$A34)&gt;1,ISERROR(MATCH($B34,{"Risk","Assumption","Issue","Dependency"},0))),1,IF(INDEX({"R","A","I","X"},MATCH($B34,{"Risk","Assumption","Issue","Dependency"},0))&lt;&gt;LEFT($A34,1),1,0)))</f>
        <v/>
      </c>
      <c r="AD34" s="34">
        <f>IF($T34=0,0,IF(OR(ISERROR(MATCH($J34,{"Raised","Responding","Closed"},0)),ISERROR(MATCH($G34,{"Low","Medium","High"},0)),AND(OR($B34="Risk",$B34="Assumption"),ISERROR(MATCH($H34,{"Low","Medium","High"},0))),AND($Q34&lt;&gt;"",$Q34&lt;&gt;"This log",$Q34&lt;&gt;"Program workbook"),AND($J34&lt;&gt;"Closed",OR($K34&lt;&gt;"",LEN(TRIM($L34))&gt;0))),1,0))</f>
        <v/>
      </c>
      <c r="AE34" s="34">
        <f>IF($T34=0,0,IF(OR(NOT(ISNUMBER($E34)),AND($F34&lt;&gt;"",NOT(ISNUMBER($F34))),AND($K34&lt;&gt;"",NOT(ISNUMBER($K34))),AND($P34&lt;&gt;"",NOT(ISNUMBER($P34)))),1,0))</f>
        <v/>
      </c>
      <c r="AF34" s="34">
        <f>MAX($AC34,$AD34,$AE34)</f>
        <v/>
      </c>
      <c r="AG34" s="34">
        <f>IF($T34=0,0,IFERROR(--MID(TRIM($A34),2,9),0))</f>
        <v/>
      </c>
      <c r="AH34" s="22">
        <f>IFERROR(LEFT(TRIM($D34),SEARCH(" (",TRIM($D34))-1),TRIM($D34))</f>
        <v/>
      </c>
      <c r="AI34" s="34">
        <f>IF(AND($T34=1,$J34="Closed",$G34="High",ISNUMBER($K34)),IF($K34&gt;=Summary!$K$6,1,0),0)</f>
        <v/>
      </c>
      <c r="AJ34" s="34">
        <f>IF($AI34=1,SUM($AI$4:$AI34),0)</f>
        <v/>
      </c>
    </row>
    <row r="35" ht="18" customHeight="1">
      <c r="A35" s="30" t="n"/>
      <c r="B35" s="30" t="n"/>
      <c r="C35" s="31" t="n"/>
      <c r="D35" s="31" t="n"/>
      <c r="E35" s="32" t="n"/>
      <c r="F35" s="32" t="n"/>
      <c r="G35" s="30" t="n"/>
      <c r="H35" s="30" t="n"/>
      <c r="I35" s="31" t="n"/>
      <c r="J35" s="30" t="n"/>
      <c r="K35" s="32" t="n"/>
      <c r="L35" s="31" t="n"/>
      <c r="M35" s="30" t="n"/>
      <c r="N35" s="31" t="n"/>
      <c r="O35" s="31" t="n"/>
      <c r="P35" s="32" t="n"/>
      <c r="Q35" s="30" t="n"/>
      <c r="R35" s="33">
        <f>IF($T35=0,"",IF($AF35=1,"△ The log can't read this line",IF($W35=1,"△ Needs one owner, written as Name (Role)",IF($X35=1,"△ Look-again date missing, passed or too far ahead",IF($Y35=1,"△ No response",IF($Z35=1,"△ Closed without a date or a reason",IF($AA35=1,"△ Needs Provided by and Needed by, and Who answers as Name (Role)",IF($AB35=1,"△ Past its Needed by date","○ Clear"))))))))</f>
        <v/>
      </c>
      <c r="T35" s="34">
        <f>IF(COUNTA($A35:$Q35)&gt;0,1,0)</f>
        <v/>
      </c>
      <c r="U35" s="34">
        <f>IF(AND($T35=1,$J35&lt;&gt;"Closed"),1,0)</f>
        <v/>
      </c>
      <c r="V35" s="34">
        <f>IF(AND($U35=1,$Q35&lt;&gt;"Program workbook"),1,0)</f>
        <v/>
      </c>
      <c r="W35" s="34">
        <f>IF($V35=0,0,IF(OR(ISERROR(SEARCH(" (",$D35)),RIGHT(TRIM($D35),1)&lt;&gt;")",ISNUMBER(SEARCH(",",$AH35)),ISNUMBER(SEARCH("/",$AH35)),ISNUMBER(SEARCH(" and ",$AH35)),ISNUMBER(SEARCH("&amp;",$AH35))),1,0))</f>
        <v/>
      </c>
      <c r="X35" s="34">
        <f>IF($V35=0,0,IF(NOT(ISNUMBER($F35)),1,IF(OR($F35&lt;Summary!$K$4,$F35&gt;Summary!$K$4+Summary!$K$5,AND(ISNUMBER($P35),$F35&gt;$P35)),1,0)))</f>
        <v/>
      </c>
      <c r="Y35" s="34">
        <f>IF(AND($V35=1,OR($B35="Risk",$B35="Issue"),LEN(TRIM($I35))=0),1,0)</f>
        <v/>
      </c>
      <c r="Z35" s="34">
        <f>IF(AND($T35=1,$J35="Closed",OR(NOT(ISNUMBER($K35)),LEN(TRIM($L35))=0)),1,0)</f>
        <v/>
      </c>
      <c r="AA35" s="34">
        <f>IF(AND($U35=1,$B35="Dependency"),IF(OR(LEN(TRIM($N35))=0,NOT(ISNUMBER($P35)),NOT(AND(ISNUMBER(SEARCH(" (",$O35)),RIGHT(TRIM($O35),1)=")"))),1,0),0)</f>
        <v/>
      </c>
      <c r="AB35" s="34">
        <f>IF(AND($V35=1,$B35="Dependency",ISNUMBER($P35)),IF($P35&lt;Summary!$K$4,1,0),0)</f>
        <v/>
      </c>
      <c r="AC35" s="34">
        <f>IF($T35=0,0,IF(OR($A35="",COUNTIF($A$4:$A$153,$A35)&gt;1,ISERROR(MATCH($B35,{"Risk","Assumption","Issue","Dependency"},0))),1,IF(INDEX({"R","A","I","X"},MATCH($B35,{"Risk","Assumption","Issue","Dependency"},0))&lt;&gt;LEFT($A35,1),1,0)))</f>
        <v/>
      </c>
      <c r="AD35" s="34">
        <f>IF($T35=0,0,IF(OR(ISERROR(MATCH($J35,{"Raised","Responding","Closed"},0)),ISERROR(MATCH($G35,{"Low","Medium","High"},0)),AND(OR($B35="Risk",$B35="Assumption"),ISERROR(MATCH($H35,{"Low","Medium","High"},0))),AND($Q35&lt;&gt;"",$Q35&lt;&gt;"This log",$Q35&lt;&gt;"Program workbook"),AND($J35&lt;&gt;"Closed",OR($K35&lt;&gt;"",LEN(TRIM($L35))&gt;0))),1,0))</f>
        <v/>
      </c>
      <c r="AE35" s="34">
        <f>IF($T35=0,0,IF(OR(NOT(ISNUMBER($E35)),AND($F35&lt;&gt;"",NOT(ISNUMBER($F35))),AND($K35&lt;&gt;"",NOT(ISNUMBER($K35))),AND($P35&lt;&gt;"",NOT(ISNUMBER($P35)))),1,0))</f>
        <v/>
      </c>
      <c r="AF35" s="34">
        <f>MAX($AC35,$AD35,$AE35)</f>
        <v/>
      </c>
      <c r="AG35" s="34">
        <f>IF($T35=0,0,IFERROR(--MID(TRIM($A35),2,9),0))</f>
        <v/>
      </c>
      <c r="AH35" s="22">
        <f>IFERROR(LEFT(TRIM($D35),SEARCH(" (",TRIM($D35))-1),TRIM($D35))</f>
        <v/>
      </c>
      <c r="AI35" s="34">
        <f>IF(AND($T35=1,$J35="Closed",$G35="High",ISNUMBER($K35)),IF($K35&gt;=Summary!$K$6,1,0),0)</f>
        <v/>
      </c>
      <c r="AJ35" s="34">
        <f>IF($AI35=1,SUM($AI$4:$AI35),0)</f>
        <v/>
      </c>
    </row>
    <row r="36" ht="18" customHeight="1">
      <c r="A36" s="30" t="n"/>
      <c r="B36" s="30" t="n"/>
      <c r="C36" s="31" t="n"/>
      <c r="D36" s="31" t="n"/>
      <c r="E36" s="32" t="n"/>
      <c r="F36" s="32" t="n"/>
      <c r="G36" s="30" t="n"/>
      <c r="H36" s="30" t="n"/>
      <c r="I36" s="31" t="n"/>
      <c r="J36" s="30" t="n"/>
      <c r="K36" s="32" t="n"/>
      <c r="L36" s="31" t="n"/>
      <c r="M36" s="30" t="n"/>
      <c r="N36" s="31" t="n"/>
      <c r="O36" s="31" t="n"/>
      <c r="P36" s="32" t="n"/>
      <c r="Q36" s="30" t="n"/>
      <c r="R36" s="33">
        <f>IF($T36=0,"",IF($AF36=1,"△ The log can't read this line",IF($W36=1,"△ Needs one owner, written as Name (Role)",IF($X36=1,"△ Look-again date missing, passed or too far ahead",IF($Y36=1,"△ No response",IF($Z36=1,"△ Closed without a date or a reason",IF($AA36=1,"△ Needs Provided by and Needed by, and Who answers as Name (Role)",IF($AB36=1,"△ Past its Needed by date","○ Clear"))))))))</f>
        <v/>
      </c>
      <c r="T36" s="34">
        <f>IF(COUNTA($A36:$Q36)&gt;0,1,0)</f>
        <v/>
      </c>
      <c r="U36" s="34">
        <f>IF(AND($T36=1,$J36&lt;&gt;"Closed"),1,0)</f>
        <v/>
      </c>
      <c r="V36" s="34">
        <f>IF(AND($U36=1,$Q36&lt;&gt;"Program workbook"),1,0)</f>
        <v/>
      </c>
      <c r="W36" s="34">
        <f>IF($V36=0,0,IF(OR(ISERROR(SEARCH(" (",$D36)),RIGHT(TRIM($D36),1)&lt;&gt;")",ISNUMBER(SEARCH(",",$AH36)),ISNUMBER(SEARCH("/",$AH36)),ISNUMBER(SEARCH(" and ",$AH36)),ISNUMBER(SEARCH("&amp;",$AH36))),1,0))</f>
        <v/>
      </c>
      <c r="X36" s="34">
        <f>IF($V36=0,0,IF(NOT(ISNUMBER($F36)),1,IF(OR($F36&lt;Summary!$K$4,$F36&gt;Summary!$K$4+Summary!$K$5,AND(ISNUMBER($P36),$F36&gt;$P36)),1,0)))</f>
        <v/>
      </c>
      <c r="Y36" s="34">
        <f>IF(AND($V36=1,OR($B36="Risk",$B36="Issue"),LEN(TRIM($I36))=0),1,0)</f>
        <v/>
      </c>
      <c r="Z36" s="34">
        <f>IF(AND($T36=1,$J36="Closed",OR(NOT(ISNUMBER($K36)),LEN(TRIM($L36))=0)),1,0)</f>
        <v/>
      </c>
      <c r="AA36" s="34">
        <f>IF(AND($U36=1,$B36="Dependency"),IF(OR(LEN(TRIM($N36))=0,NOT(ISNUMBER($P36)),NOT(AND(ISNUMBER(SEARCH(" (",$O36)),RIGHT(TRIM($O36),1)=")"))),1,0),0)</f>
        <v/>
      </c>
      <c r="AB36" s="34">
        <f>IF(AND($V36=1,$B36="Dependency",ISNUMBER($P36)),IF($P36&lt;Summary!$K$4,1,0),0)</f>
        <v/>
      </c>
      <c r="AC36" s="34">
        <f>IF($T36=0,0,IF(OR($A36="",COUNTIF($A$4:$A$153,$A36)&gt;1,ISERROR(MATCH($B36,{"Risk","Assumption","Issue","Dependency"},0))),1,IF(INDEX({"R","A","I","X"},MATCH($B36,{"Risk","Assumption","Issue","Dependency"},0))&lt;&gt;LEFT($A36,1),1,0)))</f>
        <v/>
      </c>
      <c r="AD36" s="34">
        <f>IF($T36=0,0,IF(OR(ISERROR(MATCH($J36,{"Raised","Responding","Closed"},0)),ISERROR(MATCH($G36,{"Low","Medium","High"},0)),AND(OR($B36="Risk",$B36="Assumption"),ISERROR(MATCH($H36,{"Low","Medium","High"},0))),AND($Q36&lt;&gt;"",$Q36&lt;&gt;"This log",$Q36&lt;&gt;"Program workbook"),AND($J36&lt;&gt;"Closed",OR($K36&lt;&gt;"",LEN(TRIM($L36))&gt;0))),1,0))</f>
        <v/>
      </c>
      <c r="AE36" s="34">
        <f>IF($T36=0,0,IF(OR(NOT(ISNUMBER($E36)),AND($F36&lt;&gt;"",NOT(ISNUMBER($F36))),AND($K36&lt;&gt;"",NOT(ISNUMBER($K36))),AND($P36&lt;&gt;"",NOT(ISNUMBER($P36)))),1,0))</f>
        <v/>
      </c>
      <c r="AF36" s="34">
        <f>MAX($AC36,$AD36,$AE36)</f>
        <v/>
      </c>
      <c r="AG36" s="34">
        <f>IF($T36=0,0,IFERROR(--MID(TRIM($A36),2,9),0))</f>
        <v/>
      </c>
      <c r="AH36" s="22">
        <f>IFERROR(LEFT(TRIM($D36),SEARCH(" (",TRIM($D36))-1),TRIM($D36))</f>
        <v/>
      </c>
      <c r="AI36" s="34">
        <f>IF(AND($T36=1,$J36="Closed",$G36="High",ISNUMBER($K36)),IF($K36&gt;=Summary!$K$6,1,0),0)</f>
        <v/>
      </c>
      <c r="AJ36" s="34">
        <f>IF($AI36=1,SUM($AI$4:$AI36),0)</f>
        <v/>
      </c>
    </row>
    <row r="37" ht="18" customHeight="1">
      <c r="A37" s="30" t="n"/>
      <c r="B37" s="30" t="n"/>
      <c r="C37" s="31" t="n"/>
      <c r="D37" s="31" t="n"/>
      <c r="E37" s="32" t="n"/>
      <c r="F37" s="32" t="n"/>
      <c r="G37" s="30" t="n"/>
      <c r="H37" s="30" t="n"/>
      <c r="I37" s="31" t="n"/>
      <c r="J37" s="30" t="n"/>
      <c r="K37" s="32" t="n"/>
      <c r="L37" s="31" t="n"/>
      <c r="M37" s="30" t="n"/>
      <c r="N37" s="31" t="n"/>
      <c r="O37" s="31" t="n"/>
      <c r="P37" s="32" t="n"/>
      <c r="Q37" s="30" t="n"/>
      <c r="R37" s="33">
        <f>IF($T37=0,"",IF($AF37=1,"△ The log can't read this line",IF($W37=1,"△ Needs one owner, written as Name (Role)",IF($X37=1,"△ Look-again date missing, passed or too far ahead",IF($Y37=1,"△ No response",IF($Z37=1,"△ Closed without a date or a reason",IF($AA37=1,"△ Needs Provided by and Needed by, and Who answers as Name (Role)",IF($AB37=1,"△ Past its Needed by date","○ Clear"))))))))</f>
        <v/>
      </c>
      <c r="T37" s="34">
        <f>IF(COUNTA($A37:$Q37)&gt;0,1,0)</f>
        <v/>
      </c>
      <c r="U37" s="34">
        <f>IF(AND($T37=1,$J37&lt;&gt;"Closed"),1,0)</f>
        <v/>
      </c>
      <c r="V37" s="34">
        <f>IF(AND($U37=1,$Q37&lt;&gt;"Program workbook"),1,0)</f>
        <v/>
      </c>
      <c r="W37" s="34">
        <f>IF($V37=0,0,IF(OR(ISERROR(SEARCH(" (",$D37)),RIGHT(TRIM($D37),1)&lt;&gt;")",ISNUMBER(SEARCH(",",$AH37)),ISNUMBER(SEARCH("/",$AH37)),ISNUMBER(SEARCH(" and ",$AH37)),ISNUMBER(SEARCH("&amp;",$AH37))),1,0))</f>
        <v/>
      </c>
      <c r="X37" s="34">
        <f>IF($V37=0,0,IF(NOT(ISNUMBER($F37)),1,IF(OR($F37&lt;Summary!$K$4,$F37&gt;Summary!$K$4+Summary!$K$5,AND(ISNUMBER($P37),$F37&gt;$P37)),1,0)))</f>
        <v/>
      </c>
      <c r="Y37" s="34">
        <f>IF(AND($V37=1,OR($B37="Risk",$B37="Issue"),LEN(TRIM($I37))=0),1,0)</f>
        <v/>
      </c>
      <c r="Z37" s="34">
        <f>IF(AND($T37=1,$J37="Closed",OR(NOT(ISNUMBER($K37)),LEN(TRIM($L37))=0)),1,0)</f>
        <v/>
      </c>
      <c r="AA37" s="34">
        <f>IF(AND($U37=1,$B37="Dependency"),IF(OR(LEN(TRIM($N37))=0,NOT(ISNUMBER($P37)),NOT(AND(ISNUMBER(SEARCH(" (",$O37)),RIGHT(TRIM($O37),1)=")"))),1,0),0)</f>
        <v/>
      </c>
      <c r="AB37" s="34">
        <f>IF(AND($V37=1,$B37="Dependency",ISNUMBER($P37)),IF($P37&lt;Summary!$K$4,1,0),0)</f>
        <v/>
      </c>
      <c r="AC37" s="34">
        <f>IF($T37=0,0,IF(OR($A37="",COUNTIF($A$4:$A$153,$A37)&gt;1,ISERROR(MATCH($B37,{"Risk","Assumption","Issue","Dependency"},0))),1,IF(INDEX({"R","A","I","X"},MATCH($B37,{"Risk","Assumption","Issue","Dependency"},0))&lt;&gt;LEFT($A37,1),1,0)))</f>
        <v/>
      </c>
      <c r="AD37" s="34">
        <f>IF($T37=0,0,IF(OR(ISERROR(MATCH($J37,{"Raised","Responding","Closed"},0)),ISERROR(MATCH($G37,{"Low","Medium","High"},0)),AND(OR($B37="Risk",$B37="Assumption"),ISERROR(MATCH($H37,{"Low","Medium","High"},0))),AND($Q37&lt;&gt;"",$Q37&lt;&gt;"This log",$Q37&lt;&gt;"Program workbook"),AND($J37&lt;&gt;"Closed",OR($K37&lt;&gt;"",LEN(TRIM($L37))&gt;0))),1,0))</f>
        <v/>
      </c>
      <c r="AE37" s="34">
        <f>IF($T37=0,0,IF(OR(NOT(ISNUMBER($E37)),AND($F37&lt;&gt;"",NOT(ISNUMBER($F37))),AND($K37&lt;&gt;"",NOT(ISNUMBER($K37))),AND($P37&lt;&gt;"",NOT(ISNUMBER($P37)))),1,0))</f>
        <v/>
      </c>
      <c r="AF37" s="34">
        <f>MAX($AC37,$AD37,$AE37)</f>
        <v/>
      </c>
      <c r="AG37" s="34">
        <f>IF($T37=0,0,IFERROR(--MID(TRIM($A37),2,9),0))</f>
        <v/>
      </c>
      <c r="AH37" s="22">
        <f>IFERROR(LEFT(TRIM($D37),SEARCH(" (",TRIM($D37))-1),TRIM($D37))</f>
        <v/>
      </c>
      <c r="AI37" s="34">
        <f>IF(AND($T37=1,$J37="Closed",$G37="High",ISNUMBER($K37)),IF($K37&gt;=Summary!$K$6,1,0),0)</f>
        <v/>
      </c>
      <c r="AJ37" s="34">
        <f>IF($AI37=1,SUM($AI$4:$AI37),0)</f>
        <v/>
      </c>
    </row>
    <row r="38" ht="18" customHeight="1">
      <c r="A38" s="30" t="n"/>
      <c r="B38" s="30" t="n"/>
      <c r="C38" s="31" t="n"/>
      <c r="D38" s="31" t="n"/>
      <c r="E38" s="32" t="n"/>
      <c r="F38" s="32" t="n"/>
      <c r="G38" s="30" t="n"/>
      <c r="H38" s="30" t="n"/>
      <c r="I38" s="31" t="n"/>
      <c r="J38" s="30" t="n"/>
      <c r="K38" s="32" t="n"/>
      <c r="L38" s="31" t="n"/>
      <c r="M38" s="30" t="n"/>
      <c r="N38" s="31" t="n"/>
      <c r="O38" s="31" t="n"/>
      <c r="P38" s="32" t="n"/>
      <c r="Q38" s="30" t="n"/>
      <c r="R38" s="33">
        <f>IF($T38=0,"",IF($AF38=1,"△ The log can't read this line",IF($W38=1,"△ Needs one owner, written as Name (Role)",IF($X38=1,"△ Look-again date missing, passed or too far ahead",IF($Y38=1,"△ No response",IF($Z38=1,"△ Closed without a date or a reason",IF($AA38=1,"△ Needs Provided by and Needed by, and Who answers as Name (Role)",IF($AB38=1,"△ Past its Needed by date","○ Clear"))))))))</f>
        <v/>
      </c>
      <c r="T38" s="34">
        <f>IF(COUNTA($A38:$Q38)&gt;0,1,0)</f>
        <v/>
      </c>
      <c r="U38" s="34">
        <f>IF(AND($T38=1,$J38&lt;&gt;"Closed"),1,0)</f>
        <v/>
      </c>
      <c r="V38" s="34">
        <f>IF(AND($U38=1,$Q38&lt;&gt;"Program workbook"),1,0)</f>
        <v/>
      </c>
      <c r="W38" s="34">
        <f>IF($V38=0,0,IF(OR(ISERROR(SEARCH(" (",$D38)),RIGHT(TRIM($D38),1)&lt;&gt;")",ISNUMBER(SEARCH(",",$AH38)),ISNUMBER(SEARCH("/",$AH38)),ISNUMBER(SEARCH(" and ",$AH38)),ISNUMBER(SEARCH("&amp;",$AH38))),1,0))</f>
        <v/>
      </c>
      <c r="X38" s="34">
        <f>IF($V38=0,0,IF(NOT(ISNUMBER($F38)),1,IF(OR($F38&lt;Summary!$K$4,$F38&gt;Summary!$K$4+Summary!$K$5,AND(ISNUMBER($P38),$F38&gt;$P38)),1,0)))</f>
        <v/>
      </c>
      <c r="Y38" s="34">
        <f>IF(AND($V38=1,OR($B38="Risk",$B38="Issue"),LEN(TRIM($I38))=0),1,0)</f>
        <v/>
      </c>
      <c r="Z38" s="34">
        <f>IF(AND($T38=1,$J38="Closed",OR(NOT(ISNUMBER($K38)),LEN(TRIM($L38))=0)),1,0)</f>
        <v/>
      </c>
      <c r="AA38" s="34">
        <f>IF(AND($U38=1,$B38="Dependency"),IF(OR(LEN(TRIM($N38))=0,NOT(ISNUMBER($P38)),NOT(AND(ISNUMBER(SEARCH(" (",$O38)),RIGHT(TRIM($O38),1)=")"))),1,0),0)</f>
        <v/>
      </c>
      <c r="AB38" s="34">
        <f>IF(AND($V38=1,$B38="Dependency",ISNUMBER($P38)),IF($P38&lt;Summary!$K$4,1,0),0)</f>
        <v/>
      </c>
      <c r="AC38" s="34">
        <f>IF($T38=0,0,IF(OR($A38="",COUNTIF($A$4:$A$153,$A38)&gt;1,ISERROR(MATCH($B38,{"Risk","Assumption","Issue","Dependency"},0))),1,IF(INDEX({"R","A","I","X"},MATCH($B38,{"Risk","Assumption","Issue","Dependency"},0))&lt;&gt;LEFT($A38,1),1,0)))</f>
        <v/>
      </c>
      <c r="AD38" s="34">
        <f>IF($T38=0,0,IF(OR(ISERROR(MATCH($J38,{"Raised","Responding","Closed"},0)),ISERROR(MATCH($G38,{"Low","Medium","High"},0)),AND(OR($B38="Risk",$B38="Assumption"),ISERROR(MATCH($H38,{"Low","Medium","High"},0))),AND($Q38&lt;&gt;"",$Q38&lt;&gt;"This log",$Q38&lt;&gt;"Program workbook"),AND($J38&lt;&gt;"Closed",OR($K38&lt;&gt;"",LEN(TRIM($L38))&gt;0))),1,0))</f>
        <v/>
      </c>
      <c r="AE38" s="34">
        <f>IF($T38=0,0,IF(OR(NOT(ISNUMBER($E38)),AND($F38&lt;&gt;"",NOT(ISNUMBER($F38))),AND($K38&lt;&gt;"",NOT(ISNUMBER($K38))),AND($P38&lt;&gt;"",NOT(ISNUMBER($P38)))),1,0))</f>
        <v/>
      </c>
      <c r="AF38" s="34">
        <f>MAX($AC38,$AD38,$AE38)</f>
        <v/>
      </c>
      <c r="AG38" s="34">
        <f>IF($T38=0,0,IFERROR(--MID(TRIM($A38),2,9),0))</f>
        <v/>
      </c>
      <c r="AH38" s="22">
        <f>IFERROR(LEFT(TRIM($D38),SEARCH(" (",TRIM($D38))-1),TRIM($D38))</f>
        <v/>
      </c>
      <c r="AI38" s="34">
        <f>IF(AND($T38=1,$J38="Closed",$G38="High",ISNUMBER($K38)),IF($K38&gt;=Summary!$K$6,1,0),0)</f>
        <v/>
      </c>
      <c r="AJ38" s="34">
        <f>IF($AI38=1,SUM($AI$4:$AI38),0)</f>
        <v/>
      </c>
    </row>
    <row r="39" ht="18" customHeight="1">
      <c r="A39" s="30" t="n"/>
      <c r="B39" s="30" t="n"/>
      <c r="C39" s="31" t="n"/>
      <c r="D39" s="31" t="n"/>
      <c r="E39" s="32" t="n"/>
      <c r="F39" s="32" t="n"/>
      <c r="G39" s="30" t="n"/>
      <c r="H39" s="30" t="n"/>
      <c r="I39" s="31" t="n"/>
      <c r="J39" s="30" t="n"/>
      <c r="K39" s="32" t="n"/>
      <c r="L39" s="31" t="n"/>
      <c r="M39" s="30" t="n"/>
      <c r="N39" s="31" t="n"/>
      <c r="O39" s="31" t="n"/>
      <c r="P39" s="32" t="n"/>
      <c r="Q39" s="30" t="n"/>
      <c r="R39" s="33">
        <f>IF($T39=0,"",IF($AF39=1,"△ The log can't read this line",IF($W39=1,"△ Needs one owner, written as Name (Role)",IF($X39=1,"△ Look-again date missing, passed or too far ahead",IF($Y39=1,"△ No response",IF($Z39=1,"△ Closed without a date or a reason",IF($AA39=1,"△ Needs Provided by and Needed by, and Who answers as Name (Role)",IF($AB39=1,"△ Past its Needed by date","○ Clear"))))))))</f>
        <v/>
      </c>
      <c r="T39" s="34">
        <f>IF(COUNTA($A39:$Q39)&gt;0,1,0)</f>
        <v/>
      </c>
      <c r="U39" s="34">
        <f>IF(AND($T39=1,$J39&lt;&gt;"Closed"),1,0)</f>
        <v/>
      </c>
      <c r="V39" s="34">
        <f>IF(AND($U39=1,$Q39&lt;&gt;"Program workbook"),1,0)</f>
        <v/>
      </c>
      <c r="W39" s="34">
        <f>IF($V39=0,0,IF(OR(ISERROR(SEARCH(" (",$D39)),RIGHT(TRIM($D39),1)&lt;&gt;")",ISNUMBER(SEARCH(",",$AH39)),ISNUMBER(SEARCH("/",$AH39)),ISNUMBER(SEARCH(" and ",$AH39)),ISNUMBER(SEARCH("&amp;",$AH39))),1,0))</f>
        <v/>
      </c>
      <c r="X39" s="34">
        <f>IF($V39=0,0,IF(NOT(ISNUMBER($F39)),1,IF(OR($F39&lt;Summary!$K$4,$F39&gt;Summary!$K$4+Summary!$K$5,AND(ISNUMBER($P39),$F39&gt;$P39)),1,0)))</f>
        <v/>
      </c>
      <c r="Y39" s="34">
        <f>IF(AND($V39=1,OR($B39="Risk",$B39="Issue"),LEN(TRIM($I39))=0),1,0)</f>
        <v/>
      </c>
      <c r="Z39" s="34">
        <f>IF(AND($T39=1,$J39="Closed",OR(NOT(ISNUMBER($K39)),LEN(TRIM($L39))=0)),1,0)</f>
        <v/>
      </c>
      <c r="AA39" s="34">
        <f>IF(AND($U39=1,$B39="Dependency"),IF(OR(LEN(TRIM($N39))=0,NOT(ISNUMBER($P39)),NOT(AND(ISNUMBER(SEARCH(" (",$O39)),RIGHT(TRIM($O39),1)=")"))),1,0),0)</f>
        <v/>
      </c>
      <c r="AB39" s="34">
        <f>IF(AND($V39=1,$B39="Dependency",ISNUMBER($P39)),IF($P39&lt;Summary!$K$4,1,0),0)</f>
        <v/>
      </c>
      <c r="AC39" s="34">
        <f>IF($T39=0,0,IF(OR($A39="",COUNTIF($A$4:$A$153,$A39)&gt;1,ISERROR(MATCH($B39,{"Risk","Assumption","Issue","Dependency"},0))),1,IF(INDEX({"R","A","I","X"},MATCH($B39,{"Risk","Assumption","Issue","Dependency"},0))&lt;&gt;LEFT($A39,1),1,0)))</f>
        <v/>
      </c>
      <c r="AD39" s="34">
        <f>IF($T39=0,0,IF(OR(ISERROR(MATCH($J39,{"Raised","Responding","Closed"},0)),ISERROR(MATCH($G39,{"Low","Medium","High"},0)),AND(OR($B39="Risk",$B39="Assumption"),ISERROR(MATCH($H39,{"Low","Medium","High"},0))),AND($Q39&lt;&gt;"",$Q39&lt;&gt;"This log",$Q39&lt;&gt;"Program workbook"),AND($J39&lt;&gt;"Closed",OR($K39&lt;&gt;"",LEN(TRIM($L39))&gt;0))),1,0))</f>
        <v/>
      </c>
      <c r="AE39" s="34">
        <f>IF($T39=0,0,IF(OR(NOT(ISNUMBER($E39)),AND($F39&lt;&gt;"",NOT(ISNUMBER($F39))),AND($K39&lt;&gt;"",NOT(ISNUMBER($K39))),AND($P39&lt;&gt;"",NOT(ISNUMBER($P39)))),1,0))</f>
        <v/>
      </c>
      <c r="AF39" s="34">
        <f>MAX($AC39,$AD39,$AE39)</f>
        <v/>
      </c>
      <c r="AG39" s="34">
        <f>IF($T39=0,0,IFERROR(--MID(TRIM($A39),2,9),0))</f>
        <v/>
      </c>
      <c r="AH39" s="22">
        <f>IFERROR(LEFT(TRIM($D39),SEARCH(" (",TRIM($D39))-1),TRIM($D39))</f>
        <v/>
      </c>
      <c r="AI39" s="34">
        <f>IF(AND($T39=1,$J39="Closed",$G39="High",ISNUMBER($K39)),IF($K39&gt;=Summary!$K$6,1,0),0)</f>
        <v/>
      </c>
      <c r="AJ39" s="34">
        <f>IF($AI39=1,SUM($AI$4:$AI39),0)</f>
        <v/>
      </c>
    </row>
    <row r="40" ht="18" customHeight="1">
      <c r="A40" s="30" t="n"/>
      <c r="B40" s="30" t="n"/>
      <c r="C40" s="31" t="n"/>
      <c r="D40" s="31" t="n"/>
      <c r="E40" s="32" t="n"/>
      <c r="F40" s="32" t="n"/>
      <c r="G40" s="30" t="n"/>
      <c r="H40" s="30" t="n"/>
      <c r="I40" s="31" t="n"/>
      <c r="J40" s="30" t="n"/>
      <c r="K40" s="32" t="n"/>
      <c r="L40" s="31" t="n"/>
      <c r="M40" s="30" t="n"/>
      <c r="N40" s="31" t="n"/>
      <c r="O40" s="31" t="n"/>
      <c r="P40" s="32" t="n"/>
      <c r="Q40" s="30" t="n"/>
      <c r="R40" s="33">
        <f>IF($T40=0,"",IF($AF40=1,"△ The log can't read this line",IF($W40=1,"△ Needs one owner, written as Name (Role)",IF($X40=1,"△ Look-again date missing, passed or too far ahead",IF($Y40=1,"△ No response",IF($Z40=1,"△ Closed without a date or a reason",IF($AA40=1,"△ Needs Provided by and Needed by, and Who answers as Name (Role)",IF($AB40=1,"△ Past its Needed by date","○ Clear"))))))))</f>
        <v/>
      </c>
      <c r="T40" s="34">
        <f>IF(COUNTA($A40:$Q40)&gt;0,1,0)</f>
        <v/>
      </c>
      <c r="U40" s="34">
        <f>IF(AND($T40=1,$J40&lt;&gt;"Closed"),1,0)</f>
        <v/>
      </c>
      <c r="V40" s="34">
        <f>IF(AND($U40=1,$Q40&lt;&gt;"Program workbook"),1,0)</f>
        <v/>
      </c>
      <c r="W40" s="34">
        <f>IF($V40=0,0,IF(OR(ISERROR(SEARCH(" (",$D40)),RIGHT(TRIM($D40),1)&lt;&gt;")",ISNUMBER(SEARCH(",",$AH40)),ISNUMBER(SEARCH("/",$AH40)),ISNUMBER(SEARCH(" and ",$AH40)),ISNUMBER(SEARCH("&amp;",$AH40))),1,0))</f>
        <v/>
      </c>
      <c r="X40" s="34">
        <f>IF($V40=0,0,IF(NOT(ISNUMBER($F40)),1,IF(OR($F40&lt;Summary!$K$4,$F40&gt;Summary!$K$4+Summary!$K$5,AND(ISNUMBER($P40),$F40&gt;$P40)),1,0)))</f>
        <v/>
      </c>
      <c r="Y40" s="34">
        <f>IF(AND($V40=1,OR($B40="Risk",$B40="Issue"),LEN(TRIM($I40))=0),1,0)</f>
        <v/>
      </c>
      <c r="Z40" s="34">
        <f>IF(AND($T40=1,$J40="Closed",OR(NOT(ISNUMBER($K40)),LEN(TRIM($L40))=0)),1,0)</f>
        <v/>
      </c>
      <c r="AA40" s="34">
        <f>IF(AND($U40=1,$B40="Dependency"),IF(OR(LEN(TRIM($N40))=0,NOT(ISNUMBER($P40)),NOT(AND(ISNUMBER(SEARCH(" (",$O40)),RIGHT(TRIM($O40),1)=")"))),1,0),0)</f>
        <v/>
      </c>
      <c r="AB40" s="34">
        <f>IF(AND($V40=1,$B40="Dependency",ISNUMBER($P40)),IF($P40&lt;Summary!$K$4,1,0),0)</f>
        <v/>
      </c>
      <c r="AC40" s="34">
        <f>IF($T40=0,0,IF(OR($A40="",COUNTIF($A$4:$A$153,$A40)&gt;1,ISERROR(MATCH($B40,{"Risk","Assumption","Issue","Dependency"},0))),1,IF(INDEX({"R","A","I","X"},MATCH($B40,{"Risk","Assumption","Issue","Dependency"},0))&lt;&gt;LEFT($A40,1),1,0)))</f>
        <v/>
      </c>
      <c r="AD40" s="34">
        <f>IF($T40=0,0,IF(OR(ISERROR(MATCH($J40,{"Raised","Responding","Closed"},0)),ISERROR(MATCH($G40,{"Low","Medium","High"},0)),AND(OR($B40="Risk",$B40="Assumption"),ISERROR(MATCH($H40,{"Low","Medium","High"},0))),AND($Q40&lt;&gt;"",$Q40&lt;&gt;"This log",$Q40&lt;&gt;"Program workbook"),AND($J40&lt;&gt;"Closed",OR($K40&lt;&gt;"",LEN(TRIM($L40))&gt;0))),1,0))</f>
        <v/>
      </c>
      <c r="AE40" s="34">
        <f>IF($T40=0,0,IF(OR(NOT(ISNUMBER($E40)),AND($F40&lt;&gt;"",NOT(ISNUMBER($F40))),AND($K40&lt;&gt;"",NOT(ISNUMBER($K40))),AND($P40&lt;&gt;"",NOT(ISNUMBER($P40)))),1,0))</f>
        <v/>
      </c>
      <c r="AF40" s="34">
        <f>MAX($AC40,$AD40,$AE40)</f>
        <v/>
      </c>
      <c r="AG40" s="34">
        <f>IF($T40=0,0,IFERROR(--MID(TRIM($A40),2,9),0))</f>
        <v/>
      </c>
      <c r="AH40" s="22">
        <f>IFERROR(LEFT(TRIM($D40),SEARCH(" (",TRIM($D40))-1),TRIM($D40))</f>
        <v/>
      </c>
      <c r="AI40" s="34">
        <f>IF(AND($T40=1,$J40="Closed",$G40="High",ISNUMBER($K40)),IF($K40&gt;=Summary!$K$6,1,0),0)</f>
        <v/>
      </c>
      <c r="AJ40" s="34">
        <f>IF($AI40=1,SUM($AI$4:$AI40),0)</f>
        <v/>
      </c>
    </row>
    <row r="41" ht="18" customHeight="1">
      <c r="A41" s="30" t="n"/>
      <c r="B41" s="30" t="n"/>
      <c r="C41" s="31" t="n"/>
      <c r="D41" s="31" t="n"/>
      <c r="E41" s="32" t="n"/>
      <c r="F41" s="32" t="n"/>
      <c r="G41" s="30" t="n"/>
      <c r="H41" s="30" t="n"/>
      <c r="I41" s="31" t="n"/>
      <c r="J41" s="30" t="n"/>
      <c r="K41" s="32" t="n"/>
      <c r="L41" s="31" t="n"/>
      <c r="M41" s="30" t="n"/>
      <c r="N41" s="31" t="n"/>
      <c r="O41" s="31" t="n"/>
      <c r="P41" s="32" t="n"/>
      <c r="Q41" s="30" t="n"/>
      <c r="R41" s="33">
        <f>IF($T41=0,"",IF($AF41=1,"△ The log can't read this line",IF($W41=1,"△ Needs one owner, written as Name (Role)",IF($X41=1,"△ Look-again date missing, passed or too far ahead",IF($Y41=1,"△ No response",IF($Z41=1,"△ Closed without a date or a reason",IF($AA41=1,"△ Needs Provided by and Needed by, and Who answers as Name (Role)",IF($AB41=1,"△ Past its Needed by date","○ Clear"))))))))</f>
        <v/>
      </c>
      <c r="T41" s="34">
        <f>IF(COUNTA($A41:$Q41)&gt;0,1,0)</f>
        <v/>
      </c>
      <c r="U41" s="34">
        <f>IF(AND($T41=1,$J41&lt;&gt;"Closed"),1,0)</f>
        <v/>
      </c>
      <c r="V41" s="34">
        <f>IF(AND($U41=1,$Q41&lt;&gt;"Program workbook"),1,0)</f>
        <v/>
      </c>
      <c r="W41" s="34">
        <f>IF($V41=0,0,IF(OR(ISERROR(SEARCH(" (",$D41)),RIGHT(TRIM($D41),1)&lt;&gt;")",ISNUMBER(SEARCH(",",$AH41)),ISNUMBER(SEARCH("/",$AH41)),ISNUMBER(SEARCH(" and ",$AH41)),ISNUMBER(SEARCH("&amp;",$AH41))),1,0))</f>
        <v/>
      </c>
      <c r="X41" s="34">
        <f>IF($V41=0,0,IF(NOT(ISNUMBER($F41)),1,IF(OR($F41&lt;Summary!$K$4,$F41&gt;Summary!$K$4+Summary!$K$5,AND(ISNUMBER($P41),$F41&gt;$P41)),1,0)))</f>
        <v/>
      </c>
      <c r="Y41" s="34">
        <f>IF(AND($V41=1,OR($B41="Risk",$B41="Issue"),LEN(TRIM($I41))=0),1,0)</f>
        <v/>
      </c>
      <c r="Z41" s="34">
        <f>IF(AND($T41=1,$J41="Closed",OR(NOT(ISNUMBER($K41)),LEN(TRIM($L41))=0)),1,0)</f>
        <v/>
      </c>
      <c r="AA41" s="34">
        <f>IF(AND($U41=1,$B41="Dependency"),IF(OR(LEN(TRIM($N41))=0,NOT(ISNUMBER($P41)),NOT(AND(ISNUMBER(SEARCH(" (",$O41)),RIGHT(TRIM($O41),1)=")"))),1,0),0)</f>
        <v/>
      </c>
      <c r="AB41" s="34">
        <f>IF(AND($V41=1,$B41="Dependency",ISNUMBER($P41)),IF($P41&lt;Summary!$K$4,1,0),0)</f>
        <v/>
      </c>
      <c r="AC41" s="34">
        <f>IF($T41=0,0,IF(OR($A41="",COUNTIF($A$4:$A$153,$A41)&gt;1,ISERROR(MATCH($B41,{"Risk","Assumption","Issue","Dependency"},0))),1,IF(INDEX({"R","A","I","X"},MATCH($B41,{"Risk","Assumption","Issue","Dependency"},0))&lt;&gt;LEFT($A41,1),1,0)))</f>
        <v/>
      </c>
      <c r="AD41" s="34">
        <f>IF($T41=0,0,IF(OR(ISERROR(MATCH($J41,{"Raised","Responding","Closed"},0)),ISERROR(MATCH($G41,{"Low","Medium","High"},0)),AND(OR($B41="Risk",$B41="Assumption"),ISERROR(MATCH($H41,{"Low","Medium","High"},0))),AND($Q41&lt;&gt;"",$Q41&lt;&gt;"This log",$Q41&lt;&gt;"Program workbook"),AND($J41&lt;&gt;"Closed",OR($K41&lt;&gt;"",LEN(TRIM($L41))&gt;0))),1,0))</f>
        <v/>
      </c>
      <c r="AE41" s="34">
        <f>IF($T41=0,0,IF(OR(NOT(ISNUMBER($E41)),AND($F41&lt;&gt;"",NOT(ISNUMBER($F41))),AND($K41&lt;&gt;"",NOT(ISNUMBER($K41))),AND($P41&lt;&gt;"",NOT(ISNUMBER($P41)))),1,0))</f>
        <v/>
      </c>
      <c r="AF41" s="34">
        <f>MAX($AC41,$AD41,$AE41)</f>
        <v/>
      </c>
      <c r="AG41" s="34">
        <f>IF($T41=0,0,IFERROR(--MID(TRIM($A41),2,9),0))</f>
        <v/>
      </c>
      <c r="AH41" s="22">
        <f>IFERROR(LEFT(TRIM($D41),SEARCH(" (",TRIM($D41))-1),TRIM($D41))</f>
        <v/>
      </c>
      <c r="AI41" s="34">
        <f>IF(AND($T41=1,$J41="Closed",$G41="High",ISNUMBER($K41)),IF($K41&gt;=Summary!$K$6,1,0),0)</f>
        <v/>
      </c>
      <c r="AJ41" s="34">
        <f>IF($AI41=1,SUM($AI$4:$AI41),0)</f>
        <v/>
      </c>
    </row>
    <row r="42" ht="18" customHeight="1">
      <c r="A42" s="30" t="n"/>
      <c r="B42" s="30" t="n"/>
      <c r="C42" s="31" t="n"/>
      <c r="D42" s="31" t="n"/>
      <c r="E42" s="32" t="n"/>
      <c r="F42" s="32" t="n"/>
      <c r="G42" s="30" t="n"/>
      <c r="H42" s="30" t="n"/>
      <c r="I42" s="31" t="n"/>
      <c r="J42" s="30" t="n"/>
      <c r="K42" s="32" t="n"/>
      <c r="L42" s="31" t="n"/>
      <c r="M42" s="30" t="n"/>
      <c r="N42" s="31" t="n"/>
      <c r="O42" s="31" t="n"/>
      <c r="P42" s="32" t="n"/>
      <c r="Q42" s="30" t="n"/>
      <c r="R42" s="33">
        <f>IF($T42=0,"",IF($AF42=1,"△ The log can't read this line",IF($W42=1,"△ Needs one owner, written as Name (Role)",IF($X42=1,"△ Look-again date missing, passed or too far ahead",IF($Y42=1,"△ No response",IF($Z42=1,"△ Closed without a date or a reason",IF($AA42=1,"△ Needs Provided by and Needed by, and Who answers as Name (Role)",IF($AB42=1,"△ Past its Needed by date","○ Clear"))))))))</f>
        <v/>
      </c>
      <c r="T42" s="34">
        <f>IF(COUNTA($A42:$Q42)&gt;0,1,0)</f>
        <v/>
      </c>
      <c r="U42" s="34">
        <f>IF(AND($T42=1,$J42&lt;&gt;"Closed"),1,0)</f>
        <v/>
      </c>
      <c r="V42" s="34">
        <f>IF(AND($U42=1,$Q42&lt;&gt;"Program workbook"),1,0)</f>
        <v/>
      </c>
      <c r="W42" s="34">
        <f>IF($V42=0,0,IF(OR(ISERROR(SEARCH(" (",$D42)),RIGHT(TRIM($D42),1)&lt;&gt;")",ISNUMBER(SEARCH(",",$AH42)),ISNUMBER(SEARCH("/",$AH42)),ISNUMBER(SEARCH(" and ",$AH42)),ISNUMBER(SEARCH("&amp;",$AH42))),1,0))</f>
        <v/>
      </c>
      <c r="X42" s="34">
        <f>IF($V42=0,0,IF(NOT(ISNUMBER($F42)),1,IF(OR($F42&lt;Summary!$K$4,$F42&gt;Summary!$K$4+Summary!$K$5,AND(ISNUMBER($P42),$F42&gt;$P42)),1,0)))</f>
        <v/>
      </c>
      <c r="Y42" s="34">
        <f>IF(AND($V42=1,OR($B42="Risk",$B42="Issue"),LEN(TRIM($I42))=0),1,0)</f>
        <v/>
      </c>
      <c r="Z42" s="34">
        <f>IF(AND($T42=1,$J42="Closed",OR(NOT(ISNUMBER($K42)),LEN(TRIM($L42))=0)),1,0)</f>
        <v/>
      </c>
      <c r="AA42" s="34">
        <f>IF(AND($U42=1,$B42="Dependency"),IF(OR(LEN(TRIM($N42))=0,NOT(ISNUMBER($P42)),NOT(AND(ISNUMBER(SEARCH(" (",$O42)),RIGHT(TRIM($O42),1)=")"))),1,0),0)</f>
        <v/>
      </c>
      <c r="AB42" s="34">
        <f>IF(AND($V42=1,$B42="Dependency",ISNUMBER($P42)),IF($P42&lt;Summary!$K$4,1,0),0)</f>
        <v/>
      </c>
      <c r="AC42" s="34">
        <f>IF($T42=0,0,IF(OR($A42="",COUNTIF($A$4:$A$153,$A42)&gt;1,ISERROR(MATCH($B42,{"Risk","Assumption","Issue","Dependency"},0))),1,IF(INDEX({"R","A","I","X"},MATCH($B42,{"Risk","Assumption","Issue","Dependency"},0))&lt;&gt;LEFT($A42,1),1,0)))</f>
        <v/>
      </c>
      <c r="AD42" s="34">
        <f>IF($T42=0,0,IF(OR(ISERROR(MATCH($J42,{"Raised","Responding","Closed"},0)),ISERROR(MATCH($G42,{"Low","Medium","High"},0)),AND(OR($B42="Risk",$B42="Assumption"),ISERROR(MATCH($H42,{"Low","Medium","High"},0))),AND($Q42&lt;&gt;"",$Q42&lt;&gt;"This log",$Q42&lt;&gt;"Program workbook"),AND($J42&lt;&gt;"Closed",OR($K42&lt;&gt;"",LEN(TRIM($L42))&gt;0))),1,0))</f>
        <v/>
      </c>
      <c r="AE42" s="34">
        <f>IF($T42=0,0,IF(OR(NOT(ISNUMBER($E42)),AND($F42&lt;&gt;"",NOT(ISNUMBER($F42))),AND($K42&lt;&gt;"",NOT(ISNUMBER($K42))),AND($P42&lt;&gt;"",NOT(ISNUMBER($P42)))),1,0))</f>
        <v/>
      </c>
      <c r="AF42" s="34">
        <f>MAX($AC42,$AD42,$AE42)</f>
        <v/>
      </c>
      <c r="AG42" s="34">
        <f>IF($T42=0,0,IFERROR(--MID(TRIM($A42),2,9),0))</f>
        <v/>
      </c>
      <c r="AH42" s="22">
        <f>IFERROR(LEFT(TRIM($D42),SEARCH(" (",TRIM($D42))-1),TRIM($D42))</f>
        <v/>
      </c>
      <c r="AI42" s="34">
        <f>IF(AND($T42=1,$J42="Closed",$G42="High",ISNUMBER($K42)),IF($K42&gt;=Summary!$K$6,1,0),0)</f>
        <v/>
      </c>
      <c r="AJ42" s="34">
        <f>IF($AI42=1,SUM($AI$4:$AI42),0)</f>
        <v/>
      </c>
    </row>
    <row r="43" ht="18" customHeight="1">
      <c r="A43" s="30" t="n"/>
      <c r="B43" s="30" t="n"/>
      <c r="C43" s="31" t="n"/>
      <c r="D43" s="31" t="n"/>
      <c r="E43" s="32" t="n"/>
      <c r="F43" s="32" t="n"/>
      <c r="G43" s="30" t="n"/>
      <c r="H43" s="30" t="n"/>
      <c r="I43" s="31" t="n"/>
      <c r="J43" s="30" t="n"/>
      <c r="K43" s="32" t="n"/>
      <c r="L43" s="31" t="n"/>
      <c r="M43" s="30" t="n"/>
      <c r="N43" s="31" t="n"/>
      <c r="O43" s="31" t="n"/>
      <c r="P43" s="32" t="n"/>
      <c r="Q43" s="30" t="n"/>
      <c r="R43" s="33">
        <f>IF($T43=0,"",IF($AF43=1,"△ The log can't read this line",IF($W43=1,"△ Needs one owner, written as Name (Role)",IF($X43=1,"△ Look-again date missing, passed or too far ahead",IF($Y43=1,"△ No response",IF($Z43=1,"△ Closed without a date or a reason",IF($AA43=1,"△ Needs Provided by and Needed by, and Who answers as Name (Role)",IF($AB43=1,"△ Past its Needed by date","○ Clear"))))))))</f>
        <v/>
      </c>
      <c r="T43" s="34">
        <f>IF(COUNTA($A43:$Q43)&gt;0,1,0)</f>
        <v/>
      </c>
      <c r="U43" s="34">
        <f>IF(AND($T43=1,$J43&lt;&gt;"Closed"),1,0)</f>
        <v/>
      </c>
      <c r="V43" s="34">
        <f>IF(AND($U43=1,$Q43&lt;&gt;"Program workbook"),1,0)</f>
        <v/>
      </c>
      <c r="W43" s="34">
        <f>IF($V43=0,0,IF(OR(ISERROR(SEARCH(" (",$D43)),RIGHT(TRIM($D43),1)&lt;&gt;")",ISNUMBER(SEARCH(",",$AH43)),ISNUMBER(SEARCH("/",$AH43)),ISNUMBER(SEARCH(" and ",$AH43)),ISNUMBER(SEARCH("&amp;",$AH43))),1,0))</f>
        <v/>
      </c>
      <c r="X43" s="34">
        <f>IF($V43=0,0,IF(NOT(ISNUMBER($F43)),1,IF(OR($F43&lt;Summary!$K$4,$F43&gt;Summary!$K$4+Summary!$K$5,AND(ISNUMBER($P43),$F43&gt;$P43)),1,0)))</f>
        <v/>
      </c>
      <c r="Y43" s="34">
        <f>IF(AND($V43=1,OR($B43="Risk",$B43="Issue"),LEN(TRIM($I43))=0),1,0)</f>
        <v/>
      </c>
      <c r="Z43" s="34">
        <f>IF(AND($T43=1,$J43="Closed",OR(NOT(ISNUMBER($K43)),LEN(TRIM($L43))=0)),1,0)</f>
        <v/>
      </c>
      <c r="AA43" s="34">
        <f>IF(AND($U43=1,$B43="Dependency"),IF(OR(LEN(TRIM($N43))=0,NOT(ISNUMBER($P43)),NOT(AND(ISNUMBER(SEARCH(" (",$O43)),RIGHT(TRIM($O43),1)=")"))),1,0),0)</f>
        <v/>
      </c>
      <c r="AB43" s="34">
        <f>IF(AND($V43=1,$B43="Dependency",ISNUMBER($P43)),IF($P43&lt;Summary!$K$4,1,0),0)</f>
        <v/>
      </c>
      <c r="AC43" s="34">
        <f>IF($T43=0,0,IF(OR($A43="",COUNTIF($A$4:$A$153,$A43)&gt;1,ISERROR(MATCH($B43,{"Risk","Assumption","Issue","Dependency"},0))),1,IF(INDEX({"R","A","I","X"},MATCH($B43,{"Risk","Assumption","Issue","Dependency"},0))&lt;&gt;LEFT($A43,1),1,0)))</f>
        <v/>
      </c>
      <c r="AD43" s="34">
        <f>IF($T43=0,0,IF(OR(ISERROR(MATCH($J43,{"Raised","Responding","Closed"},0)),ISERROR(MATCH($G43,{"Low","Medium","High"},0)),AND(OR($B43="Risk",$B43="Assumption"),ISERROR(MATCH($H43,{"Low","Medium","High"},0))),AND($Q43&lt;&gt;"",$Q43&lt;&gt;"This log",$Q43&lt;&gt;"Program workbook"),AND($J43&lt;&gt;"Closed",OR($K43&lt;&gt;"",LEN(TRIM($L43))&gt;0))),1,0))</f>
        <v/>
      </c>
      <c r="AE43" s="34">
        <f>IF($T43=0,0,IF(OR(NOT(ISNUMBER($E43)),AND($F43&lt;&gt;"",NOT(ISNUMBER($F43))),AND($K43&lt;&gt;"",NOT(ISNUMBER($K43))),AND($P43&lt;&gt;"",NOT(ISNUMBER($P43)))),1,0))</f>
        <v/>
      </c>
      <c r="AF43" s="34">
        <f>MAX($AC43,$AD43,$AE43)</f>
        <v/>
      </c>
      <c r="AG43" s="34">
        <f>IF($T43=0,0,IFERROR(--MID(TRIM($A43),2,9),0))</f>
        <v/>
      </c>
      <c r="AH43" s="22">
        <f>IFERROR(LEFT(TRIM($D43),SEARCH(" (",TRIM($D43))-1),TRIM($D43))</f>
        <v/>
      </c>
      <c r="AI43" s="34">
        <f>IF(AND($T43=1,$J43="Closed",$G43="High",ISNUMBER($K43)),IF($K43&gt;=Summary!$K$6,1,0),0)</f>
        <v/>
      </c>
      <c r="AJ43" s="34">
        <f>IF($AI43=1,SUM($AI$4:$AI43),0)</f>
        <v/>
      </c>
    </row>
    <row r="44" ht="18" customHeight="1">
      <c r="A44" s="30" t="n"/>
      <c r="B44" s="30" t="n"/>
      <c r="C44" s="31" t="n"/>
      <c r="D44" s="31" t="n"/>
      <c r="E44" s="32" t="n"/>
      <c r="F44" s="32" t="n"/>
      <c r="G44" s="30" t="n"/>
      <c r="H44" s="30" t="n"/>
      <c r="I44" s="31" t="n"/>
      <c r="J44" s="30" t="n"/>
      <c r="K44" s="32" t="n"/>
      <c r="L44" s="31" t="n"/>
      <c r="M44" s="30" t="n"/>
      <c r="N44" s="31" t="n"/>
      <c r="O44" s="31" t="n"/>
      <c r="P44" s="32" t="n"/>
      <c r="Q44" s="30" t="n"/>
      <c r="R44" s="33">
        <f>IF($T44=0,"",IF($AF44=1,"△ The log can't read this line",IF($W44=1,"△ Needs one owner, written as Name (Role)",IF($X44=1,"△ Look-again date missing, passed or too far ahead",IF($Y44=1,"△ No response",IF($Z44=1,"△ Closed without a date or a reason",IF($AA44=1,"△ Needs Provided by and Needed by, and Who answers as Name (Role)",IF($AB44=1,"△ Past its Needed by date","○ Clear"))))))))</f>
        <v/>
      </c>
      <c r="T44" s="34">
        <f>IF(COUNTA($A44:$Q44)&gt;0,1,0)</f>
        <v/>
      </c>
      <c r="U44" s="34">
        <f>IF(AND($T44=1,$J44&lt;&gt;"Closed"),1,0)</f>
        <v/>
      </c>
      <c r="V44" s="34">
        <f>IF(AND($U44=1,$Q44&lt;&gt;"Program workbook"),1,0)</f>
        <v/>
      </c>
      <c r="W44" s="34">
        <f>IF($V44=0,0,IF(OR(ISERROR(SEARCH(" (",$D44)),RIGHT(TRIM($D44),1)&lt;&gt;")",ISNUMBER(SEARCH(",",$AH44)),ISNUMBER(SEARCH("/",$AH44)),ISNUMBER(SEARCH(" and ",$AH44)),ISNUMBER(SEARCH("&amp;",$AH44))),1,0))</f>
        <v/>
      </c>
      <c r="X44" s="34">
        <f>IF($V44=0,0,IF(NOT(ISNUMBER($F44)),1,IF(OR($F44&lt;Summary!$K$4,$F44&gt;Summary!$K$4+Summary!$K$5,AND(ISNUMBER($P44),$F44&gt;$P44)),1,0)))</f>
        <v/>
      </c>
      <c r="Y44" s="34">
        <f>IF(AND($V44=1,OR($B44="Risk",$B44="Issue"),LEN(TRIM($I44))=0),1,0)</f>
        <v/>
      </c>
      <c r="Z44" s="34">
        <f>IF(AND($T44=1,$J44="Closed",OR(NOT(ISNUMBER($K44)),LEN(TRIM($L44))=0)),1,0)</f>
        <v/>
      </c>
      <c r="AA44" s="34">
        <f>IF(AND($U44=1,$B44="Dependency"),IF(OR(LEN(TRIM($N44))=0,NOT(ISNUMBER($P44)),NOT(AND(ISNUMBER(SEARCH(" (",$O44)),RIGHT(TRIM($O44),1)=")"))),1,0),0)</f>
        <v/>
      </c>
      <c r="AB44" s="34">
        <f>IF(AND($V44=1,$B44="Dependency",ISNUMBER($P44)),IF($P44&lt;Summary!$K$4,1,0),0)</f>
        <v/>
      </c>
      <c r="AC44" s="34">
        <f>IF($T44=0,0,IF(OR($A44="",COUNTIF($A$4:$A$153,$A44)&gt;1,ISERROR(MATCH($B44,{"Risk","Assumption","Issue","Dependency"},0))),1,IF(INDEX({"R","A","I","X"},MATCH($B44,{"Risk","Assumption","Issue","Dependency"},0))&lt;&gt;LEFT($A44,1),1,0)))</f>
        <v/>
      </c>
      <c r="AD44" s="34">
        <f>IF($T44=0,0,IF(OR(ISERROR(MATCH($J44,{"Raised","Responding","Closed"},0)),ISERROR(MATCH($G44,{"Low","Medium","High"},0)),AND(OR($B44="Risk",$B44="Assumption"),ISERROR(MATCH($H44,{"Low","Medium","High"},0))),AND($Q44&lt;&gt;"",$Q44&lt;&gt;"This log",$Q44&lt;&gt;"Program workbook"),AND($J44&lt;&gt;"Closed",OR($K44&lt;&gt;"",LEN(TRIM($L44))&gt;0))),1,0))</f>
        <v/>
      </c>
      <c r="AE44" s="34">
        <f>IF($T44=0,0,IF(OR(NOT(ISNUMBER($E44)),AND($F44&lt;&gt;"",NOT(ISNUMBER($F44))),AND($K44&lt;&gt;"",NOT(ISNUMBER($K44))),AND($P44&lt;&gt;"",NOT(ISNUMBER($P44)))),1,0))</f>
        <v/>
      </c>
      <c r="AF44" s="34">
        <f>MAX($AC44,$AD44,$AE44)</f>
        <v/>
      </c>
      <c r="AG44" s="34">
        <f>IF($T44=0,0,IFERROR(--MID(TRIM($A44),2,9),0))</f>
        <v/>
      </c>
      <c r="AH44" s="22">
        <f>IFERROR(LEFT(TRIM($D44),SEARCH(" (",TRIM($D44))-1),TRIM($D44))</f>
        <v/>
      </c>
      <c r="AI44" s="34">
        <f>IF(AND($T44=1,$J44="Closed",$G44="High",ISNUMBER($K44)),IF($K44&gt;=Summary!$K$6,1,0),0)</f>
        <v/>
      </c>
      <c r="AJ44" s="34">
        <f>IF($AI44=1,SUM($AI$4:$AI44),0)</f>
        <v/>
      </c>
    </row>
    <row r="45" ht="18" customHeight="1">
      <c r="A45" s="30" t="n"/>
      <c r="B45" s="30" t="n"/>
      <c r="C45" s="31" t="n"/>
      <c r="D45" s="31" t="n"/>
      <c r="E45" s="32" t="n"/>
      <c r="F45" s="32" t="n"/>
      <c r="G45" s="30" t="n"/>
      <c r="H45" s="30" t="n"/>
      <c r="I45" s="31" t="n"/>
      <c r="J45" s="30" t="n"/>
      <c r="K45" s="32" t="n"/>
      <c r="L45" s="31" t="n"/>
      <c r="M45" s="30" t="n"/>
      <c r="N45" s="31" t="n"/>
      <c r="O45" s="31" t="n"/>
      <c r="P45" s="32" t="n"/>
      <c r="Q45" s="30" t="n"/>
      <c r="R45" s="33">
        <f>IF($T45=0,"",IF($AF45=1,"△ The log can't read this line",IF($W45=1,"△ Needs one owner, written as Name (Role)",IF($X45=1,"△ Look-again date missing, passed or too far ahead",IF($Y45=1,"△ No response",IF($Z45=1,"△ Closed without a date or a reason",IF($AA45=1,"△ Needs Provided by and Needed by, and Who answers as Name (Role)",IF($AB45=1,"△ Past its Needed by date","○ Clear"))))))))</f>
        <v/>
      </c>
      <c r="T45" s="34">
        <f>IF(COUNTA($A45:$Q45)&gt;0,1,0)</f>
        <v/>
      </c>
      <c r="U45" s="34">
        <f>IF(AND($T45=1,$J45&lt;&gt;"Closed"),1,0)</f>
        <v/>
      </c>
      <c r="V45" s="34">
        <f>IF(AND($U45=1,$Q45&lt;&gt;"Program workbook"),1,0)</f>
        <v/>
      </c>
      <c r="W45" s="34">
        <f>IF($V45=0,0,IF(OR(ISERROR(SEARCH(" (",$D45)),RIGHT(TRIM($D45),1)&lt;&gt;")",ISNUMBER(SEARCH(",",$AH45)),ISNUMBER(SEARCH("/",$AH45)),ISNUMBER(SEARCH(" and ",$AH45)),ISNUMBER(SEARCH("&amp;",$AH45))),1,0))</f>
        <v/>
      </c>
      <c r="X45" s="34">
        <f>IF($V45=0,0,IF(NOT(ISNUMBER($F45)),1,IF(OR($F45&lt;Summary!$K$4,$F45&gt;Summary!$K$4+Summary!$K$5,AND(ISNUMBER($P45),$F45&gt;$P45)),1,0)))</f>
        <v/>
      </c>
      <c r="Y45" s="34">
        <f>IF(AND($V45=1,OR($B45="Risk",$B45="Issue"),LEN(TRIM($I45))=0),1,0)</f>
        <v/>
      </c>
      <c r="Z45" s="34">
        <f>IF(AND($T45=1,$J45="Closed",OR(NOT(ISNUMBER($K45)),LEN(TRIM($L45))=0)),1,0)</f>
        <v/>
      </c>
      <c r="AA45" s="34">
        <f>IF(AND($U45=1,$B45="Dependency"),IF(OR(LEN(TRIM($N45))=0,NOT(ISNUMBER($P45)),NOT(AND(ISNUMBER(SEARCH(" (",$O45)),RIGHT(TRIM($O45),1)=")"))),1,0),0)</f>
        <v/>
      </c>
      <c r="AB45" s="34">
        <f>IF(AND($V45=1,$B45="Dependency",ISNUMBER($P45)),IF($P45&lt;Summary!$K$4,1,0),0)</f>
        <v/>
      </c>
      <c r="AC45" s="34">
        <f>IF($T45=0,0,IF(OR($A45="",COUNTIF($A$4:$A$153,$A45)&gt;1,ISERROR(MATCH($B45,{"Risk","Assumption","Issue","Dependency"},0))),1,IF(INDEX({"R","A","I","X"},MATCH($B45,{"Risk","Assumption","Issue","Dependency"},0))&lt;&gt;LEFT($A45,1),1,0)))</f>
        <v/>
      </c>
      <c r="AD45" s="34">
        <f>IF($T45=0,0,IF(OR(ISERROR(MATCH($J45,{"Raised","Responding","Closed"},0)),ISERROR(MATCH($G45,{"Low","Medium","High"},0)),AND(OR($B45="Risk",$B45="Assumption"),ISERROR(MATCH($H45,{"Low","Medium","High"},0))),AND($Q45&lt;&gt;"",$Q45&lt;&gt;"This log",$Q45&lt;&gt;"Program workbook"),AND($J45&lt;&gt;"Closed",OR($K45&lt;&gt;"",LEN(TRIM($L45))&gt;0))),1,0))</f>
        <v/>
      </c>
      <c r="AE45" s="34">
        <f>IF($T45=0,0,IF(OR(NOT(ISNUMBER($E45)),AND($F45&lt;&gt;"",NOT(ISNUMBER($F45))),AND($K45&lt;&gt;"",NOT(ISNUMBER($K45))),AND($P45&lt;&gt;"",NOT(ISNUMBER($P45)))),1,0))</f>
        <v/>
      </c>
      <c r="AF45" s="34">
        <f>MAX($AC45,$AD45,$AE45)</f>
        <v/>
      </c>
      <c r="AG45" s="34">
        <f>IF($T45=0,0,IFERROR(--MID(TRIM($A45),2,9),0))</f>
        <v/>
      </c>
      <c r="AH45" s="22">
        <f>IFERROR(LEFT(TRIM($D45),SEARCH(" (",TRIM($D45))-1),TRIM($D45))</f>
        <v/>
      </c>
      <c r="AI45" s="34">
        <f>IF(AND($T45=1,$J45="Closed",$G45="High",ISNUMBER($K45)),IF($K45&gt;=Summary!$K$6,1,0),0)</f>
        <v/>
      </c>
      <c r="AJ45" s="34">
        <f>IF($AI45=1,SUM($AI$4:$AI45),0)</f>
        <v/>
      </c>
    </row>
    <row r="46" ht="18" customHeight="1">
      <c r="A46" s="30" t="n"/>
      <c r="B46" s="30" t="n"/>
      <c r="C46" s="31" t="n"/>
      <c r="D46" s="31" t="n"/>
      <c r="E46" s="32" t="n"/>
      <c r="F46" s="32" t="n"/>
      <c r="G46" s="30" t="n"/>
      <c r="H46" s="30" t="n"/>
      <c r="I46" s="31" t="n"/>
      <c r="J46" s="30" t="n"/>
      <c r="K46" s="32" t="n"/>
      <c r="L46" s="31" t="n"/>
      <c r="M46" s="30" t="n"/>
      <c r="N46" s="31" t="n"/>
      <c r="O46" s="31" t="n"/>
      <c r="P46" s="32" t="n"/>
      <c r="Q46" s="30" t="n"/>
      <c r="R46" s="33">
        <f>IF($T46=0,"",IF($AF46=1,"△ The log can't read this line",IF($W46=1,"△ Needs one owner, written as Name (Role)",IF($X46=1,"△ Look-again date missing, passed or too far ahead",IF($Y46=1,"△ No response",IF($Z46=1,"△ Closed without a date or a reason",IF($AA46=1,"△ Needs Provided by and Needed by, and Who answers as Name (Role)",IF($AB46=1,"△ Past its Needed by date","○ Clear"))))))))</f>
        <v/>
      </c>
      <c r="T46" s="34">
        <f>IF(COUNTA($A46:$Q46)&gt;0,1,0)</f>
        <v/>
      </c>
      <c r="U46" s="34">
        <f>IF(AND($T46=1,$J46&lt;&gt;"Closed"),1,0)</f>
        <v/>
      </c>
      <c r="V46" s="34">
        <f>IF(AND($U46=1,$Q46&lt;&gt;"Program workbook"),1,0)</f>
        <v/>
      </c>
      <c r="W46" s="34">
        <f>IF($V46=0,0,IF(OR(ISERROR(SEARCH(" (",$D46)),RIGHT(TRIM($D46),1)&lt;&gt;")",ISNUMBER(SEARCH(",",$AH46)),ISNUMBER(SEARCH("/",$AH46)),ISNUMBER(SEARCH(" and ",$AH46)),ISNUMBER(SEARCH("&amp;",$AH46))),1,0))</f>
        <v/>
      </c>
      <c r="X46" s="34">
        <f>IF($V46=0,0,IF(NOT(ISNUMBER($F46)),1,IF(OR($F46&lt;Summary!$K$4,$F46&gt;Summary!$K$4+Summary!$K$5,AND(ISNUMBER($P46),$F46&gt;$P46)),1,0)))</f>
        <v/>
      </c>
      <c r="Y46" s="34">
        <f>IF(AND($V46=1,OR($B46="Risk",$B46="Issue"),LEN(TRIM($I46))=0),1,0)</f>
        <v/>
      </c>
      <c r="Z46" s="34">
        <f>IF(AND($T46=1,$J46="Closed",OR(NOT(ISNUMBER($K46)),LEN(TRIM($L46))=0)),1,0)</f>
        <v/>
      </c>
      <c r="AA46" s="34">
        <f>IF(AND($U46=1,$B46="Dependency"),IF(OR(LEN(TRIM($N46))=0,NOT(ISNUMBER($P46)),NOT(AND(ISNUMBER(SEARCH(" (",$O46)),RIGHT(TRIM($O46),1)=")"))),1,0),0)</f>
        <v/>
      </c>
      <c r="AB46" s="34">
        <f>IF(AND($V46=1,$B46="Dependency",ISNUMBER($P46)),IF($P46&lt;Summary!$K$4,1,0),0)</f>
        <v/>
      </c>
      <c r="AC46" s="34">
        <f>IF($T46=0,0,IF(OR($A46="",COUNTIF($A$4:$A$153,$A46)&gt;1,ISERROR(MATCH($B46,{"Risk","Assumption","Issue","Dependency"},0))),1,IF(INDEX({"R","A","I","X"},MATCH($B46,{"Risk","Assumption","Issue","Dependency"},0))&lt;&gt;LEFT($A46,1),1,0)))</f>
        <v/>
      </c>
      <c r="AD46" s="34">
        <f>IF($T46=0,0,IF(OR(ISERROR(MATCH($J46,{"Raised","Responding","Closed"},0)),ISERROR(MATCH($G46,{"Low","Medium","High"},0)),AND(OR($B46="Risk",$B46="Assumption"),ISERROR(MATCH($H46,{"Low","Medium","High"},0))),AND($Q46&lt;&gt;"",$Q46&lt;&gt;"This log",$Q46&lt;&gt;"Program workbook"),AND($J46&lt;&gt;"Closed",OR($K46&lt;&gt;"",LEN(TRIM($L46))&gt;0))),1,0))</f>
        <v/>
      </c>
      <c r="AE46" s="34">
        <f>IF($T46=0,0,IF(OR(NOT(ISNUMBER($E46)),AND($F46&lt;&gt;"",NOT(ISNUMBER($F46))),AND($K46&lt;&gt;"",NOT(ISNUMBER($K46))),AND($P46&lt;&gt;"",NOT(ISNUMBER($P46)))),1,0))</f>
        <v/>
      </c>
      <c r="AF46" s="34">
        <f>MAX($AC46,$AD46,$AE46)</f>
        <v/>
      </c>
      <c r="AG46" s="34">
        <f>IF($T46=0,0,IFERROR(--MID(TRIM($A46),2,9),0))</f>
        <v/>
      </c>
      <c r="AH46" s="22">
        <f>IFERROR(LEFT(TRIM($D46),SEARCH(" (",TRIM($D46))-1),TRIM($D46))</f>
        <v/>
      </c>
      <c r="AI46" s="34">
        <f>IF(AND($T46=1,$J46="Closed",$G46="High",ISNUMBER($K46)),IF($K46&gt;=Summary!$K$6,1,0),0)</f>
        <v/>
      </c>
      <c r="AJ46" s="34">
        <f>IF($AI46=1,SUM($AI$4:$AI46),0)</f>
        <v/>
      </c>
    </row>
    <row r="47" ht="18" customHeight="1">
      <c r="A47" s="30" t="n"/>
      <c r="B47" s="30" t="n"/>
      <c r="C47" s="31" t="n"/>
      <c r="D47" s="31" t="n"/>
      <c r="E47" s="32" t="n"/>
      <c r="F47" s="32" t="n"/>
      <c r="G47" s="30" t="n"/>
      <c r="H47" s="30" t="n"/>
      <c r="I47" s="31" t="n"/>
      <c r="J47" s="30" t="n"/>
      <c r="K47" s="32" t="n"/>
      <c r="L47" s="31" t="n"/>
      <c r="M47" s="30" t="n"/>
      <c r="N47" s="31" t="n"/>
      <c r="O47" s="31" t="n"/>
      <c r="P47" s="32" t="n"/>
      <c r="Q47" s="30" t="n"/>
      <c r="R47" s="33">
        <f>IF($T47=0,"",IF($AF47=1,"△ The log can't read this line",IF($W47=1,"△ Needs one owner, written as Name (Role)",IF($X47=1,"△ Look-again date missing, passed or too far ahead",IF($Y47=1,"△ No response",IF($Z47=1,"△ Closed without a date or a reason",IF($AA47=1,"△ Needs Provided by and Needed by, and Who answers as Name (Role)",IF($AB47=1,"△ Past its Needed by date","○ Clear"))))))))</f>
        <v/>
      </c>
      <c r="T47" s="34">
        <f>IF(COUNTA($A47:$Q47)&gt;0,1,0)</f>
        <v/>
      </c>
      <c r="U47" s="34">
        <f>IF(AND($T47=1,$J47&lt;&gt;"Closed"),1,0)</f>
        <v/>
      </c>
      <c r="V47" s="34">
        <f>IF(AND($U47=1,$Q47&lt;&gt;"Program workbook"),1,0)</f>
        <v/>
      </c>
      <c r="W47" s="34">
        <f>IF($V47=0,0,IF(OR(ISERROR(SEARCH(" (",$D47)),RIGHT(TRIM($D47),1)&lt;&gt;")",ISNUMBER(SEARCH(",",$AH47)),ISNUMBER(SEARCH("/",$AH47)),ISNUMBER(SEARCH(" and ",$AH47)),ISNUMBER(SEARCH("&amp;",$AH47))),1,0))</f>
        <v/>
      </c>
      <c r="X47" s="34">
        <f>IF($V47=0,0,IF(NOT(ISNUMBER($F47)),1,IF(OR($F47&lt;Summary!$K$4,$F47&gt;Summary!$K$4+Summary!$K$5,AND(ISNUMBER($P47),$F47&gt;$P47)),1,0)))</f>
        <v/>
      </c>
      <c r="Y47" s="34">
        <f>IF(AND($V47=1,OR($B47="Risk",$B47="Issue"),LEN(TRIM($I47))=0),1,0)</f>
        <v/>
      </c>
      <c r="Z47" s="34">
        <f>IF(AND($T47=1,$J47="Closed",OR(NOT(ISNUMBER($K47)),LEN(TRIM($L47))=0)),1,0)</f>
        <v/>
      </c>
      <c r="AA47" s="34">
        <f>IF(AND($U47=1,$B47="Dependency"),IF(OR(LEN(TRIM($N47))=0,NOT(ISNUMBER($P47)),NOT(AND(ISNUMBER(SEARCH(" (",$O47)),RIGHT(TRIM($O47),1)=")"))),1,0),0)</f>
        <v/>
      </c>
      <c r="AB47" s="34">
        <f>IF(AND($V47=1,$B47="Dependency",ISNUMBER($P47)),IF($P47&lt;Summary!$K$4,1,0),0)</f>
        <v/>
      </c>
      <c r="AC47" s="34">
        <f>IF($T47=0,0,IF(OR($A47="",COUNTIF($A$4:$A$153,$A47)&gt;1,ISERROR(MATCH($B47,{"Risk","Assumption","Issue","Dependency"},0))),1,IF(INDEX({"R","A","I","X"},MATCH($B47,{"Risk","Assumption","Issue","Dependency"},0))&lt;&gt;LEFT($A47,1),1,0)))</f>
        <v/>
      </c>
      <c r="AD47" s="34">
        <f>IF($T47=0,0,IF(OR(ISERROR(MATCH($J47,{"Raised","Responding","Closed"},0)),ISERROR(MATCH($G47,{"Low","Medium","High"},0)),AND(OR($B47="Risk",$B47="Assumption"),ISERROR(MATCH($H47,{"Low","Medium","High"},0))),AND($Q47&lt;&gt;"",$Q47&lt;&gt;"This log",$Q47&lt;&gt;"Program workbook"),AND($J47&lt;&gt;"Closed",OR($K47&lt;&gt;"",LEN(TRIM($L47))&gt;0))),1,0))</f>
        <v/>
      </c>
      <c r="AE47" s="34">
        <f>IF($T47=0,0,IF(OR(NOT(ISNUMBER($E47)),AND($F47&lt;&gt;"",NOT(ISNUMBER($F47))),AND($K47&lt;&gt;"",NOT(ISNUMBER($K47))),AND($P47&lt;&gt;"",NOT(ISNUMBER($P47)))),1,0))</f>
        <v/>
      </c>
      <c r="AF47" s="34">
        <f>MAX($AC47,$AD47,$AE47)</f>
        <v/>
      </c>
      <c r="AG47" s="34">
        <f>IF($T47=0,0,IFERROR(--MID(TRIM($A47),2,9),0))</f>
        <v/>
      </c>
      <c r="AH47" s="22">
        <f>IFERROR(LEFT(TRIM($D47),SEARCH(" (",TRIM($D47))-1),TRIM($D47))</f>
        <v/>
      </c>
      <c r="AI47" s="34">
        <f>IF(AND($T47=1,$J47="Closed",$G47="High",ISNUMBER($K47)),IF($K47&gt;=Summary!$K$6,1,0),0)</f>
        <v/>
      </c>
      <c r="AJ47" s="34">
        <f>IF($AI47=1,SUM($AI$4:$AI47),0)</f>
        <v/>
      </c>
    </row>
    <row r="48" ht="18" customHeight="1">
      <c r="A48" s="30" t="n"/>
      <c r="B48" s="30" t="n"/>
      <c r="C48" s="31" t="n"/>
      <c r="D48" s="31" t="n"/>
      <c r="E48" s="32" t="n"/>
      <c r="F48" s="32" t="n"/>
      <c r="G48" s="30" t="n"/>
      <c r="H48" s="30" t="n"/>
      <c r="I48" s="31" t="n"/>
      <c r="J48" s="30" t="n"/>
      <c r="K48" s="32" t="n"/>
      <c r="L48" s="31" t="n"/>
      <c r="M48" s="30" t="n"/>
      <c r="N48" s="31" t="n"/>
      <c r="O48" s="31" t="n"/>
      <c r="P48" s="32" t="n"/>
      <c r="Q48" s="30" t="n"/>
      <c r="R48" s="33">
        <f>IF($T48=0,"",IF($AF48=1,"△ The log can't read this line",IF($W48=1,"△ Needs one owner, written as Name (Role)",IF($X48=1,"△ Look-again date missing, passed or too far ahead",IF($Y48=1,"△ No response",IF($Z48=1,"△ Closed without a date or a reason",IF($AA48=1,"△ Needs Provided by and Needed by, and Who answers as Name (Role)",IF($AB48=1,"△ Past its Needed by date","○ Clear"))))))))</f>
        <v/>
      </c>
      <c r="T48" s="34">
        <f>IF(COUNTA($A48:$Q48)&gt;0,1,0)</f>
        <v/>
      </c>
      <c r="U48" s="34">
        <f>IF(AND($T48=1,$J48&lt;&gt;"Closed"),1,0)</f>
        <v/>
      </c>
      <c r="V48" s="34">
        <f>IF(AND($U48=1,$Q48&lt;&gt;"Program workbook"),1,0)</f>
        <v/>
      </c>
      <c r="W48" s="34">
        <f>IF($V48=0,0,IF(OR(ISERROR(SEARCH(" (",$D48)),RIGHT(TRIM($D48),1)&lt;&gt;")",ISNUMBER(SEARCH(",",$AH48)),ISNUMBER(SEARCH("/",$AH48)),ISNUMBER(SEARCH(" and ",$AH48)),ISNUMBER(SEARCH("&amp;",$AH48))),1,0))</f>
        <v/>
      </c>
      <c r="X48" s="34">
        <f>IF($V48=0,0,IF(NOT(ISNUMBER($F48)),1,IF(OR($F48&lt;Summary!$K$4,$F48&gt;Summary!$K$4+Summary!$K$5,AND(ISNUMBER($P48),$F48&gt;$P48)),1,0)))</f>
        <v/>
      </c>
      <c r="Y48" s="34">
        <f>IF(AND($V48=1,OR($B48="Risk",$B48="Issue"),LEN(TRIM($I48))=0),1,0)</f>
        <v/>
      </c>
      <c r="Z48" s="34">
        <f>IF(AND($T48=1,$J48="Closed",OR(NOT(ISNUMBER($K48)),LEN(TRIM($L48))=0)),1,0)</f>
        <v/>
      </c>
      <c r="AA48" s="34">
        <f>IF(AND($U48=1,$B48="Dependency"),IF(OR(LEN(TRIM($N48))=0,NOT(ISNUMBER($P48)),NOT(AND(ISNUMBER(SEARCH(" (",$O48)),RIGHT(TRIM($O48),1)=")"))),1,0),0)</f>
        <v/>
      </c>
      <c r="AB48" s="34">
        <f>IF(AND($V48=1,$B48="Dependency",ISNUMBER($P48)),IF($P48&lt;Summary!$K$4,1,0),0)</f>
        <v/>
      </c>
      <c r="AC48" s="34">
        <f>IF($T48=0,0,IF(OR($A48="",COUNTIF($A$4:$A$153,$A48)&gt;1,ISERROR(MATCH($B48,{"Risk","Assumption","Issue","Dependency"},0))),1,IF(INDEX({"R","A","I","X"},MATCH($B48,{"Risk","Assumption","Issue","Dependency"},0))&lt;&gt;LEFT($A48,1),1,0)))</f>
        <v/>
      </c>
      <c r="AD48" s="34">
        <f>IF($T48=0,0,IF(OR(ISERROR(MATCH($J48,{"Raised","Responding","Closed"},0)),ISERROR(MATCH($G48,{"Low","Medium","High"},0)),AND(OR($B48="Risk",$B48="Assumption"),ISERROR(MATCH($H48,{"Low","Medium","High"},0))),AND($Q48&lt;&gt;"",$Q48&lt;&gt;"This log",$Q48&lt;&gt;"Program workbook"),AND($J48&lt;&gt;"Closed",OR($K48&lt;&gt;"",LEN(TRIM($L48))&gt;0))),1,0))</f>
        <v/>
      </c>
      <c r="AE48" s="34">
        <f>IF($T48=0,0,IF(OR(NOT(ISNUMBER($E48)),AND($F48&lt;&gt;"",NOT(ISNUMBER($F48))),AND($K48&lt;&gt;"",NOT(ISNUMBER($K48))),AND($P48&lt;&gt;"",NOT(ISNUMBER($P48)))),1,0))</f>
        <v/>
      </c>
      <c r="AF48" s="34">
        <f>MAX($AC48,$AD48,$AE48)</f>
        <v/>
      </c>
      <c r="AG48" s="34">
        <f>IF($T48=0,0,IFERROR(--MID(TRIM($A48),2,9),0))</f>
        <v/>
      </c>
      <c r="AH48" s="22">
        <f>IFERROR(LEFT(TRIM($D48),SEARCH(" (",TRIM($D48))-1),TRIM($D48))</f>
        <v/>
      </c>
      <c r="AI48" s="34">
        <f>IF(AND($T48=1,$J48="Closed",$G48="High",ISNUMBER($K48)),IF($K48&gt;=Summary!$K$6,1,0),0)</f>
        <v/>
      </c>
      <c r="AJ48" s="34">
        <f>IF($AI48=1,SUM($AI$4:$AI48),0)</f>
        <v/>
      </c>
    </row>
    <row r="49" ht="18" customHeight="1">
      <c r="A49" s="30" t="n"/>
      <c r="B49" s="30" t="n"/>
      <c r="C49" s="31" t="n"/>
      <c r="D49" s="31" t="n"/>
      <c r="E49" s="32" t="n"/>
      <c r="F49" s="32" t="n"/>
      <c r="G49" s="30" t="n"/>
      <c r="H49" s="30" t="n"/>
      <c r="I49" s="31" t="n"/>
      <c r="J49" s="30" t="n"/>
      <c r="K49" s="32" t="n"/>
      <c r="L49" s="31" t="n"/>
      <c r="M49" s="30" t="n"/>
      <c r="N49" s="31" t="n"/>
      <c r="O49" s="31" t="n"/>
      <c r="P49" s="32" t="n"/>
      <c r="Q49" s="30" t="n"/>
      <c r="R49" s="33">
        <f>IF($T49=0,"",IF($AF49=1,"△ The log can't read this line",IF($W49=1,"△ Needs one owner, written as Name (Role)",IF($X49=1,"△ Look-again date missing, passed or too far ahead",IF($Y49=1,"△ No response",IF($Z49=1,"△ Closed without a date or a reason",IF($AA49=1,"△ Needs Provided by and Needed by, and Who answers as Name (Role)",IF($AB49=1,"△ Past its Needed by date","○ Clear"))))))))</f>
        <v/>
      </c>
      <c r="T49" s="34">
        <f>IF(COUNTA($A49:$Q49)&gt;0,1,0)</f>
        <v/>
      </c>
      <c r="U49" s="34">
        <f>IF(AND($T49=1,$J49&lt;&gt;"Closed"),1,0)</f>
        <v/>
      </c>
      <c r="V49" s="34">
        <f>IF(AND($U49=1,$Q49&lt;&gt;"Program workbook"),1,0)</f>
        <v/>
      </c>
      <c r="W49" s="34">
        <f>IF($V49=0,0,IF(OR(ISERROR(SEARCH(" (",$D49)),RIGHT(TRIM($D49),1)&lt;&gt;")",ISNUMBER(SEARCH(",",$AH49)),ISNUMBER(SEARCH("/",$AH49)),ISNUMBER(SEARCH(" and ",$AH49)),ISNUMBER(SEARCH("&amp;",$AH49))),1,0))</f>
        <v/>
      </c>
      <c r="X49" s="34">
        <f>IF($V49=0,0,IF(NOT(ISNUMBER($F49)),1,IF(OR($F49&lt;Summary!$K$4,$F49&gt;Summary!$K$4+Summary!$K$5,AND(ISNUMBER($P49),$F49&gt;$P49)),1,0)))</f>
        <v/>
      </c>
      <c r="Y49" s="34">
        <f>IF(AND($V49=1,OR($B49="Risk",$B49="Issue"),LEN(TRIM($I49))=0),1,0)</f>
        <v/>
      </c>
      <c r="Z49" s="34">
        <f>IF(AND($T49=1,$J49="Closed",OR(NOT(ISNUMBER($K49)),LEN(TRIM($L49))=0)),1,0)</f>
        <v/>
      </c>
      <c r="AA49" s="34">
        <f>IF(AND($U49=1,$B49="Dependency"),IF(OR(LEN(TRIM($N49))=0,NOT(ISNUMBER($P49)),NOT(AND(ISNUMBER(SEARCH(" (",$O49)),RIGHT(TRIM($O49),1)=")"))),1,0),0)</f>
        <v/>
      </c>
      <c r="AB49" s="34">
        <f>IF(AND($V49=1,$B49="Dependency",ISNUMBER($P49)),IF($P49&lt;Summary!$K$4,1,0),0)</f>
        <v/>
      </c>
      <c r="AC49" s="34">
        <f>IF($T49=0,0,IF(OR($A49="",COUNTIF($A$4:$A$153,$A49)&gt;1,ISERROR(MATCH($B49,{"Risk","Assumption","Issue","Dependency"},0))),1,IF(INDEX({"R","A","I","X"},MATCH($B49,{"Risk","Assumption","Issue","Dependency"},0))&lt;&gt;LEFT($A49,1),1,0)))</f>
        <v/>
      </c>
      <c r="AD49" s="34">
        <f>IF($T49=0,0,IF(OR(ISERROR(MATCH($J49,{"Raised","Responding","Closed"},0)),ISERROR(MATCH($G49,{"Low","Medium","High"},0)),AND(OR($B49="Risk",$B49="Assumption"),ISERROR(MATCH($H49,{"Low","Medium","High"},0))),AND($Q49&lt;&gt;"",$Q49&lt;&gt;"This log",$Q49&lt;&gt;"Program workbook"),AND($J49&lt;&gt;"Closed",OR($K49&lt;&gt;"",LEN(TRIM($L49))&gt;0))),1,0))</f>
        <v/>
      </c>
      <c r="AE49" s="34">
        <f>IF($T49=0,0,IF(OR(NOT(ISNUMBER($E49)),AND($F49&lt;&gt;"",NOT(ISNUMBER($F49))),AND($K49&lt;&gt;"",NOT(ISNUMBER($K49))),AND($P49&lt;&gt;"",NOT(ISNUMBER($P49)))),1,0))</f>
        <v/>
      </c>
      <c r="AF49" s="34">
        <f>MAX($AC49,$AD49,$AE49)</f>
        <v/>
      </c>
      <c r="AG49" s="34">
        <f>IF($T49=0,0,IFERROR(--MID(TRIM($A49),2,9),0))</f>
        <v/>
      </c>
      <c r="AH49" s="22">
        <f>IFERROR(LEFT(TRIM($D49),SEARCH(" (",TRIM($D49))-1),TRIM($D49))</f>
        <v/>
      </c>
      <c r="AI49" s="34">
        <f>IF(AND($T49=1,$J49="Closed",$G49="High",ISNUMBER($K49)),IF($K49&gt;=Summary!$K$6,1,0),0)</f>
        <v/>
      </c>
      <c r="AJ49" s="34">
        <f>IF($AI49=1,SUM($AI$4:$AI49),0)</f>
        <v/>
      </c>
    </row>
    <row r="50" ht="18" customHeight="1">
      <c r="A50" s="30" t="n"/>
      <c r="B50" s="30" t="n"/>
      <c r="C50" s="31" t="n"/>
      <c r="D50" s="31" t="n"/>
      <c r="E50" s="32" t="n"/>
      <c r="F50" s="32" t="n"/>
      <c r="G50" s="30" t="n"/>
      <c r="H50" s="30" t="n"/>
      <c r="I50" s="31" t="n"/>
      <c r="J50" s="30" t="n"/>
      <c r="K50" s="32" t="n"/>
      <c r="L50" s="31" t="n"/>
      <c r="M50" s="30" t="n"/>
      <c r="N50" s="31" t="n"/>
      <c r="O50" s="31" t="n"/>
      <c r="P50" s="32" t="n"/>
      <c r="Q50" s="30" t="n"/>
      <c r="R50" s="33">
        <f>IF($T50=0,"",IF($AF50=1,"△ The log can't read this line",IF($W50=1,"△ Needs one owner, written as Name (Role)",IF($X50=1,"△ Look-again date missing, passed or too far ahead",IF($Y50=1,"△ No response",IF($Z50=1,"△ Closed without a date or a reason",IF($AA50=1,"△ Needs Provided by and Needed by, and Who answers as Name (Role)",IF($AB50=1,"△ Past its Needed by date","○ Clear"))))))))</f>
        <v/>
      </c>
      <c r="T50" s="34">
        <f>IF(COUNTA($A50:$Q50)&gt;0,1,0)</f>
        <v/>
      </c>
      <c r="U50" s="34">
        <f>IF(AND($T50=1,$J50&lt;&gt;"Closed"),1,0)</f>
        <v/>
      </c>
      <c r="V50" s="34">
        <f>IF(AND($U50=1,$Q50&lt;&gt;"Program workbook"),1,0)</f>
        <v/>
      </c>
      <c r="W50" s="34">
        <f>IF($V50=0,0,IF(OR(ISERROR(SEARCH(" (",$D50)),RIGHT(TRIM($D50),1)&lt;&gt;")",ISNUMBER(SEARCH(",",$AH50)),ISNUMBER(SEARCH("/",$AH50)),ISNUMBER(SEARCH(" and ",$AH50)),ISNUMBER(SEARCH("&amp;",$AH50))),1,0))</f>
        <v/>
      </c>
      <c r="X50" s="34">
        <f>IF($V50=0,0,IF(NOT(ISNUMBER($F50)),1,IF(OR($F50&lt;Summary!$K$4,$F50&gt;Summary!$K$4+Summary!$K$5,AND(ISNUMBER($P50),$F50&gt;$P50)),1,0)))</f>
        <v/>
      </c>
      <c r="Y50" s="34">
        <f>IF(AND($V50=1,OR($B50="Risk",$B50="Issue"),LEN(TRIM($I50))=0),1,0)</f>
        <v/>
      </c>
      <c r="Z50" s="34">
        <f>IF(AND($T50=1,$J50="Closed",OR(NOT(ISNUMBER($K50)),LEN(TRIM($L50))=0)),1,0)</f>
        <v/>
      </c>
      <c r="AA50" s="34">
        <f>IF(AND($U50=1,$B50="Dependency"),IF(OR(LEN(TRIM($N50))=0,NOT(ISNUMBER($P50)),NOT(AND(ISNUMBER(SEARCH(" (",$O50)),RIGHT(TRIM($O50),1)=")"))),1,0),0)</f>
        <v/>
      </c>
      <c r="AB50" s="34">
        <f>IF(AND($V50=1,$B50="Dependency",ISNUMBER($P50)),IF($P50&lt;Summary!$K$4,1,0),0)</f>
        <v/>
      </c>
      <c r="AC50" s="34">
        <f>IF($T50=0,0,IF(OR($A50="",COUNTIF($A$4:$A$153,$A50)&gt;1,ISERROR(MATCH($B50,{"Risk","Assumption","Issue","Dependency"},0))),1,IF(INDEX({"R","A","I","X"},MATCH($B50,{"Risk","Assumption","Issue","Dependency"},0))&lt;&gt;LEFT($A50,1),1,0)))</f>
        <v/>
      </c>
      <c r="AD50" s="34">
        <f>IF($T50=0,0,IF(OR(ISERROR(MATCH($J50,{"Raised","Responding","Closed"},0)),ISERROR(MATCH($G50,{"Low","Medium","High"},0)),AND(OR($B50="Risk",$B50="Assumption"),ISERROR(MATCH($H50,{"Low","Medium","High"},0))),AND($Q50&lt;&gt;"",$Q50&lt;&gt;"This log",$Q50&lt;&gt;"Program workbook"),AND($J50&lt;&gt;"Closed",OR($K50&lt;&gt;"",LEN(TRIM($L50))&gt;0))),1,0))</f>
        <v/>
      </c>
      <c r="AE50" s="34">
        <f>IF($T50=0,0,IF(OR(NOT(ISNUMBER($E50)),AND($F50&lt;&gt;"",NOT(ISNUMBER($F50))),AND($K50&lt;&gt;"",NOT(ISNUMBER($K50))),AND($P50&lt;&gt;"",NOT(ISNUMBER($P50)))),1,0))</f>
        <v/>
      </c>
      <c r="AF50" s="34">
        <f>MAX($AC50,$AD50,$AE50)</f>
        <v/>
      </c>
      <c r="AG50" s="34">
        <f>IF($T50=0,0,IFERROR(--MID(TRIM($A50),2,9),0))</f>
        <v/>
      </c>
      <c r="AH50" s="22">
        <f>IFERROR(LEFT(TRIM($D50),SEARCH(" (",TRIM($D50))-1),TRIM($D50))</f>
        <v/>
      </c>
      <c r="AI50" s="34">
        <f>IF(AND($T50=1,$J50="Closed",$G50="High",ISNUMBER($K50)),IF($K50&gt;=Summary!$K$6,1,0),0)</f>
        <v/>
      </c>
      <c r="AJ50" s="34">
        <f>IF($AI50=1,SUM($AI$4:$AI50),0)</f>
        <v/>
      </c>
    </row>
    <row r="51" ht="18" customHeight="1">
      <c r="A51" s="30" t="n"/>
      <c r="B51" s="30" t="n"/>
      <c r="C51" s="31" t="n"/>
      <c r="D51" s="31" t="n"/>
      <c r="E51" s="32" t="n"/>
      <c r="F51" s="32" t="n"/>
      <c r="G51" s="30" t="n"/>
      <c r="H51" s="30" t="n"/>
      <c r="I51" s="31" t="n"/>
      <c r="J51" s="30" t="n"/>
      <c r="K51" s="32" t="n"/>
      <c r="L51" s="31" t="n"/>
      <c r="M51" s="30" t="n"/>
      <c r="N51" s="31" t="n"/>
      <c r="O51" s="31" t="n"/>
      <c r="P51" s="32" t="n"/>
      <c r="Q51" s="30" t="n"/>
      <c r="R51" s="33">
        <f>IF($T51=0,"",IF($AF51=1,"△ The log can't read this line",IF($W51=1,"△ Needs one owner, written as Name (Role)",IF($X51=1,"△ Look-again date missing, passed or too far ahead",IF($Y51=1,"△ No response",IF($Z51=1,"△ Closed without a date or a reason",IF($AA51=1,"△ Needs Provided by and Needed by, and Who answers as Name (Role)",IF($AB51=1,"△ Past its Needed by date","○ Clear"))))))))</f>
        <v/>
      </c>
      <c r="T51" s="34">
        <f>IF(COUNTA($A51:$Q51)&gt;0,1,0)</f>
        <v/>
      </c>
      <c r="U51" s="34">
        <f>IF(AND($T51=1,$J51&lt;&gt;"Closed"),1,0)</f>
        <v/>
      </c>
      <c r="V51" s="34">
        <f>IF(AND($U51=1,$Q51&lt;&gt;"Program workbook"),1,0)</f>
        <v/>
      </c>
      <c r="W51" s="34">
        <f>IF($V51=0,0,IF(OR(ISERROR(SEARCH(" (",$D51)),RIGHT(TRIM($D51),1)&lt;&gt;")",ISNUMBER(SEARCH(",",$AH51)),ISNUMBER(SEARCH("/",$AH51)),ISNUMBER(SEARCH(" and ",$AH51)),ISNUMBER(SEARCH("&amp;",$AH51))),1,0))</f>
        <v/>
      </c>
      <c r="X51" s="34">
        <f>IF($V51=0,0,IF(NOT(ISNUMBER($F51)),1,IF(OR($F51&lt;Summary!$K$4,$F51&gt;Summary!$K$4+Summary!$K$5,AND(ISNUMBER($P51),$F51&gt;$P51)),1,0)))</f>
        <v/>
      </c>
      <c r="Y51" s="34">
        <f>IF(AND($V51=1,OR($B51="Risk",$B51="Issue"),LEN(TRIM($I51))=0),1,0)</f>
        <v/>
      </c>
      <c r="Z51" s="34">
        <f>IF(AND($T51=1,$J51="Closed",OR(NOT(ISNUMBER($K51)),LEN(TRIM($L51))=0)),1,0)</f>
        <v/>
      </c>
      <c r="AA51" s="34">
        <f>IF(AND($U51=1,$B51="Dependency"),IF(OR(LEN(TRIM($N51))=0,NOT(ISNUMBER($P51)),NOT(AND(ISNUMBER(SEARCH(" (",$O51)),RIGHT(TRIM($O51),1)=")"))),1,0),0)</f>
        <v/>
      </c>
      <c r="AB51" s="34">
        <f>IF(AND($V51=1,$B51="Dependency",ISNUMBER($P51)),IF($P51&lt;Summary!$K$4,1,0),0)</f>
        <v/>
      </c>
      <c r="AC51" s="34">
        <f>IF($T51=0,0,IF(OR($A51="",COUNTIF($A$4:$A$153,$A51)&gt;1,ISERROR(MATCH($B51,{"Risk","Assumption","Issue","Dependency"},0))),1,IF(INDEX({"R","A","I","X"},MATCH($B51,{"Risk","Assumption","Issue","Dependency"},0))&lt;&gt;LEFT($A51,1),1,0)))</f>
        <v/>
      </c>
      <c r="AD51" s="34">
        <f>IF($T51=0,0,IF(OR(ISERROR(MATCH($J51,{"Raised","Responding","Closed"},0)),ISERROR(MATCH($G51,{"Low","Medium","High"},0)),AND(OR($B51="Risk",$B51="Assumption"),ISERROR(MATCH($H51,{"Low","Medium","High"},0))),AND($Q51&lt;&gt;"",$Q51&lt;&gt;"This log",$Q51&lt;&gt;"Program workbook"),AND($J51&lt;&gt;"Closed",OR($K51&lt;&gt;"",LEN(TRIM($L51))&gt;0))),1,0))</f>
        <v/>
      </c>
      <c r="AE51" s="34">
        <f>IF($T51=0,0,IF(OR(NOT(ISNUMBER($E51)),AND($F51&lt;&gt;"",NOT(ISNUMBER($F51))),AND($K51&lt;&gt;"",NOT(ISNUMBER($K51))),AND($P51&lt;&gt;"",NOT(ISNUMBER($P51)))),1,0))</f>
        <v/>
      </c>
      <c r="AF51" s="34">
        <f>MAX($AC51,$AD51,$AE51)</f>
        <v/>
      </c>
      <c r="AG51" s="34">
        <f>IF($T51=0,0,IFERROR(--MID(TRIM($A51),2,9),0))</f>
        <v/>
      </c>
      <c r="AH51" s="22">
        <f>IFERROR(LEFT(TRIM($D51),SEARCH(" (",TRIM($D51))-1),TRIM($D51))</f>
        <v/>
      </c>
      <c r="AI51" s="34">
        <f>IF(AND($T51=1,$J51="Closed",$G51="High",ISNUMBER($K51)),IF($K51&gt;=Summary!$K$6,1,0),0)</f>
        <v/>
      </c>
      <c r="AJ51" s="34">
        <f>IF($AI51=1,SUM($AI$4:$AI51),0)</f>
        <v/>
      </c>
    </row>
    <row r="52" ht="18" customHeight="1">
      <c r="A52" s="30" t="n"/>
      <c r="B52" s="30" t="n"/>
      <c r="C52" s="31" t="n"/>
      <c r="D52" s="31" t="n"/>
      <c r="E52" s="32" t="n"/>
      <c r="F52" s="32" t="n"/>
      <c r="G52" s="30" t="n"/>
      <c r="H52" s="30" t="n"/>
      <c r="I52" s="31" t="n"/>
      <c r="J52" s="30" t="n"/>
      <c r="K52" s="32" t="n"/>
      <c r="L52" s="31" t="n"/>
      <c r="M52" s="30" t="n"/>
      <c r="N52" s="31" t="n"/>
      <c r="O52" s="31" t="n"/>
      <c r="P52" s="32" t="n"/>
      <c r="Q52" s="30" t="n"/>
      <c r="R52" s="33">
        <f>IF($T52=0,"",IF($AF52=1,"△ The log can't read this line",IF($W52=1,"△ Needs one owner, written as Name (Role)",IF($X52=1,"△ Look-again date missing, passed or too far ahead",IF($Y52=1,"△ No response",IF($Z52=1,"△ Closed without a date or a reason",IF($AA52=1,"△ Needs Provided by and Needed by, and Who answers as Name (Role)",IF($AB52=1,"△ Past its Needed by date","○ Clear"))))))))</f>
        <v/>
      </c>
      <c r="T52" s="34">
        <f>IF(COUNTA($A52:$Q52)&gt;0,1,0)</f>
        <v/>
      </c>
      <c r="U52" s="34">
        <f>IF(AND($T52=1,$J52&lt;&gt;"Closed"),1,0)</f>
        <v/>
      </c>
      <c r="V52" s="34">
        <f>IF(AND($U52=1,$Q52&lt;&gt;"Program workbook"),1,0)</f>
        <v/>
      </c>
      <c r="W52" s="34">
        <f>IF($V52=0,0,IF(OR(ISERROR(SEARCH(" (",$D52)),RIGHT(TRIM($D52),1)&lt;&gt;")",ISNUMBER(SEARCH(",",$AH52)),ISNUMBER(SEARCH("/",$AH52)),ISNUMBER(SEARCH(" and ",$AH52)),ISNUMBER(SEARCH("&amp;",$AH52))),1,0))</f>
        <v/>
      </c>
      <c r="X52" s="34">
        <f>IF($V52=0,0,IF(NOT(ISNUMBER($F52)),1,IF(OR($F52&lt;Summary!$K$4,$F52&gt;Summary!$K$4+Summary!$K$5,AND(ISNUMBER($P52),$F52&gt;$P52)),1,0)))</f>
        <v/>
      </c>
      <c r="Y52" s="34">
        <f>IF(AND($V52=1,OR($B52="Risk",$B52="Issue"),LEN(TRIM($I52))=0),1,0)</f>
        <v/>
      </c>
      <c r="Z52" s="34">
        <f>IF(AND($T52=1,$J52="Closed",OR(NOT(ISNUMBER($K52)),LEN(TRIM($L52))=0)),1,0)</f>
        <v/>
      </c>
      <c r="AA52" s="34">
        <f>IF(AND($U52=1,$B52="Dependency"),IF(OR(LEN(TRIM($N52))=0,NOT(ISNUMBER($P52)),NOT(AND(ISNUMBER(SEARCH(" (",$O52)),RIGHT(TRIM($O52),1)=")"))),1,0),0)</f>
        <v/>
      </c>
      <c r="AB52" s="34">
        <f>IF(AND($V52=1,$B52="Dependency",ISNUMBER($P52)),IF($P52&lt;Summary!$K$4,1,0),0)</f>
        <v/>
      </c>
      <c r="AC52" s="34">
        <f>IF($T52=0,0,IF(OR($A52="",COUNTIF($A$4:$A$153,$A52)&gt;1,ISERROR(MATCH($B52,{"Risk","Assumption","Issue","Dependency"},0))),1,IF(INDEX({"R","A","I","X"},MATCH($B52,{"Risk","Assumption","Issue","Dependency"},0))&lt;&gt;LEFT($A52,1),1,0)))</f>
        <v/>
      </c>
      <c r="AD52" s="34">
        <f>IF($T52=0,0,IF(OR(ISERROR(MATCH($J52,{"Raised","Responding","Closed"},0)),ISERROR(MATCH($G52,{"Low","Medium","High"},0)),AND(OR($B52="Risk",$B52="Assumption"),ISERROR(MATCH($H52,{"Low","Medium","High"},0))),AND($Q52&lt;&gt;"",$Q52&lt;&gt;"This log",$Q52&lt;&gt;"Program workbook"),AND($J52&lt;&gt;"Closed",OR($K52&lt;&gt;"",LEN(TRIM($L52))&gt;0))),1,0))</f>
        <v/>
      </c>
      <c r="AE52" s="34">
        <f>IF($T52=0,0,IF(OR(NOT(ISNUMBER($E52)),AND($F52&lt;&gt;"",NOT(ISNUMBER($F52))),AND($K52&lt;&gt;"",NOT(ISNUMBER($K52))),AND($P52&lt;&gt;"",NOT(ISNUMBER($P52)))),1,0))</f>
        <v/>
      </c>
      <c r="AF52" s="34">
        <f>MAX($AC52,$AD52,$AE52)</f>
        <v/>
      </c>
      <c r="AG52" s="34">
        <f>IF($T52=0,0,IFERROR(--MID(TRIM($A52),2,9),0))</f>
        <v/>
      </c>
      <c r="AH52" s="22">
        <f>IFERROR(LEFT(TRIM($D52),SEARCH(" (",TRIM($D52))-1),TRIM($D52))</f>
        <v/>
      </c>
      <c r="AI52" s="34">
        <f>IF(AND($T52=1,$J52="Closed",$G52="High",ISNUMBER($K52)),IF($K52&gt;=Summary!$K$6,1,0),0)</f>
        <v/>
      </c>
      <c r="AJ52" s="34">
        <f>IF($AI52=1,SUM($AI$4:$AI52),0)</f>
        <v/>
      </c>
    </row>
    <row r="53" ht="18" customHeight="1">
      <c r="A53" s="30" t="n"/>
      <c r="B53" s="30" t="n"/>
      <c r="C53" s="31" t="n"/>
      <c r="D53" s="31" t="n"/>
      <c r="E53" s="32" t="n"/>
      <c r="F53" s="32" t="n"/>
      <c r="G53" s="30" t="n"/>
      <c r="H53" s="30" t="n"/>
      <c r="I53" s="31" t="n"/>
      <c r="J53" s="30" t="n"/>
      <c r="K53" s="32" t="n"/>
      <c r="L53" s="31" t="n"/>
      <c r="M53" s="30" t="n"/>
      <c r="N53" s="31" t="n"/>
      <c r="O53" s="31" t="n"/>
      <c r="P53" s="32" t="n"/>
      <c r="Q53" s="30" t="n"/>
      <c r="R53" s="33">
        <f>IF($T53=0,"",IF($AF53=1,"△ The log can't read this line",IF($W53=1,"△ Needs one owner, written as Name (Role)",IF($X53=1,"△ Look-again date missing, passed or too far ahead",IF($Y53=1,"△ No response",IF($Z53=1,"△ Closed without a date or a reason",IF($AA53=1,"△ Needs Provided by and Needed by, and Who answers as Name (Role)",IF($AB53=1,"△ Past its Needed by date","○ Clear"))))))))</f>
        <v/>
      </c>
      <c r="T53" s="34">
        <f>IF(COUNTA($A53:$Q53)&gt;0,1,0)</f>
        <v/>
      </c>
      <c r="U53" s="34">
        <f>IF(AND($T53=1,$J53&lt;&gt;"Closed"),1,0)</f>
        <v/>
      </c>
      <c r="V53" s="34">
        <f>IF(AND($U53=1,$Q53&lt;&gt;"Program workbook"),1,0)</f>
        <v/>
      </c>
      <c r="W53" s="34">
        <f>IF($V53=0,0,IF(OR(ISERROR(SEARCH(" (",$D53)),RIGHT(TRIM($D53),1)&lt;&gt;")",ISNUMBER(SEARCH(",",$AH53)),ISNUMBER(SEARCH("/",$AH53)),ISNUMBER(SEARCH(" and ",$AH53)),ISNUMBER(SEARCH("&amp;",$AH53))),1,0))</f>
        <v/>
      </c>
      <c r="X53" s="34">
        <f>IF($V53=0,0,IF(NOT(ISNUMBER($F53)),1,IF(OR($F53&lt;Summary!$K$4,$F53&gt;Summary!$K$4+Summary!$K$5,AND(ISNUMBER($P53),$F53&gt;$P53)),1,0)))</f>
        <v/>
      </c>
      <c r="Y53" s="34">
        <f>IF(AND($V53=1,OR($B53="Risk",$B53="Issue"),LEN(TRIM($I53))=0),1,0)</f>
        <v/>
      </c>
      <c r="Z53" s="34">
        <f>IF(AND($T53=1,$J53="Closed",OR(NOT(ISNUMBER($K53)),LEN(TRIM($L53))=0)),1,0)</f>
        <v/>
      </c>
      <c r="AA53" s="34">
        <f>IF(AND($U53=1,$B53="Dependency"),IF(OR(LEN(TRIM($N53))=0,NOT(ISNUMBER($P53)),NOT(AND(ISNUMBER(SEARCH(" (",$O53)),RIGHT(TRIM($O53),1)=")"))),1,0),0)</f>
        <v/>
      </c>
      <c r="AB53" s="34">
        <f>IF(AND($V53=1,$B53="Dependency",ISNUMBER($P53)),IF($P53&lt;Summary!$K$4,1,0),0)</f>
        <v/>
      </c>
      <c r="AC53" s="34">
        <f>IF($T53=0,0,IF(OR($A53="",COUNTIF($A$4:$A$153,$A53)&gt;1,ISERROR(MATCH($B53,{"Risk","Assumption","Issue","Dependency"},0))),1,IF(INDEX({"R","A","I","X"},MATCH($B53,{"Risk","Assumption","Issue","Dependency"},0))&lt;&gt;LEFT($A53,1),1,0)))</f>
        <v/>
      </c>
      <c r="AD53" s="34">
        <f>IF($T53=0,0,IF(OR(ISERROR(MATCH($J53,{"Raised","Responding","Closed"},0)),ISERROR(MATCH($G53,{"Low","Medium","High"},0)),AND(OR($B53="Risk",$B53="Assumption"),ISERROR(MATCH($H53,{"Low","Medium","High"},0))),AND($Q53&lt;&gt;"",$Q53&lt;&gt;"This log",$Q53&lt;&gt;"Program workbook"),AND($J53&lt;&gt;"Closed",OR($K53&lt;&gt;"",LEN(TRIM($L53))&gt;0))),1,0))</f>
        <v/>
      </c>
      <c r="AE53" s="34">
        <f>IF($T53=0,0,IF(OR(NOT(ISNUMBER($E53)),AND($F53&lt;&gt;"",NOT(ISNUMBER($F53))),AND($K53&lt;&gt;"",NOT(ISNUMBER($K53))),AND($P53&lt;&gt;"",NOT(ISNUMBER($P53)))),1,0))</f>
        <v/>
      </c>
      <c r="AF53" s="34">
        <f>MAX($AC53,$AD53,$AE53)</f>
        <v/>
      </c>
      <c r="AG53" s="34">
        <f>IF($T53=0,0,IFERROR(--MID(TRIM($A53),2,9),0))</f>
        <v/>
      </c>
      <c r="AH53" s="22">
        <f>IFERROR(LEFT(TRIM($D53),SEARCH(" (",TRIM($D53))-1),TRIM($D53))</f>
        <v/>
      </c>
      <c r="AI53" s="34">
        <f>IF(AND($T53=1,$J53="Closed",$G53="High",ISNUMBER($K53)),IF($K53&gt;=Summary!$K$6,1,0),0)</f>
        <v/>
      </c>
      <c r="AJ53" s="34">
        <f>IF($AI53=1,SUM($AI$4:$AI53),0)</f>
        <v/>
      </c>
    </row>
    <row r="54" ht="18" customHeight="1">
      <c r="A54" s="30" t="n"/>
      <c r="B54" s="30" t="n"/>
      <c r="C54" s="31" t="n"/>
      <c r="D54" s="31" t="n"/>
      <c r="E54" s="32" t="n"/>
      <c r="F54" s="32" t="n"/>
      <c r="G54" s="30" t="n"/>
      <c r="H54" s="30" t="n"/>
      <c r="I54" s="31" t="n"/>
      <c r="J54" s="30" t="n"/>
      <c r="K54" s="32" t="n"/>
      <c r="L54" s="31" t="n"/>
      <c r="M54" s="30" t="n"/>
      <c r="N54" s="31" t="n"/>
      <c r="O54" s="31" t="n"/>
      <c r="P54" s="32" t="n"/>
      <c r="Q54" s="30" t="n"/>
      <c r="R54" s="33">
        <f>IF($T54=0,"",IF($AF54=1,"△ The log can't read this line",IF($W54=1,"△ Needs one owner, written as Name (Role)",IF($X54=1,"△ Look-again date missing, passed or too far ahead",IF($Y54=1,"△ No response",IF($Z54=1,"△ Closed without a date or a reason",IF($AA54=1,"△ Needs Provided by and Needed by, and Who answers as Name (Role)",IF($AB54=1,"△ Past its Needed by date","○ Clear"))))))))</f>
        <v/>
      </c>
      <c r="T54" s="34">
        <f>IF(COUNTA($A54:$Q54)&gt;0,1,0)</f>
        <v/>
      </c>
      <c r="U54" s="34">
        <f>IF(AND($T54=1,$J54&lt;&gt;"Closed"),1,0)</f>
        <v/>
      </c>
      <c r="V54" s="34">
        <f>IF(AND($U54=1,$Q54&lt;&gt;"Program workbook"),1,0)</f>
        <v/>
      </c>
      <c r="W54" s="34">
        <f>IF($V54=0,0,IF(OR(ISERROR(SEARCH(" (",$D54)),RIGHT(TRIM($D54),1)&lt;&gt;")",ISNUMBER(SEARCH(",",$AH54)),ISNUMBER(SEARCH("/",$AH54)),ISNUMBER(SEARCH(" and ",$AH54)),ISNUMBER(SEARCH("&amp;",$AH54))),1,0))</f>
        <v/>
      </c>
      <c r="X54" s="34">
        <f>IF($V54=0,0,IF(NOT(ISNUMBER($F54)),1,IF(OR($F54&lt;Summary!$K$4,$F54&gt;Summary!$K$4+Summary!$K$5,AND(ISNUMBER($P54),$F54&gt;$P54)),1,0)))</f>
        <v/>
      </c>
      <c r="Y54" s="34">
        <f>IF(AND($V54=1,OR($B54="Risk",$B54="Issue"),LEN(TRIM($I54))=0),1,0)</f>
        <v/>
      </c>
      <c r="Z54" s="34">
        <f>IF(AND($T54=1,$J54="Closed",OR(NOT(ISNUMBER($K54)),LEN(TRIM($L54))=0)),1,0)</f>
        <v/>
      </c>
      <c r="AA54" s="34">
        <f>IF(AND($U54=1,$B54="Dependency"),IF(OR(LEN(TRIM($N54))=0,NOT(ISNUMBER($P54)),NOT(AND(ISNUMBER(SEARCH(" (",$O54)),RIGHT(TRIM($O54),1)=")"))),1,0),0)</f>
        <v/>
      </c>
      <c r="AB54" s="34">
        <f>IF(AND($V54=1,$B54="Dependency",ISNUMBER($P54)),IF($P54&lt;Summary!$K$4,1,0),0)</f>
        <v/>
      </c>
      <c r="AC54" s="34">
        <f>IF($T54=0,0,IF(OR($A54="",COUNTIF($A$4:$A$153,$A54)&gt;1,ISERROR(MATCH($B54,{"Risk","Assumption","Issue","Dependency"},0))),1,IF(INDEX({"R","A","I","X"},MATCH($B54,{"Risk","Assumption","Issue","Dependency"},0))&lt;&gt;LEFT($A54,1),1,0)))</f>
        <v/>
      </c>
      <c r="AD54" s="34">
        <f>IF($T54=0,0,IF(OR(ISERROR(MATCH($J54,{"Raised","Responding","Closed"},0)),ISERROR(MATCH($G54,{"Low","Medium","High"},0)),AND(OR($B54="Risk",$B54="Assumption"),ISERROR(MATCH($H54,{"Low","Medium","High"},0))),AND($Q54&lt;&gt;"",$Q54&lt;&gt;"This log",$Q54&lt;&gt;"Program workbook"),AND($J54&lt;&gt;"Closed",OR($K54&lt;&gt;"",LEN(TRIM($L54))&gt;0))),1,0))</f>
        <v/>
      </c>
      <c r="AE54" s="34">
        <f>IF($T54=0,0,IF(OR(NOT(ISNUMBER($E54)),AND($F54&lt;&gt;"",NOT(ISNUMBER($F54))),AND($K54&lt;&gt;"",NOT(ISNUMBER($K54))),AND($P54&lt;&gt;"",NOT(ISNUMBER($P54)))),1,0))</f>
        <v/>
      </c>
      <c r="AF54" s="34">
        <f>MAX($AC54,$AD54,$AE54)</f>
        <v/>
      </c>
      <c r="AG54" s="34">
        <f>IF($T54=0,0,IFERROR(--MID(TRIM($A54),2,9),0))</f>
        <v/>
      </c>
      <c r="AH54" s="22">
        <f>IFERROR(LEFT(TRIM($D54),SEARCH(" (",TRIM($D54))-1),TRIM($D54))</f>
        <v/>
      </c>
      <c r="AI54" s="34">
        <f>IF(AND($T54=1,$J54="Closed",$G54="High",ISNUMBER($K54)),IF($K54&gt;=Summary!$K$6,1,0),0)</f>
        <v/>
      </c>
      <c r="AJ54" s="34">
        <f>IF($AI54=1,SUM($AI$4:$AI54),0)</f>
        <v/>
      </c>
    </row>
    <row r="55" ht="18" customHeight="1">
      <c r="A55" s="30" t="n"/>
      <c r="B55" s="30" t="n"/>
      <c r="C55" s="31" t="n"/>
      <c r="D55" s="31" t="n"/>
      <c r="E55" s="32" t="n"/>
      <c r="F55" s="32" t="n"/>
      <c r="G55" s="30" t="n"/>
      <c r="H55" s="30" t="n"/>
      <c r="I55" s="31" t="n"/>
      <c r="J55" s="30" t="n"/>
      <c r="K55" s="32" t="n"/>
      <c r="L55" s="31" t="n"/>
      <c r="M55" s="30" t="n"/>
      <c r="N55" s="31" t="n"/>
      <c r="O55" s="31" t="n"/>
      <c r="P55" s="32" t="n"/>
      <c r="Q55" s="30" t="n"/>
      <c r="R55" s="33">
        <f>IF($T55=0,"",IF($AF55=1,"△ The log can't read this line",IF($W55=1,"△ Needs one owner, written as Name (Role)",IF($X55=1,"△ Look-again date missing, passed or too far ahead",IF($Y55=1,"△ No response",IF($Z55=1,"△ Closed without a date or a reason",IF($AA55=1,"△ Needs Provided by and Needed by, and Who answers as Name (Role)",IF($AB55=1,"△ Past its Needed by date","○ Clear"))))))))</f>
        <v/>
      </c>
      <c r="T55" s="34">
        <f>IF(COUNTA($A55:$Q55)&gt;0,1,0)</f>
        <v/>
      </c>
      <c r="U55" s="34">
        <f>IF(AND($T55=1,$J55&lt;&gt;"Closed"),1,0)</f>
        <v/>
      </c>
      <c r="V55" s="34">
        <f>IF(AND($U55=1,$Q55&lt;&gt;"Program workbook"),1,0)</f>
        <v/>
      </c>
      <c r="W55" s="34">
        <f>IF($V55=0,0,IF(OR(ISERROR(SEARCH(" (",$D55)),RIGHT(TRIM($D55),1)&lt;&gt;")",ISNUMBER(SEARCH(",",$AH55)),ISNUMBER(SEARCH("/",$AH55)),ISNUMBER(SEARCH(" and ",$AH55)),ISNUMBER(SEARCH("&amp;",$AH55))),1,0))</f>
        <v/>
      </c>
      <c r="X55" s="34">
        <f>IF($V55=0,0,IF(NOT(ISNUMBER($F55)),1,IF(OR($F55&lt;Summary!$K$4,$F55&gt;Summary!$K$4+Summary!$K$5,AND(ISNUMBER($P55),$F55&gt;$P55)),1,0)))</f>
        <v/>
      </c>
      <c r="Y55" s="34">
        <f>IF(AND($V55=1,OR($B55="Risk",$B55="Issue"),LEN(TRIM($I55))=0),1,0)</f>
        <v/>
      </c>
      <c r="Z55" s="34">
        <f>IF(AND($T55=1,$J55="Closed",OR(NOT(ISNUMBER($K55)),LEN(TRIM($L55))=0)),1,0)</f>
        <v/>
      </c>
      <c r="AA55" s="34">
        <f>IF(AND($U55=1,$B55="Dependency"),IF(OR(LEN(TRIM($N55))=0,NOT(ISNUMBER($P55)),NOT(AND(ISNUMBER(SEARCH(" (",$O55)),RIGHT(TRIM($O55),1)=")"))),1,0),0)</f>
        <v/>
      </c>
      <c r="AB55" s="34">
        <f>IF(AND($V55=1,$B55="Dependency",ISNUMBER($P55)),IF($P55&lt;Summary!$K$4,1,0),0)</f>
        <v/>
      </c>
      <c r="AC55" s="34">
        <f>IF($T55=0,0,IF(OR($A55="",COUNTIF($A$4:$A$153,$A55)&gt;1,ISERROR(MATCH($B55,{"Risk","Assumption","Issue","Dependency"},0))),1,IF(INDEX({"R","A","I","X"},MATCH($B55,{"Risk","Assumption","Issue","Dependency"},0))&lt;&gt;LEFT($A55,1),1,0)))</f>
        <v/>
      </c>
      <c r="AD55" s="34">
        <f>IF($T55=0,0,IF(OR(ISERROR(MATCH($J55,{"Raised","Responding","Closed"},0)),ISERROR(MATCH($G55,{"Low","Medium","High"},0)),AND(OR($B55="Risk",$B55="Assumption"),ISERROR(MATCH($H55,{"Low","Medium","High"},0))),AND($Q55&lt;&gt;"",$Q55&lt;&gt;"This log",$Q55&lt;&gt;"Program workbook"),AND($J55&lt;&gt;"Closed",OR($K55&lt;&gt;"",LEN(TRIM($L55))&gt;0))),1,0))</f>
        <v/>
      </c>
      <c r="AE55" s="34">
        <f>IF($T55=0,0,IF(OR(NOT(ISNUMBER($E55)),AND($F55&lt;&gt;"",NOT(ISNUMBER($F55))),AND($K55&lt;&gt;"",NOT(ISNUMBER($K55))),AND($P55&lt;&gt;"",NOT(ISNUMBER($P55)))),1,0))</f>
        <v/>
      </c>
      <c r="AF55" s="34">
        <f>MAX($AC55,$AD55,$AE55)</f>
        <v/>
      </c>
      <c r="AG55" s="34">
        <f>IF($T55=0,0,IFERROR(--MID(TRIM($A55),2,9),0))</f>
        <v/>
      </c>
      <c r="AH55" s="22">
        <f>IFERROR(LEFT(TRIM($D55),SEARCH(" (",TRIM($D55))-1),TRIM($D55))</f>
        <v/>
      </c>
      <c r="AI55" s="34">
        <f>IF(AND($T55=1,$J55="Closed",$G55="High",ISNUMBER($K55)),IF($K55&gt;=Summary!$K$6,1,0),0)</f>
        <v/>
      </c>
      <c r="AJ55" s="34">
        <f>IF($AI55=1,SUM($AI$4:$AI55),0)</f>
        <v/>
      </c>
    </row>
    <row r="56" ht="18" customHeight="1">
      <c r="A56" s="30" t="n"/>
      <c r="B56" s="30" t="n"/>
      <c r="C56" s="31" t="n"/>
      <c r="D56" s="31" t="n"/>
      <c r="E56" s="32" t="n"/>
      <c r="F56" s="32" t="n"/>
      <c r="G56" s="30" t="n"/>
      <c r="H56" s="30" t="n"/>
      <c r="I56" s="31" t="n"/>
      <c r="J56" s="30" t="n"/>
      <c r="K56" s="32" t="n"/>
      <c r="L56" s="31" t="n"/>
      <c r="M56" s="30" t="n"/>
      <c r="N56" s="31" t="n"/>
      <c r="O56" s="31" t="n"/>
      <c r="P56" s="32" t="n"/>
      <c r="Q56" s="30" t="n"/>
      <c r="R56" s="33">
        <f>IF($T56=0,"",IF($AF56=1,"△ The log can't read this line",IF($W56=1,"△ Needs one owner, written as Name (Role)",IF($X56=1,"△ Look-again date missing, passed or too far ahead",IF($Y56=1,"△ No response",IF($Z56=1,"△ Closed without a date or a reason",IF($AA56=1,"△ Needs Provided by and Needed by, and Who answers as Name (Role)",IF($AB56=1,"△ Past its Needed by date","○ Clear"))))))))</f>
        <v/>
      </c>
      <c r="T56" s="34">
        <f>IF(COUNTA($A56:$Q56)&gt;0,1,0)</f>
        <v/>
      </c>
      <c r="U56" s="34">
        <f>IF(AND($T56=1,$J56&lt;&gt;"Closed"),1,0)</f>
        <v/>
      </c>
      <c r="V56" s="34">
        <f>IF(AND($U56=1,$Q56&lt;&gt;"Program workbook"),1,0)</f>
        <v/>
      </c>
      <c r="W56" s="34">
        <f>IF($V56=0,0,IF(OR(ISERROR(SEARCH(" (",$D56)),RIGHT(TRIM($D56),1)&lt;&gt;")",ISNUMBER(SEARCH(",",$AH56)),ISNUMBER(SEARCH("/",$AH56)),ISNUMBER(SEARCH(" and ",$AH56)),ISNUMBER(SEARCH("&amp;",$AH56))),1,0))</f>
        <v/>
      </c>
      <c r="X56" s="34">
        <f>IF($V56=0,0,IF(NOT(ISNUMBER($F56)),1,IF(OR($F56&lt;Summary!$K$4,$F56&gt;Summary!$K$4+Summary!$K$5,AND(ISNUMBER($P56),$F56&gt;$P56)),1,0)))</f>
        <v/>
      </c>
      <c r="Y56" s="34">
        <f>IF(AND($V56=1,OR($B56="Risk",$B56="Issue"),LEN(TRIM($I56))=0),1,0)</f>
        <v/>
      </c>
      <c r="Z56" s="34">
        <f>IF(AND($T56=1,$J56="Closed",OR(NOT(ISNUMBER($K56)),LEN(TRIM($L56))=0)),1,0)</f>
        <v/>
      </c>
      <c r="AA56" s="34">
        <f>IF(AND($U56=1,$B56="Dependency"),IF(OR(LEN(TRIM($N56))=0,NOT(ISNUMBER($P56)),NOT(AND(ISNUMBER(SEARCH(" (",$O56)),RIGHT(TRIM($O56),1)=")"))),1,0),0)</f>
        <v/>
      </c>
      <c r="AB56" s="34">
        <f>IF(AND($V56=1,$B56="Dependency",ISNUMBER($P56)),IF($P56&lt;Summary!$K$4,1,0),0)</f>
        <v/>
      </c>
      <c r="AC56" s="34">
        <f>IF($T56=0,0,IF(OR($A56="",COUNTIF($A$4:$A$153,$A56)&gt;1,ISERROR(MATCH($B56,{"Risk","Assumption","Issue","Dependency"},0))),1,IF(INDEX({"R","A","I","X"},MATCH($B56,{"Risk","Assumption","Issue","Dependency"},0))&lt;&gt;LEFT($A56,1),1,0)))</f>
        <v/>
      </c>
      <c r="AD56" s="34">
        <f>IF($T56=0,0,IF(OR(ISERROR(MATCH($J56,{"Raised","Responding","Closed"},0)),ISERROR(MATCH($G56,{"Low","Medium","High"},0)),AND(OR($B56="Risk",$B56="Assumption"),ISERROR(MATCH($H56,{"Low","Medium","High"},0))),AND($Q56&lt;&gt;"",$Q56&lt;&gt;"This log",$Q56&lt;&gt;"Program workbook"),AND($J56&lt;&gt;"Closed",OR($K56&lt;&gt;"",LEN(TRIM($L56))&gt;0))),1,0))</f>
        <v/>
      </c>
      <c r="AE56" s="34">
        <f>IF($T56=0,0,IF(OR(NOT(ISNUMBER($E56)),AND($F56&lt;&gt;"",NOT(ISNUMBER($F56))),AND($K56&lt;&gt;"",NOT(ISNUMBER($K56))),AND($P56&lt;&gt;"",NOT(ISNUMBER($P56)))),1,0))</f>
        <v/>
      </c>
      <c r="AF56" s="34">
        <f>MAX($AC56,$AD56,$AE56)</f>
        <v/>
      </c>
      <c r="AG56" s="34">
        <f>IF($T56=0,0,IFERROR(--MID(TRIM($A56),2,9),0))</f>
        <v/>
      </c>
      <c r="AH56" s="22">
        <f>IFERROR(LEFT(TRIM($D56),SEARCH(" (",TRIM($D56))-1),TRIM($D56))</f>
        <v/>
      </c>
      <c r="AI56" s="34">
        <f>IF(AND($T56=1,$J56="Closed",$G56="High",ISNUMBER($K56)),IF($K56&gt;=Summary!$K$6,1,0),0)</f>
        <v/>
      </c>
      <c r="AJ56" s="34">
        <f>IF($AI56=1,SUM($AI$4:$AI56),0)</f>
        <v/>
      </c>
    </row>
    <row r="57" ht="18" customHeight="1">
      <c r="A57" s="30" t="n"/>
      <c r="B57" s="30" t="n"/>
      <c r="C57" s="31" t="n"/>
      <c r="D57" s="31" t="n"/>
      <c r="E57" s="32" t="n"/>
      <c r="F57" s="32" t="n"/>
      <c r="G57" s="30" t="n"/>
      <c r="H57" s="30" t="n"/>
      <c r="I57" s="31" t="n"/>
      <c r="J57" s="30" t="n"/>
      <c r="K57" s="32" t="n"/>
      <c r="L57" s="31" t="n"/>
      <c r="M57" s="30" t="n"/>
      <c r="N57" s="31" t="n"/>
      <c r="O57" s="31" t="n"/>
      <c r="P57" s="32" t="n"/>
      <c r="Q57" s="30" t="n"/>
      <c r="R57" s="33">
        <f>IF($T57=0,"",IF($AF57=1,"△ The log can't read this line",IF($W57=1,"△ Needs one owner, written as Name (Role)",IF($X57=1,"△ Look-again date missing, passed or too far ahead",IF($Y57=1,"△ No response",IF($Z57=1,"△ Closed without a date or a reason",IF($AA57=1,"△ Needs Provided by and Needed by, and Who answers as Name (Role)",IF($AB57=1,"△ Past its Needed by date","○ Clear"))))))))</f>
        <v/>
      </c>
      <c r="T57" s="34">
        <f>IF(COUNTA($A57:$Q57)&gt;0,1,0)</f>
        <v/>
      </c>
      <c r="U57" s="34">
        <f>IF(AND($T57=1,$J57&lt;&gt;"Closed"),1,0)</f>
        <v/>
      </c>
      <c r="V57" s="34">
        <f>IF(AND($U57=1,$Q57&lt;&gt;"Program workbook"),1,0)</f>
        <v/>
      </c>
      <c r="W57" s="34">
        <f>IF($V57=0,0,IF(OR(ISERROR(SEARCH(" (",$D57)),RIGHT(TRIM($D57),1)&lt;&gt;")",ISNUMBER(SEARCH(",",$AH57)),ISNUMBER(SEARCH("/",$AH57)),ISNUMBER(SEARCH(" and ",$AH57)),ISNUMBER(SEARCH("&amp;",$AH57))),1,0))</f>
        <v/>
      </c>
      <c r="X57" s="34">
        <f>IF($V57=0,0,IF(NOT(ISNUMBER($F57)),1,IF(OR($F57&lt;Summary!$K$4,$F57&gt;Summary!$K$4+Summary!$K$5,AND(ISNUMBER($P57),$F57&gt;$P57)),1,0)))</f>
        <v/>
      </c>
      <c r="Y57" s="34">
        <f>IF(AND($V57=1,OR($B57="Risk",$B57="Issue"),LEN(TRIM($I57))=0),1,0)</f>
        <v/>
      </c>
      <c r="Z57" s="34">
        <f>IF(AND($T57=1,$J57="Closed",OR(NOT(ISNUMBER($K57)),LEN(TRIM($L57))=0)),1,0)</f>
        <v/>
      </c>
      <c r="AA57" s="34">
        <f>IF(AND($U57=1,$B57="Dependency"),IF(OR(LEN(TRIM($N57))=0,NOT(ISNUMBER($P57)),NOT(AND(ISNUMBER(SEARCH(" (",$O57)),RIGHT(TRIM($O57),1)=")"))),1,0),0)</f>
        <v/>
      </c>
      <c r="AB57" s="34">
        <f>IF(AND($V57=1,$B57="Dependency",ISNUMBER($P57)),IF($P57&lt;Summary!$K$4,1,0),0)</f>
        <v/>
      </c>
      <c r="AC57" s="34">
        <f>IF($T57=0,0,IF(OR($A57="",COUNTIF($A$4:$A$153,$A57)&gt;1,ISERROR(MATCH($B57,{"Risk","Assumption","Issue","Dependency"},0))),1,IF(INDEX({"R","A","I","X"},MATCH($B57,{"Risk","Assumption","Issue","Dependency"},0))&lt;&gt;LEFT($A57,1),1,0)))</f>
        <v/>
      </c>
      <c r="AD57" s="34">
        <f>IF($T57=0,0,IF(OR(ISERROR(MATCH($J57,{"Raised","Responding","Closed"},0)),ISERROR(MATCH($G57,{"Low","Medium","High"},0)),AND(OR($B57="Risk",$B57="Assumption"),ISERROR(MATCH($H57,{"Low","Medium","High"},0))),AND($Q57&lt;&gt;"",$Q57&lt;&gt;"This log",$Q57&lt;&gt;"Program workbook"),AND($J57&lt;&gt;"Closed",OR($K57&lt;&gt;"",LEN(TRIM($L57))&gt;0))),1,0))</f>
        <v/>
      </c>
      <c r="AE57" s="34">
        <f>IF($T57=0,0,IF(OR(NOT(ISNUMBER($E57)),AND($F57&lt;&gt;"",NOT(ISNUMBER($F57))),AND($K57&lt;&gt;"",NOT(ISNUMBER($K57))),AND($P57&lt;&gt;"",NOT(ISNUMBER($P57)))),1,0))</f>
        <v/>
      </c>
      <c r="AF57" s="34">
        <f>MAX($AC57,$AD57,$AE57)</f>
        <v/>
      </c>
      <c r="AG57" s="34">
        <f>IF($T57=0,0,IFERROR(--MID(TRIM($A57),2,9),0))</f>
        <v/>
      </c>
      <c r="AH57" s="22">
        <f>IFERROR(LEFT(TRIM($D57),SEARCH(" (",TRIM($D57))-1),TRIM($D57))</f>
        <v/>
      </c>
      <c r="AI57" s="34">
        <f>IF(AND($T57=1,$J57="Closed",$G57="High",ISNUMBER($K57)),IF($K57&gt;=Summary!$K$6,1,0),0)</f>
        <v/>
      </c>
      <c r="AJ57" s="34">
        <f>IF($AI57=1,SUM($AI$4:$AI57),0)</f>
        <v/>
      </c>
    </row>
    <row r="58" ht="18" customHeight="1">
      <c r="A58" s="30" t="n"/>
      <c r="B58" s="30" t="n"/>
      <c r="C58" s="31" t="n"/>
      <c r="D58" s="31" t="n"/>
      <c r="E58" s="32" t="n"/>
      <c r="F58" s="32" t="n"/>
      <c r="G58" s="30" t="n"/>
      <c r="H58" s="30" t="n"/>
      <c r="I58" s="31" t="n"/>
      <c r="J58" s="30" t="n"/>
      <c r="K58" s="32" t="n"/>
      <c r="L58" s="31" t="n"/>
      <c r="M58" s="30" t="n"/>
      <c r="N58" s="31" t="n"/>
      <c r="O58" s="31" t="n"/>
      <c r="P58" s="32" t="n"/>
      <c r="Q58" s="30" t="n"/>
      <c r="R58" s="33">
        <f>IF($T58=0,"",IF($AF58=1,"△ The log can't read this line",IF($W58=1,"△ Needs one owner, written as Name (Role)",IF($X58=1,"△ Look-again date missing, passed or too far ahead",IF($Y58=1,"△ No response",IF($Z58=1,"△ Closed without a date or a reason",IF($AA58=1,"△ Needs Provided by and Needed by, and Who answers as Name (Role)",IF($AB58=1,"△ Past its Needed by date","○ Clear"))))))))</f>
        <v/>
      </c>
      <c r="T58" s="34">
        <f>IF(COUNTA($A58:$Q58)&gt;0,1,0)</f>
        <v/>
      </c>
      <c r="U58" s="34">
        <f>IF(AND($T58=1,$J58&lt;&gt;"Closed"),1,0)</f>
        <v/>
      </c>
      <c r="V58" s="34">
        <f>IF(AND($U58=1,$Q58&lt;&gt;"Program workbook"),1,0)</f>
        <v/>
      </c>
      <c r="W58" s="34">
        <f>IF($V58=0,0,IF(OR(ISERROR(SEARCH(" (",$D58)),RIGHT(TRIM($D58),1)&lt;&gt;")",ISNUMBER(SEARCH(",",$AH58)),ISNUMBER(SEARCH("/",$AH58)),ISNUMBER(SEARCH(" and ",$AH58)),ISNUMBER(SEARCH("&amp;",$AH58))),1,0))</f>
        <v/>
      </c>
      <c r="X58" s="34">
        <f>IF($V58=0,0,IF(NOT(ISNUMBER($F58)),1,IF(OR($F58&lt;Summary!$K$4,$F58&gt;Summary!$K$4+Summary!$K$5,AND(ISNUMBER($P58),$F58&gt;$P58)),1,0)))</f>
        <v/>
      </c>
      <c r="Y58" s="34">
        <f>IF(AND($V58=1,OR($B58="Risk",$B58="Issue"),LEN(TRIM($I58))=0),1,0)</f>
        <v/>
      </c>
      <c r="Z58" s="34">
        <f>IF(AND($T58=1,$J58="Closed",OR(NOT(ISNUMBER($K58)),LEN(TRIM($L58))=0)),1,0)</f>
        <v/>
      </c>
      <c r="AA58" s="34">
        <f>IF(AND($U58=1,$B58="Dependency"),IF(OR(LEN(TRIM($N58))=0,NOT(ISNUMBER($P58)),NOT(AND(ISNUMBER(SEARCH(" (",$O58)),RIGHT(TRIM($O58),1)=")"))),1,0),0)</f>
        <v/>
      </c>
      <c r="AB58" s="34">
        <f>IF(AND($V58=1,$B58="Dependency",ISNUMBER($P58)),IF($P58&lt;Summary!$K$4,1,0),0)</f>
        <v/>
      </c>
      <c r="AC58" s="34">
        <f>IF($T58=0,0,IF(OR($A58="",COUNTIF($A$4:$A$153,$A58)&gt;1,ISERROR(MATCH($B58,{"Risk","Assumption","Issue","Dependency"},0))),1,IF(INDEX({"R","A","I","X"},MATCH($B58,{"Risk","Assumption","Issue","Dependency"},0))&lt;&gt;LEFT($A58,1),1,0)))</f>
        <v/>
      </c>
      <c r="AD58" s="34">
        <f>IF($T58=0,0,IF(OR(ISERROR(MATCH($J58,{"Raised","Responding","Closed"},0)),ISERROR(MATCH($G58,{"Low","Medium","High"},0)),AND(OR($B58="Risk",$B58="Assumption"),ISERROR(MATCH($H58,{"Low","Medium","High"},0))),AND($Q58&lt;&gt;"",$Q58&lt;&gt;"This log",$Q58&lt;&gt;"Program workbook"),AND($J58&lt;&gt;"Closed",OR($K58&lt;&gt;"",LEN(TRIM($L58))&gt;0))),1,0))</f>
        <v/>
      </c>
      <c r="AE58" s="34">
        <f>IF($T58=0,0,IF(OR(NOT(ISNUMBER($E58)),AND($F58&lt;&gt;"",NOT(ISNUMBER($F58))),AND($K58&lt;&gt;"",NOT(ISNUMBER($K58))),AND($P58&lt;&gt;"",NOT(ISNUMBER($P58)))),1,0))</f>
        <v/>
      </c>
      <c r="AF58" s="34">
        <f>MAX($AC58,$AD58,$AE58)</f>
        <v/>
      </c>
      <c r="AG58" s="34">
        <f>IF($T58=0,0,IFERROR(--MID(TRIM($A58),2,9),0))</f>
        <v/>
      </c>
      <c r="AH58" s="22">
        <f>IFERROR(LEFT(TRIM($D58),SEARCH(" (",TRIM($D58))-1),TRIM($D58))</f>
        <v/>
      </c>
      <c r="AI58" s="34">
        <f>IF(AND($T58=1,$J58="Closed",$G58="High",ISNUMBER($K58)),IF($K58&gt;=Summary!$K$6,1,0),0)</f>
        <v/>
      </c>
      <c r="AJ58" s="34">
        <f>IF($AI58=1,SUM($AI$4:$AI58),0)</f>
        <v/>
      </c>
    </row>
    <row r="59" ht="18" customHeight="1">
      <c r="A59" s="30" t="n"/>
      <c r="B59" s="30" t="n"/>
      <c r="C59" s="31" t="n"/>
      <c r="D59" s="31" t="n"/>
      <c r="E59" s="32" t="n"/>
      <c r="F59" s="32" t="n"/>
      <c r="G59" s="30" t="n"/>
      <c r="H59" s="30" t="n"/>
      <c r="I59" s="31" t="n"/>
      <c r="J59" s="30" t="n"/>
      <c r="K59" s="32" t="n"/>
      <c r="L59" s="31" t="n"/>
      <c r="M59" s="30" t="n"/>
      <c r="N59" s="31" t="n"/>
      <c r="O59" s="31" t="n"/>
      <c r="P59" s="32" t="n"/>
      <c r="Q59" s="30" t="n"/>
      <c r="R59" s="33">
        <f>IF($T59=0,"",IF($AF59=1,"△ The log can't read this line",IF($W59=1,"△ Needs one owner, written as Name (Role)",IF($X59=1,"△ Look-again date missing, passed or too far ahead",IF($Y59=1,"△ No response",IF($Z59=1,"△ Closed without a date or a reason",IF($AA59=1,"△ Needs Provided by and Needed by, and Who answers as Name (Role)",IF($AB59=1,"△ Past its Needed by date","○ Clear"))))))))</f>
        <v/>
      </c>
      <c r="T59" s="34">
        <f>IF(COUNTA($A59:$Q59)&gt;0,1,0)</f>
        <v/>
      </c>
      <c r="U59" s="34">
        <f>IF(AND($T59=1,$J59&lt;&gt;"Closed"),1,0)</f>
        <v/>
      </c>
      <c r="V59" s="34">
        <f>IF(AND($U59=1,$Q59&lt;&gt;"Program workbook"),1,0)</f>
        <v/>
      </c>
      <c r="W59" s="34">
        <f>IF($V59=0,0,IF(OR(ISERROR(SEARCH(" (",$D59)),RIGHT(TRIM($D59),1)&lt;&gt;")",ISNUMBER(SEARCH(",",$AH59)),ISNUMBER(SEARCH("/",$AH59)),ISNUMBER(SEARCH(" and ",$AH59)),ISNUMBER(SEARCH("&amp;",$AH59))),1,0))</f>
        <v/>
      </c>
      <c r="X59" s="34">
        <f>IF($V59=0,0,IF(NOT(ISNUMBER($F59)),1,IF(OR($F59&lt;Summary!$K$4,$F59&gt;Summary!$K$4+Summary!$K$5,AND(ISNUMBER($P59),$F59&gt;$P59)),1,0)))</f>
        <v/>
      </c>
      <c r="Y59" s="34">
        <f>IF(AND($V59=1,OR($B59="Risk",$B59="Issue"),LEN(TRIM($I59))=0),1,0)</f>
        <v/>
      </c>
      <c r="Z59" s="34">
        <f>IF(AND($T59=1,$J59="Closed",OR(NOT(ISNUMBER($K59)),LEN(TRIM($L59))=0)),1,0)</f>
        <v/>
      </c>
      <c r="AA59" s="34">
        <f>IF(AND($U59=1,$B59="Dependency"),IF(OR(LEN(TRIM($N59))=0,NOT(ISNUMBER($P59)),NOT(AND(ISNUMBER(SEARCH(" (",$O59)),RIGHT(TRIM($O59),1)=")"))),1,0),0)</f>
        <v/>
      </c>
      <c r="AB59" s="34">
        <f>IF(AND($V59=1,$B59="Dependency",ISNUMBER($P59)),IF($P59&lt;Summary!$K$4,1,0),0)</f>
        <v/>
      </c>
      <c r="AC59" s="34">
        <f>IF($T59=0,0,IF(OR($A59="",COUNTIF($A$4:$A$153,$A59)&gt;1,ISERROR(MATCH($B59,{"Risk","Assumption","Issue","Dependency"},0))),1,IF(INDEX({"R","A","I","X"},MATCH($B59,{"Risk","Assumption","Issue","Dependency"},0))&lt;&gt;LEFT($A59,1),1,0)))</f>
        <v/>
      </c>
      <c r="AD59" s="34">
        <f>IF($T59=0,0,IF(OR(ISERROR(MATCH($J59,{"Raised","Responding","Closed"},0)),ISERROR(MATCH($G59,{"Low","Medium","High"},0)),AND(OR($B59="Risk",$B59="Assumption"),ISERROR(MATCH($H59,{"Low","Medium","High"},0))),AND($Q59&lt;&gt;"",$Q59&lt;&gt;"This log",$Q59&lt;&gt;"Program workbook"),AND($J59&lt;&gt;"Closed",OR($K59&lt;&gt;"",LEN(TRIM($L59))&gt;0))),1,0))</f>
        <v/>
      </c>
      <c r="AE59" s="34">
        <f>IF($T59=0,0,IF(OR(NOT(ISNUMBER($E59)),AND($F59&lt;&gt;"",NOT(ISNUMBER($F59))),AND($K59&lt;&gt;"",NOT(ISNUMBER($K59))),AND($P59&lt;&gt;"",NOT(ISNUMBER($P59)))),1,0))</f>
        <v/>
      </c>
      <c r="AF59" s="34">
        <f>MAX($AC59,$AD59,$AE59)</f>
        <v/>
      </c>
      <c r="AG59" s="34">
        <f>IF($T59=0,0,IFERROR(--MID(TRIM($A59),2,9),0))</f>
        <v/>
      </c>
      <c r="AH59" s="22">
        <f>IFERROR(LEFT(TRIM($D59),SEARCH(" (",TRIM($D59))-1),TRIM($D59))</f>
        <v/>
      </c>
      <c r="AI59" s="34">
        <f>IF(AND($T59=1,$J59="Closed",$G59="High",ISNUMBER($K59)),IF($K59&gt;=Summary!$K$6,1,0),0)</f>
        <v/>
      </c>
      <c r="AJ59" s="34">
        <f>IF($AI59=1,SUM($AI$4:$AI59),0)</f>
        <v/>
      </c>
    </row>
    <row r="60" ht="18" customHeight="1">
      <c r="A60" s="30" t="n"/>
      <c r="B60" s="30" t="n"/>
      <c r="C60" s="31" t="n"/>
      <c r="D60" s="31" t="n"/>
      <c r="E60" s="32" t="n"/>
      <c r="F60" s="32" t="n"/>
      <c r="G60" s="30" t="n"/>
      <c r="H60" s="30" t="n"/>
      <c r="I60" s="31" t="n"/>
      <c r="J60" s="30" t="n"/>
      <c r="K60" s="32" t="n"/>
      <c r="L60" s="31" t="n"/>
      <c r="M60" s="30" t="n"/>
      <c r="N60" s="31" t="n"/>
      <c r="O60" s="31" t="n"/>
      <c r="P60" s="32" t="n"/>
      <c r="Q60" s="30" t="n"/>
      <c r="R60" s="33">
        <f>IF($T60=0,"",IF($AF60=1,"△ The log can't read this line",IF($W60=1,"△ Needs one owner, written as Name (Role)",IF($X60=1,"△ Look-again date missing, passed or too far ahead",IF($Y60=1,"△ No response",IF($Z60=1,"△ Closed without a date or a reason",IF($AA60=1,"△ Needs Provided by and Needed by, and Who answers as Name (Role)",IF($AB60=1,"△ Past its Needed by date","○ Clear"))))))))</f>
        <v/>
      </c>
      <c r="T60" s="34">
        <f>IF(COUNTA($A60:$Q60)&gt;0,1,0)</f>
        <v/>
      </c>
      <c r="U60" s="34">
        <f>IF(AND($T60=1,$J60&lt;&gt;"Closed"),1,0)</f>
        <v/>
      </c>
      <c r="V60" s="34">
        <f>IF(AND($U60=1,$Q60&lt;&gt;"Program workbook"),1,0)</f>
        <v/>
      </c>
      <c r="W60" s="34">
        <f>IF($V60=0,0,IF(OR(ISERROR(SEARCH(" (",$D60)),RIGHT(TRIM($D60),1)&lt;&gt;")",ISNUMBER(SEARCH(",",$AH60)),ISNUMBER(SEARCH("/",$AH60)),ISNUMBER(SEARCH(" and ",$AH60)),ISNUMBER(SEARCH("&amp;",$AH60))),1,0))</f>
        <v/>
      </c>
      <c r="X60" s="34">
        <f>IF($V60=0,0,IF(NOT(ISNUMBER($F60)),1,IF(OR($F60&lt;Summary!$K$4,$F60&gt;Summary!$K$4+Summary!$K$5,AND(ISNUMBER($P60),$F60&gt;$P60)),1,0)))</f>
        <v/>
      </c>
      <c r="Y60" s="34">
        <f>IF(AND($V60=1,OR($B60="Risk",$B60="Issue"),LEN(TRIM($I60))=0),1,0)</f>
        <v/>
      </c>
      <c r="Z60" s="34">
        <f>IF(AND($T60=1,$J60="Closed",OR(NOT(ISNUMBER($K60)),LEN(TRIM($L60))=0)),1,0)</f>
        <v/>
      </c>
      <c r="AA60" s="34">
        <f>IF(AND($U60=1,$B60="Dependency"),IF(OR(LEN(TRIM($N60))=0,NOT(ISNUMBER($P60)),NOT(AND(ISNUMBER(SEARCH(" (",$O60)),RIGHT(TRIM($O60),1)=")"))),1,0),0)</f>
        <v/>
      </c>
      <c r="AB60" s="34">
        <f>IF(AND($V60=1,$B60="Dependency",ISNUMBER($P60)),IF($P60&lt;Summary!$K$4,1,0),0)</f>
        <v/>
      </c>
      <c r="AC60" s="34">
        <f>IF($T60=0,0,IF(OR($A60="",COUNTIF($A$4:$A$153,$A60)&gt;1,ISERROR(MATCH($B60,{"Risk","Assumption","Issue","Dependency"},0))),1,IF(INDEX({"R","A","I","X"},MATCH($B60,{"Risk","Assumption","Issue","Dependency"},0))&lt;&gt;LEFT($A60,1),1,0)))</f>
        <v/>
      </c>
      <c r="AD60" s="34">
        <f>IF($T60=0,0,IF(OR(ISERROR(MATCH($J60,{"Raised","Responding","Closed"},0)),ISERROR(MATCH($G60,{"Low","Medium","High"},0)),AND(OR($B60="Risk",$B60="Assumption"),ISERROR(MATCH($H60,{"Low","Medium","High"},0))),AND($Q60&lt;&gt;"",$Q60&lt;&gt;"This log",$Q60&lt;&gt;"Program workbook"),AND($J60&lt;&gt;"Closed",OR($K60&lt;&gt;"",LEN(TRIM($L60))&gt;0))),1,0))</f>
        <v/>
      </c>
      <c r="AE60" s="34">
        <f>IF($T60=0,0,IF(OR(NOT(ISNUMBER($E60)),AND($F60&lt;&gt;"",NOT(ISNUMBER($F60))),AND($K60&lt;&gt;"",NOT(ISNUMBER($K60))),AND($P60&lt;&gt;"",NOT(ISNUMBER($P60)))),1,0))</f>
        <v/>
      </c>
      <c r="AF60" s="34">
        <f>MAX($AC60,$AD60,$AE60)</f>
        <v/>
      </c>
      <c r="AG60" s="34">
        <f>IF($T60=0,0,IFERROR(--MID(TRIM($A60),2,9),0))</f>
        <v/>
      </c>
      <c r="AH60" s="22">
        <f>IFERROR(LEFT(TRIM($D60),SEARCH(" (",TRIM($D60))-1),TRIM($D60))</f>
        <v/>
      </c>
      <c r="AI60" s="34">
        <f>IF(AND($T60=1,$J60="Closed",$G60="High",ISNUMBER($K60)),IF($K60&gt;=Summary!$K$6,1,0),0)</f>
        <v/>
      </c>
      <c r="AJ60" s="34">
        <f>IF($AI60=1,SUM($AI$4:$AI60),0)</f>
        <v/>
      </c>
    </row>
    <row r="61" ht="18" customHeight="1">
      <c r="A61" s="30" t="n"/>
      <c r="B61" s="30" t="n"/>
      <c r="C61" s="31" t="n"/>
      <c r="D61" s="31" t="n"/>
      <c r="E61" s="32" t="n"/>
      <c r="F61" s="32" t="n"/>
      <c r="G61" s="30" t="n"/>
      <c r="H61" s="30" t="n"/>
      <c r="I61" s="31" t="n"/>
      <c r="J61" s="30" t="n"/>
      <c r="K61" s="32" t="n"/>
      <c r="L61" s="31" t="n"/>
      <c r="M61" s="30" t="n"/>
      <c r="N61" s="31" t="n"/>
      <c r="O61" s="31" t="n"/>
      <c r="P61" s="32" t="n"/>
      <c r="Q61" s="30" t="n"/>
      <c r="R61" s="33">
        <f>IF($T61=0,"",IF($AF61=1,"△ The log can't read this line",IF($W61=1,"△ Needs one owner, written as Name (Role)",IF($X61=1,"△ Look-again date missing, passed or too far ahead",IF($Y61=1,"△ No response",IF($Z61=1,"△ Closed without a date or a reason",IF($AA61=1,"△ Needs Provided by and Needed by, and Who answers as Name (Role)",IF($AB61=1,"△ Past its Needed by date","○ Clear"))))))))</f>
        <v/>
      </c>
      <c r="T61" s="34">
        <f>IF(COUNTA($A61:$Q61)&gt;0,1,0)</f>
        <v/>
      </c>
      <c r="U61" s="34">
        <f>IF(AND($T61=1,$J61&lt;&gt;"Closed"),1,0)</f>
        <v/>
      </c>
      <c r="V61" s="34">
        <f>IF(AND($U61=1,$Q61&lt;&gt;"Program workbook"),1,0)</f>
        <v/>
      </c>
      <c r="W61" s="34">
        <f>IF($V61=0,0,IF(OR(ISERROR(SEARCH(" (",$D61)),RIGHT(TRIM($D61),1)&lt;&gt;")",ISNUMBER(SEARCH(",",$AH61)),ISNUMBER(SEARCH("/",$AH61)),ISNUMBER(SEARCH(" and ",$AH61)),ISNUMBER(SEARCH("&amp;",$AH61))),1,0))</f>
        <v/>
      </c>
      <c r="X61" s="34">
        <f>IF($V61=0,0,IF(NOT(ISNUMBER($F61)),1,IF(OR($F61&lt;Summary!$K$4,$F61&gt;Summary!$K$4+Summary!$K$5,AND(ISNUMBER($P61),$F61&gt;$P61)),1,0)))</f>
        <v/>
      </c>
      <c r="Y61" s="34">
        <f>IF(AND($V61=1,OR($B61="Risk",$B61="Issue"),LEN(TRIM($I61))=0),1,0)</f>
        <v/>
      </c>
      <c r="Z61" s="34">
        <f>IF(AND($T61=1,$J61="Closed",OR(NOT(ISNUMBER($K61)),LEN(TRIM($L61))=0)),1,0)</f>
        <v/>
      </c>
      <c r="AA61" s="34">
        <f>IF(AND($U61=1,$B61="Dependency"),IF(OR(LEN(TRIM($N61))=0,NOT(ISNUMBER($P61)),NOT(AND(ISNUMBER(SEARCH(" (",$O61)),RIGHT(TRIM($O61),1)=")"))),1,0),0)</f>
        <v/>
      </c>
      <c r="AB61" s="34">
        <f>IF(AND($V61=1,$B61="Dependency",ISNUMBER($P61)),IF($P61&lt;Summary!$K$4,1,0),0)</f>
        <v/>
      </c>
      <c r="AC61" s="34">
        <f>IF($T61=0,0,IF(OR($A61="",COUNTIF($A$4:$A$153,$A61)&gt;1,ISERROR(MATCH($B61,{"Risk","Assumption","Issue","Dependency"},0))),1,IF(INDEX({"R","A","I","X"},MATCH($B61,{"Risk","Assumption","Issue","Dependency"},0))&lt;&gt;LEFT($A61,1),1,0)))</f>
        <v/>
      </c>
      <c r="AD61" s="34">
        <f>IF($T61=0,0,IF(OR(ISERROR(MATCH($J61,{"Raised","Responding","Closed"},0)),ISERROR(MATCH($G61,{"Low","Medium","High"},0)),AND(OR($B61="Risk",$B61="Assumption"),ISERROR(MATCH($H61,{"Low","Medium","High"},0))),AND($Q61&lt;&gt;"",$Q61&lt;&gt;"This log",$Q61&lt;&gt;"Program workbook"),AND($J61&lt;&gt;"Closed",OR($K61&lt;&gt;"",LEN(TRIM($L61))&gt;0))),1,0))</f>
        <v/>
      </c>
      <c r="AE61" s="34">
        <f>IF($T61=0,0,IF(OR(NOT(ISNUMBER($E61)),AND($F61&lt;&gt;"",NOT(ISNUMBER($F61))),AND($K61&lt;&gt;"",NOT(ISNUMBER($K61))),AND($P61&lt;&gt;"",NOT(ISNUMBER($P61)))),1,0))</f>
        <v/>
      </c>
      <c r="AF61" s="34">
        <f>MAX($AC61,$AD61,$AE61)</f>
        <v/>
      </c>
      <c r="AG61" s="34">
        <f>IF($T61=0,0,IFERROR(--MID(TRIM($A61),2,9),0))</f>
        <v/>
      </c>
      <c r="AH61" s="22">
        <f>IFERROR(LEFT(TRIM($D61),SEARCH(" (",TRIM($D61))-1),TRIM($D61))</f>
        <v/>
      </c>
      <c r="AI61" s="34">
        <f>IF(AND($T61=1,$J61="Closed",$G61="High",ISNUMBER($K61)),IF($K61&gt;=Summary!$K$6,1,0),0)</f>
        <v/>
      </c>
      <c r="AJ61" s="34">
        <f>IF($AI61=1,SUM($AI$4:$AI61),0)</f>
        <v/>
      </c>
    </row>
    <row r="62" ht="18" customHeight="1">
      <c r="A62" s="30" t="n"/>
      <c r="B62" s="30" t="n"/>
      <c r="C62" s="31" t="n"/>
      <c r="D62" s="31" t="n"/>
      <c r="E62" s="32" t="n"/>
      <c r="F62" s="32" t="n"/>
      <c r="G62" s="30" t="n"/>
      <c r="H62" s="30" t="n"/>
      <c r="I62" s="31" t="n"/>
      <c r="J62" s="30" t="n"/>
      <c r="K62" s="32" t="n"/>
      <c r="L62" s="31" t="n"/>
      <c r="M62" s="30" t="n"/>
      <c r="N62" s="31" t="n"/>
      <c r="O62" s="31" t="n"/>
      <c r="P62" s="32" t="n"/>
      <c r="Q62" s="30" t="n"/>
      <c r="R62" s="33">
        <f>IF($T62=0,"",IF($AF62=1,"△ The log can't read this line",IF($W62=1,"△ Needs one owner, written as Name (Role)",IF($X62=1,"△ Look-again date missing, passed or too far ahead",IF($Y62=1,"△ No response",IF($Z62=1,"△ Closed without a date or a reason",IF($AA62=1,"△ Needs Provided by and Needed by, and Who answers as Name (Role)",IF($AB62=1,"△ Past its Needed by date","○ Clear"))))))))</f>
        <v/>
      </c>
      <c r="T62" s="34">
        <f>IF(COUNTA($A62:$Q62)&gt;0,1,0)</f>
        <v/>
      </c>
      <c r="U62" s="34">
        <f>IF(AND($T62=1,$J62&lt;&gt;"Closed"),1,0)</f>
        <v/>
      </c>
      <c r="V62" s="34">
        <f>IF(AND($U62=1,$Q62&lt;&gt;"Program workbook"),1,0)</f>
        <v/>
      </c>
      <c r="W62" s="34">
        <f>IF($V62=0,0,IF(OR(ISERROR(SEARCH(" (",$D62)),RIGHT(TRIM($D62),1)&lt;&gt;")",ISNUMBER(SEARCH(",",$AH62)),ISNUMBER(SEARCH("/",$AH62)),ISNUMBER(SEARCH(" and ",$AH62)),ISNUMBER(SEARCH("&amp;",$AH62))),1,0))</f>
        <v/>
      </c>
      <c r="X62" s="34">
        <f>IF($V62=0,0,IF(NOT(ISNUMBER($F62)),1,IF(OR($F62&lt;Summary!$K$4,$F62&gt;Summary!$K$4+Summary!$K$5,AND(ISNUMBER($P62),$F62&gt;$P62)),1,0)))</f>
        <v/>
      </c>
      <c r="Y62" s="34">
        <f>IF(AND($V62=1,OR($B62="Risk",$B62="Issue"),LEN(TRIM($I62))=0),1,0)</f>
        <v/>
      </c>
      <c r="Z62" s="34">
        <f>IF(AND($T62=1,$J62="Closed",OR(NOT(ISNUMBER($K62)),LEN(TRIM($L62))=0)),1,0)</f>
        <v/>
      </c>
      <c r="AA62" s="34">
        <f>IF(AND($U62=1,$B62="Dependency"),IF(OR(LEN(TRIM($N62))=0,NOT(ISNUMBER($P62)),NOT(AND(ISNUMBER(SEARCH(" (",$O62)),RIGHT(TRIM($O62),1)=")"))),1,0),0)</f>
        <v/>
      </c>
      <c r="AB62" s="34">
        <f>IF(AND($V62=1,$B62="Dependency",ISNUMBER($P62)),IF($P62&lt;Summary!$K$4,1,0),0)</f>
        <v/>
      </c>
      <c r="AC62" s="34">
        <f>IF($T62=0,0,IF(OR($A62="",COUNTIF($A$4:$A$153,$A62)&gt;1,ISERROR(MATCH($B62,{"Risk","Assumption","Issue","Dependency"},0))),1,IF(INDEX({"R","A","I","X"},MATCH($B62,{"Risk","Assumption","Issue","Dependency"},0))&lt;&gt;LEFT($A62,1),1,0)))</f>
        <v/>
      </c>
      <c r="AD62" s="34">
        <f>IF($T62=0,0,IF(OR(ISERROR(MATCH($J62,{"Raised","Responding","Closed"},0)),ISERROR(MATCH($G62,{"Low","Medium","High"},0)),AND(OR($B62="Risk",$B62="Assumption"),ISERROR(MATCH($H62,{"Low","Medium","High"},0))),AND($Q62&lt;&gt;"",$Q62&lt;&gt;"This log",$Q62&lt;&gt;"Program workbook"),AND($J62&lt;&gt;"Closed",OR($K62&lt;&gt;"",LEN(TRIM($L62))&gt;0))),1,0))</f>
        <v/>
      </c>
      <c r="AE62" s="34">
        <f>IF($T62=0,0,IF(OR(NOT(ISNUMBER($E62)),AND($F62&lt;&gt;"",NOT(ISNUMBER($F62))),AND($K62&lt;&gt;"",NOT(ISNUMBER($K62))),AND($P62&lt;&gt;"",NOT(ISNUMBER($P62)))),1,0))</f>
        <v/>
      </c>
      <c r="AF62" s="34">
        <f>MAX($AC62,$AD62,$AE62)</f>
        <v/>
      </c>
      <c r="AG62" s="34">
        <f>IF($T62=0,0,IFERROR(--MID(TRIM($A62),2,9),0))</f>
        <v/>
      </c>
      <c r="AH62" s="22">
        <f>IFERROR(LEFT(TRIM($D62),SEARCH(" (",TRIM($D62))-1),TRIM($D62))</f>
        <v/>
      </c>
      <c r="AI62" s="34">
        <f>IF(AND($T62=1,$J62="Closed",$G62="High",ISNUMBER($K62)),IF($K62&gt;=Summary!$K$6,1,0),0)</f>
        <v/>
      </c>
      <c r="AJ62" s="34">
        <f>IF($AI62=1,SUM($AI$4:$AI62),0)</f>
        <v/>
      </c>
    </row>
    <row r="63" ht="18" customHeight="1">
      <c r="A63" s="30" t="n"/>
      <c r="B63" s="30" t="n"/>
      <c r="C63" s="31" t="n"/>
      <c r="D63" s="31" t="n"/>
      <c r="E63" s="32" t="n"/>
      <c r="F63" s="32" t="n"/>
      <c r="G63" s="30" t="n"/>
      <c r="H63" s="30" t="n"/>
      <c r="I63" s="31" t="n"/>
      <c r="J63" s="30" t="n"/>
      <c r="K63" s="32" t="n"/>
      <c r="L63" s="31" t="n"/>
      <c r="M63" s="30" t="n"/>
      <c r="N63" s="31" t="n"/>
      <c r="O63" s="31" t="n"/>
      <c r="P63" s="32" t="n"/>
      <c r="Q63" s="30" t="n"/>
      <c r="R63" s="33">
        <f>IF($T63=0,"",IF($AF63=1,"△ The log can't read this line",IF($W63=1,"△ Needs one owner, written as Name (Role)",IF($X63=1,"△ Look-again date missing, passed or too far ahead",IF($Y63=1,"△ No response",IF($Z63=1,"△ Closed without a date or a reason",IF($AA63=1,"△ Needs Provided by and Needed by, and Who answers as Name (Role)",IF($AB63=1,"△ Past its Needed by date","○ Clear"))))))))</f>
        <v/>
      </c>
      <c r="T63" s="34">
        <f>IF(COUNTA($A63:$Q63)&gt;0,1,0)</f>
        <v/>
      </c>
      <c r="U63" s="34">
        <f>IF(AND($T63=1,$J63&lt;&gt;"Closed"),1,0)</f>
        <v/>
      </c>
      <c r="V63" s="34">
        <f>IF(AND($U63=1,$Q63&lt;&gt;"Program workbook"),1,0)</f>
        <v/>
      </c>
      <c r="W63" s="34">
        <f>IF($V63=0,0,IF(OR(ISERROR(SEARCH(" (",$D63)),RIGHT(TRIM($D63),1)&lt;&gt;")",ISNUMBER(SEARCH(",",$AH63)),ISNUMBER(SEARCH("/",$AH63)),ISNUMBER(SEARCH(" and ",$AH63)),ISNUMBER(SEARCH("&amp;",$AH63))),1,0))</f>
        <v/>
      </c>
      <c r="X63" s="34">
        <f>IF($V63=0,0,IF(NOT(ISNUMBER($F63)),1,IF(OR($F63&lt;Summary!$K$4,$F63&gt;Summary!$K$4+Summary!$K$5,AND(ISNUMBER($P63),$F63&gt;$P63)),1,0)))</f>
        <v/>
      </c>
      <c r="Y63" s="34">
        <f>IF(AND($V63=1,OR($B63="Risk",$B63="Issue"),LEN(TRIM($I63))=0),1,0)</f>
        <v/>
      </c>
      <c r="Z63" s="34">
        <f>IF(AND($T63=1,$J63="Closed",OR(NOT(ISNUMBER($K63)),LEN(TRIM($L63))=0)),1,0)</f>
        <v/>
      </c>
      <c r="AA63" s="34">
        <f>IF(AND($U63=1,$B63="Dependency"),IF(OR(LEN(TRIM($N63))=0,NOT(ISNUMBER($P63)),NOT(AND(ISNUMBER(SEARCH(" (",$O63)),RIGHT(TRIM($O63),1)=")"))),1,0),0)</f>
        <v/>
      </c>
      <c r="AB63" s="34">
        <f>IF(AND($V63=1,$B63="Dependency",ISNUMBER($P63)),IF($P63&lt;Summary!$K$4,1,0),0)</f>
        <v/>
      </c>
      <c r="AC63" s="34">
        <f>IF($T63=0,0,IF(OR($A63="",COUNTIF($A$4:$A$153,$A63)&gt;1,ISERROR(MATCH($B63,{"Risk","Assumption","Issue","Dependency"},0))),1,IF(INDEX({"R","A","I","X"},MATCH($B63,{"Risk","Assumption","Issue","Dependency"},0))&lt;&gt;LEFT($A63,1),1,0)))</f>
        <v/>
      </c>
      <c r="AD63" s="34">
        <f>IF($T63=0,0,IF(OR(ISERROR(MATCH($J63,{"Raised","Responding","Closed"},0)),ISERROR(MATCH($G63,{"Low","Medium","High"},0)),AND(OR($B63="Risk",$B63="Assumption"),ISERROR(MATCH($H63,{"Low","Medium","High"},0))),AND($Q63&lt;&gt;"",$Q63&lt;&gt;"This log",$Q63&lt;&gt;"Program workbook"),AND($J63&lt;&gt;"Closed",OR($K63&lt;&gt;"",LEN(TRIM($L63))&gt;0))),1,0))</f>
        <v/>
      </c>
      <c r="AE63" s="34">
        <f>IF($T63=0,0,IF(OR(NOT(ISNUMBER($E63)),AND($F63&lt;&gt;"",NOT(ISNUMBER($F63))),AND($K63&lt;&gt;"",NOT(ISNUMBER($K63))),AND($P63&lt;&gt;"",NOT(ISNUMBER($P63)))),1,0))</f>
        <v/>
      </c>
      <c r="AF63" s="34">
        <f>MAX($AC63,$AD63,$AE63)</f>
        <v/>
      </c>
      <c r="AG63" s="34">
        <f>IF($T63=0,0,IFERROR(--MID(TRIM($A63),2,9),0))</f>
        <v/>
      </c>
      <c r="AH63" s="22">
        <f>IFERROR(LEFT(TRIM($D63),SEARCH(" (",TRIM($D63))-1),TRIM($D63))</f>
        <v/>
      </c>
      <c r="AI63" s="34">
        <f>IF(AND($T63=1,$J63="Closed",$G63="High",ISNUMBER($K63)),IF($K63&gt;=Summary!$K$6,1,0),0)</f>
        <v/>
      </c>
      <c r="AJ63" s="34">
        <f>IF($AI63=1,SUM($AI$4:$AI63),0)</f>
        <v/>
      </c>
    </row>
    <row r="64" ht="18" customHeight="1">
      <c r="A64" s="30" t="n"/>
      <c r="B64" s="30" t="n"/>
      <c r="C64" s="31" t="n"/>
      <c r="D64" s="31" t="n"/>
      <c r="E64" s="32" t="n"/>
      <c r="F64" s="32" t="n"/>
      <c r="G64" s="30" t="n"/>
      <c r="H64" s="30" t="n"/>
      <c r="I64" s="31" t="n"/>
      <c r="J64" s="30" t="n"/>
      <c r="K64" s="32" t="n"/>
      <c r="L64" s="31" t="n"/>
      <c r="M64" s="30" t="n"/>
      <c r="N64" s="31" t="n"/>
      <c r="O64" s="31" t="n"/>
      <c r="P64" s="32" t="n"/>
      <c r="Q64" s="30" t="n"/>
      <c r="R64" s="33">
        <f>IF($T64=0,"",IF($AF64=1,"△ The log can't read this line",IF($W64=1,"△ Needs one owner, written as Name (Role)",IF($X64=1,"△ Look-again date missing, passed or too far ahead",IF($Y64=1,"△ No response",IF($Z64=1,"△ Closed without a date or a reason",IF($AA64=1,"△ Needs Provided by and Needed by, and Who answers as Name (Role)",IF($AB64=1,"△ Past its Needed by date","○ Clear"))))))))</f>
        <v/>
      </c>
      <c r="T64" s="34">
        <f>IF(COUNTA($A64:$Q64)&gt;0,1,0)</f>
        <v/>
      </c>
      <c r="U64" s="34">
        <f>IF(AND($T64=1,$J64&lt;&gt;"Closed"),1,0)</f>
        <v/>
      </c>
      <c r="V64" s="34">
        <f>IF(AND($U64=1,$Q64&lt;&gt;"Program workbook"),1,0)</f>
        <v/>
      </c>
      <c r="W64" s="34">
        <f>IF($V64=0,0,IF(OR(ISERROR(SEARCH(" (",$D64)),RIGHT(TRIM($D64),1)&lt;&gt;")",ISNUMBER(SEARCH(",",$AH64)),ISNUMBER(SEARCH("/",$AH64)),ISNUMBER(SEARCH(" and ",$AH64)),ISNUMBER(SEARCH("&amp;",$AH64))),1,0))</f>
        <v/>
      </c>
      <c r="X64" s="34">
        <f>IF($V64=0,0,IF(NOT(ISNUMBER($F64)),1,IF(OR($F64&lt;Summary!$K$4,$F64&gt;Summary!$K$4+Summary!$K$5,AND(ISNUMBER($P64),$F64&gt;$P64)),1,0)))</f>
        <v/>
      </c>
      <c r="Y64" s="34">
        <f>IF(AND($V64=1,OR($B64="Risk",$B64="Issue"),LEN(TRIM($I64))=0),1,0)</f>
        <v/>
      </c>
      <c r="Z64" s="34">
        <f>IF(AND($T64=1,$J64="Closed",OR(NOT(ISNUMBER($K64)),LEN(TRIM($L64))=0)),1,0)</f>
        <v/>
      </c>
      <c r="AA64" s="34">
        <f>IF(AND($U64=1,$B64="Dependency"),IF(OR(LEN(TRIM($N64))=0,NOT(ISNUMBER($P64)),NOT(AND(ISNUMBER(SEARCH(" (",$O64)),RIGHT(TRIM($O64),1)=")"))),1,0),0)</f>
        <v/>
      </c>
      <c r="AB64" s="34">
        <f>IF(AND($V64=1,$B64="Dependency",ISNUMBER($P64)),IF($P64&lt;Summary!$K$4,1,0),0)</f>
        <v/>
      </c>
      <c r="AC64" s="34">
        <f>IF($T64=0,0,IF(OR($A64="",COUNTIF($A$4:$A$153,$A64)&gt;1,ISERROR(MATCH($B64,{"Risk","Assumption","Issue","Dependency"},0))),1,IF(INDEX({"R","A","I","X"},MATCH($B64,{"Risk","Assumption","Issue","Dependency"},0))&lt;&gt;LEFT($A64,1),1,0)))</f>
        <v/>
      </c>
      <c r="AD64" s="34">
        <f>IF($T64=0,0,IF(OR(ISERROR(MATCH($J64,{"Raised","Responding","Closed"},0)),ISERROR(MATCH($G64,{"Low","Medium","High"},0)),AND(OR($B64="Risk",$B64="Assumption"),ISERROR(MATCH($H64,{"Low","Medium","High"},0))),AND($Q64&lt;&gt;"",$Q64&lt;&gt;"This log",$Q64&lt;&gt;"Program workbook"),AND($J64&lt;&gt;"Closed",OR($K64&lt;&gt;"",LEN(TRIM($L64))&gt;0))),1,0))</f>
        <v/>
      </c>
      <c r="AE64" s="34">
        <f>IF($T64=0,0,IF(OR(NOT(ISNUMBER($E64)),AND($F64&lt;&gt;"",NOT(ISNUMBER($F64))),AND($K64&lt;&gt;"",NOT(ISNUMBER($K64))),AND($P64&lt;&gt;"",NOT(ISNUMBER($P64)))),1,0))</f>
        <v/>
      </c>
      <c r="AF64" s="34">
        <f>MAX($AC64,$AD64,$AE64)</f>
        <v/>
      </c>
      <c r="AG64" s="34">
        <f>IF($T64=0,0,IFERROR(--MID(TRIM($A64),2,9),0))</f>
        <v/>
      </c>
      <c r="AH64" s="22">
        <f>IFERROR(LEFT(TRIM($D64),SEARCH(" (",TRIM($D64))-1),TRIM($D64))</f>
        <v/>
      </c>
      <c r="AI64" s="34">
        <f>IF(AND($T64=1,$J64="Closed",$G64="High",ISNUMBER($K64)),IF($K64&gt;=Summary!$K$6,1,0),0)</f>
        <v/>
      </c>
      <c r="AJ64" s="34">
        <f>IF($AI64=1,SUM($AI$4:$AI64),0)</f>
        <v/>
      </c>
    </row>
    <row r="65" ht="18" customHeight="1">
      <c r="A65" s="30" t="n"/>
      <c r="B65" s="30" t="n"/>
      <c r="C65" s="31" t="n"/>
      <c r="D65" s="31" t="n"/>
      <c r="E65" s="32" t="n"/>
      <c r="F65" s="32" t="n"/>
      <c r="G65" s="30" t="n"/>
      <c r="H65" s="30" t="n"/>
      <c r="I65" s="31" t="n"/>
      <c r="J65" s="30" t="n"/>
      <c r="K65" s="32" t="n"/>
      <c r="L65" s="31" t="n"/>
      <c r="M65" s="30" t="n"/>
      <c r="N65" s="31" t="n"/>
      <c r="O65" s="31" t="n"/>
      <c r="P65" s="32" t="n"/>
      <c r="Q65" s="30" t="n"/>
      <c r="R65" s="33">
        <f>IF($T65=0,"",IF($AF65=1,"△ The log can't read this line",IF($W65=1,"△ Needs one owner, written as Name (Role)",IF($X65=1,"△ Look-again date missing, passed or too far ahead",IF($Y65=1,"△ No response",IF($Z65=1,"△ Closed without a date or a reason",IF($AA65=1,"△ Needs Provided by and Needed by, and Who answers as Name (Role)",IF($AB65=1,"△ Past its Needed by date","○ Clear"))))))))</f>
        <v/>
      </c>
      <c r="T65" s="34">
        <f>IF(COUNTA($A65:$Q65)&gt;0,1,0)</f>
        <v/>
      </c>
      <c r="U65" s="34">
        <f>IF(AND($T65=1,$J65&lt;&gt;"Closed"),1,0)</f>
        <v/>
      </c>
      <c r="V65" s="34">
        <f>IF(AND($U65=1,$Q65&lt;&gt;"Program workbook"),1,0)</f>
        <v/>
      </c>
      <c r="W65" s="34">
        <f>IF($V65=0,0,IF(OR(ISERROR(SEARCH(" (",$D65)),RIGHT(TRIM($D65),1)&lt;&gt;")",ISNUMBER(SEARCH(",",$AH65)),ISNUMBER(SEARCH("/",$AH65)),ISNUMBER(SEARCH(" and ",$AH65)),ISNUMBER(SEARCH("&amp;",$AH65))),1,0))</f>
        <v/>
      </c>
      <c r="X65" s="34">
        <f>IF($V65=0,0,IF(NOT(ISNUMBER($F65)),1,IF(OR($F65&lt;Summary!$K$4,$F65&gt;Summary!$K$4+Summary!$K$5,AND(ISNUMBER($P65),$F65&gt;$P65)),1,0)))</f>
        <v/>
      </c>
      <c r="Y65" s="34">
        <f>IF(AND($V65=1,OR($B65="Risk",$B65="Issue"),LEN(TRIM($I65))=0),1,0)</f>
        <v/>
      </c>
      <c r="Z65" s="34">
        <f>IF(AND($T65=1,$J65="Closed",OR(NOT(ISNUMBER($K65)),LEN(TRIM($L65))=0)),1,0)</f>
        <v/>
      </c>
      <c r="AA65" s="34">
        <f>IF(AND($U65=1,$B65="Dependency"),IF(OR(LEN(TRIM($N65))=0,NOT(ISNUMBER($P65)),NOT(AND(ISNUMBER(SEARCH(" (",$O65)),RIGHT(TRIM($O65),1)=")"))),1,0),0)</f>
        <v/>
      </c>
      <c r="AB65" s="34">
        <f>IF(AND($V65=1,$B65="Dependency",ISNUMBER($P65)),IF($P65&lt;Summary!$K$4,1,0),0)</f>
        <v/>
      </c>
      <c r="AC65" s="34">
        <f>IF($T65=0,0,IF(OR($A65="",COUNTIF($A$4:$A$153,$A65)&gt;1,ISERROR(MATCH($B65,{"Risk","Assumption","Issue","Dependency"},0))),1,IF(INDEX({"R","A","I","X"},MATCH($B65,{"Risk","Assumption","Issue","Dependency"},0))&lt;&gt;LEFT($A65,1),1,0)))</f>
        <v/>
      </c>
      <c r="AD65" s="34">
        <f>IF($T65=0,0,IF(OR(ISERROR(MATCH($J65,{"Raised","Responding","Closed"},0)),ISERROR(MATCH($G65,{"Low","Medium","High"},0)),AND(OR($B65="Risk",$B65="Assumption"),ISERROR(MATCH($H65,{"Low","Medium","High"},0))),AND($Q65&lt;&gt;"",$Q65&lt;&gt;"This log",$Q65&lt;&gt;"Program workbook"),AND($J65&lt;&gt;"Closed",OR($K65&lt;&gt;"",LEN(TRIM($L65))&gt;0))),1,0))</f>
        <v/>
      </c>
      <c r="AE65" s="34">
        <f>IF($T65=0,0,IF(OR(NOT(ISNUMBER($E65)),AND($F65&lt;&gt;"",NOT(ISNUMBER($F65))),AND($K65&lt;&gt;"",NOT(ISNUMBER($K65))),AND($P65&lt;&gt;"",NOT(ISNUMBER($P65)))),1,0))</f>
        <v/>
      </c>
      <c r="AF65" s="34">
        <f>MAX($AC65,$AD65,$AE65)</f>
        <v/>
      </c>
      <c r="AG65" s="34">
        <f>IF($T65=0,0,IFERROR(--MID(TRIM($A65),2,9),0))</f>
        <v/>
      </c>
      <c r="AH65" s="22">
        <f>IFERROR(LEFT(TRIM($D65),SEARCH(" (",TRIM($D65))-1),TRIM($D65))</f>
        <v/>
      </c>
      <c r="AI65" s="34">
        <f>IF(AND($T65=1,$J65="Closed",$G65="High",ISNUMBER($K65)),IF($K65&gt;=Summary!$K$6,1,0),0)</f>
        <v/>
      </c>
      <c r="AJ65" s="34">
        <f>IF($AI65=1,SUM($AI$4:$AI65),0)</f>
        <v/>
      </c>
    </row>
    <row r="66" ht="18" customHeight="1">
      <c r="A66" s="30" t="n"/>
      <c r="B66" s="30" t="n"/>
      <c r="C66" s="31" t="n"/>
      <c r="D66" s="31" t="n"/>
      <c r="E66" s="32" t="n"/>
      <c r="F66" s="32" t="n"/>
      <c r="G66" s="30" t="n"/>
      <c r="H66" s="30" t="n"/>
      <c r="I66" s="31" t="n"/>
      <c r="J66" s="30" t="n"/>
      <c r="K66" s="32" t="n"/>
      <c r="L66" s="31" t="n"/>
      <c r="M66" s="30" t="n"/>
      <c r="N66" s="31" t="n"/>
      <c r="O66" s="31" t="n"/>
      <c r="P66" s="32" t="n"/>
      <c r="Q66" s="30" t="n"/>
      <c r="R66" s="33">
        <f>IF($T66=0,"",IF($AF66=1,"△ The log can't read this line",IF($W66=1,"△ Needs one owner, written as Name (Role)",IF($X66=1,"△ Look-again date missing, passed or too far ahead",IF($Y66=1,"△ No response",IF($Z66=1,"△ Closed without a date or a reason",IF($AA66=1,"△ Needs Provided by and Needed by, and Who answers as Name (Role)",IF($AB66=1,"△ Past its Needed by date","○ Clear"))))))))</f>
        <v/>
      </c>
      <c r="T66" s="34">
        <f>IF(COUNTA($A66:$Q66)&gt;0,1,0)</f>
        <v/>
      </c>
      <c r="U66" s="34">
        <f>IF(AND($T66=1,$J66&lt;&gt;"Closed"),1,0)</f>
        <v/>
      </c>
      <c r="V66" s="34">
        <f>IF(AND($U66=1,$Q66&lt;&gt;"Program workbook"),1,0)</f>
        <v/>
      </c>
      <c r="W66" s="34">
        <f>IF($V66=0,0,IF(OR(ISERROR(SEARCH(" (",$D66)),RIGHT(TRIM($D66),1)&lt;&gt;")",ISNUMBER(SEARCH(",",$AH66)),ISNUMBER(SEARCH("/",$AH66)),ISNUMBER(SEARCH(" and ",$AH66)),ISNUMBER(SEARCH("&amp;",$AH66))),1,0))</f>
        <v/>
      </c>
      <c r="X66" s="34">
        <f>IF($V66=0,0,IF(NOT(ISNUMBER($F66)),1,IF(OR($F66&lt;Summary!$K$4,$F66&gt;Summary!$K$4+Summary!$K$5,AND(ISNUMBER($P66),$F66&gt;$P66)),1,0)))</f>
        <v/>
      </c>
      <c r="Y66" s="34">
        <f>IF(AND($V66=1,OR($B66="Risk",$B66="Issue"),LEN(TRIM($I66))=0),1,0)</f>
        <v/>
      </c>
      <c r="Z66" s="34">
        <f>IF(AND($T66=1,$J66="Closed",OR(NOT(ISNUMBER($K66)),LEN(TRIM($L66))=0)),1,0)</f>
        <v/>
      </c>
      <c r="AA66" s="34">
        <f>IF(AND($U66=1,$B66="Dependency"),IF(OR(LEN(TRIM($N66))=0,NOT(ISNUMBER($P66)),NOT(AND(ISNUMBER(SEARCH(" (",$O66)),RIGHT(TRIM($O66),1)=")"))),1,0),0)</f>
        <v/>
      </c>
      <c r="AB66" s="34">
        <f>IF(AND($V66=1,$B66="Dependency",ISNUMBER($P66)),IF($P66&lt;Summary!$K$4,1,0),0)</f>
        <v/>
      </c>
      <c r="AC66" s="34">
        <f>IF($T66=0,0,IF(OR($A66="",COUNTIF($A$4:$A$153,$A66)&gt;1,ISERROR(MATCH($B66,{"Risk","Assumption","Issue","Dependency"},0))),1,IF(INDEX({"R","A","I","X"},MATCH($B66,{"Risk","Assumption","Issue","Dependency"},0))&lt;&gt;LEFT($A66,1),1,0)))</f>
        <v/>
      </c>
      <c r="AD66" s="34">
        <f>IF($T66=0,0,IF(OR(ISERROR(MATCH($J66,{"Raised","Responding","Closed"},0)),ISERROR(MATCH($G66,{"Low","Medium","High"},0)),AND(OR($B66="Risk",$B66="Assumption"),ISERROR(MATCH($H66,{"Low","Medium","High"},0))),AND($Q66&lt;&gt;"",$Q66&lt;&gt;"This log",$Q66&lt;&gt;"Program workbook"),AND($J66&lt;&gt;"Closed",OR($K66&lt;&gt;"",LEN(TRIM($L66))&gt;0))),1,0))</f>
        <v/>
      </c>
      <c r="AE66" s="34">
        <f>IF($T66=0,0,IF(OR(NOT(ISNUMBER($E66)),AND($F66&lt;&gt;"",NOT(ISNUMBER($F66))),AND($K66&lt;&gt;"",NOT(ISNUMBER($K66))),AND($P66&lt;&gt;"",NOT(ISNUMBER($P66)))),1,0))</f>
        <v/>
      </c>
      <c r="AF66" s="34">
        <f>MAX($AC66,$AD66,$AE66)</f>
        <v/>
      </c>
      <c r="AG66" s="34">
        <f>IF($T66=0,0,IFERROR(--MID(TRIM($A66),2,9),0))</f>
        <v/>
      </c>
      <c r="AH66" s="22">
        <f>IFERROR(LEFT(TRIM($D66),SEARCH(" (",TRIM($D66))-1),TRIM($D66))</f>
        <v/>
      </c>
      <c r="AI66" s="34">
        <f>IF(AND($T66=1,$J66="Closed",$G66="High",ISNUMBER($K66)),IF($K66&gt;=Summary!$K$6,1,0),0)</f>
        <v/>
      </c>
      <c r="AJ66" s="34">
        <f>IF($AI66=1,SUM($AI$4:$AI66),0)</f>
        <v/>
      </c>
    </row>
    <row r="67" ht="18" customHeight="1">
      <c r="A67" s="30" t="n"/>
      <c r="B67" s="30" t="n"/>
      <c r="C67" s="31" t="n"/>
      <c r="D67" s="31" t="n"/>
      <c r="E67" s="32" t="n"/>
      <c r="F67" s="32" t="n"/>
      <c r="G67" s="30" t="n"/>
      <c r="H67" s="30" t="n"/>
      <c r="I67" s="31" t="n"/>
      <c r="J67" s="30" t="n"/>
      <c r="K67" s="32" t="n"/>
      <c r="L67" s="31" t="n"/>
      <c r="M67" s="30" t="n"/>
      <c r="N67" s="31" t="n"/>
      <c r="O67" s="31" t="n"/>
      <c r="P67" s="32" t="n"/>
      <c r="Q67" s="30" t="n"/>
      <c r="R67" s="33">
        <f>IF($T67=0,"",IF($AF67=1,"△ The log can't read this line",IF($W67=1,"△ Needs one owner, written as Name (Role)",IF($X67=1,"△ Look-again date missing, passed or too far ahead",IF($Y67=1,"△ No response",IF($Z67=1,"△ Closed without a date or a reason",IF($AA67=1,"△ Needs Provided by and Needed by, and Who answers as Name (Role)",IF($AB67=1,"△ Past its Needed by date","○ Clear"))))))))</f>
        <v/>
      </c>
      <c r="T67" s="34">
        <f>IF(COUNTA($A67:$Q67)&gt;0,1,0)</f>
        <v/>
      </c>
      <c r="U67" s="34">
        <f>IF(AND($T67=1,$J67&lt;&gt;"Closed"),1,0)</f>
        <v/>
      </c>
      <c r="V67" s="34">
        <f>IF(AND($U67=1,$Q67&lt;&gt;"Program workbook"),1,0)</f>
        <v/>
      </c>
      <c r="W67" s="34">
        <f>IF($V67=0,0,IF(OR(ISERROR(SEARCH(" (",$D67)),RIGHT(TRIM($D67),1)&lt;&gt;")",ISNUMBER(SEARCH(",",$AH67)),ISNUMBER(SEARCH("/",$AH67)),ISNUMBER(SEARCH(" and ",$AH67)),ISNUMBER(SEARCH("&amp;",$AH67))),1,0))</f>
        <v/>
      </c>
      <c r="X67" s="34">
        <f>IF($V67=0,0,IF(NOT(ISNUMBER($F67)),1,IF(OR($F67&lt;Summary!$K$4,$F67&gt;Summary!$K$4+Summary!$K$5,AND(ISNUMBER($P67),$F67&gt;$P67)),1,0)))</f>
        <v/>
      </c>
      <c r="Y67" s="34">
        <f>IF(AND($V67=1,OR($B67="Risk",$B67="Issue"),LEN(TRIM($I67))=0),1,0)</f>
        <v/>
      </c>
      <c r="Z67" s="34">
        <f>IF(AND($T67=1,$J67="Closed",OR(NOT(ISNUMBER($K67)),LEN(TRIM($L67))=0)),1,0)</f>
        <v/>
      </c>
      <c r="AA67" s="34">
        <f>IF(AND($U67=1,$B67="Dependency"),IF(OR(LEN(TRIM($N67))=0,NOT(ISNUMBER($P67)),NOT(AND(ISNUMBER(SEARCH(" (",$O67)),RIGHT(TRIM($O67),1)=")"))),1,0),0)</f>
        <v/>
      </c>
      <c r="AB67" s="34">
        <f>IF(AND($V67=1,$B67="Dependency",ISNUMBER($P67)),IF($P67&lt;Summary!$K$4,1,0),0)</f>
        <v/>
      </c>
      <c r="AC67" s="34">
        <f>IF($T67=0,0,IF(OR($A67="",COUNTIF($A$4:$A$153,$A67)&gt;1,ISERROR(MATCH($B67,{"Risk","Assumption","Issue","Dependency"},0))),1,IF(INDEX({"R","A","I","X"},MATCH($B67,{"Risk","Assumption","Issue","Dependency"},0))&lt;&gt;LEFT($A67,1),1,0)))</f>
        <v/>
      </c>
      <c r="AD67" s="34">
        <f>IF($T67=0,0,IF(OR(ISERROR(MATCH($J67,{"Raised","Responding","Closed"},0)),ISERROR(MATCH($G67,{"Low","Medium","High"},0)),AND(OR($B67="Risk",$B67="Assumption"),ISERROR(MATCH($H67,{"Low","Medium","High"},0))),AND($Q67&lt;&gt;"",$Q67&lt;&gt;"This log",$Q67&lt;&gt;"Program workbook"),AND($J67&lt;&gt;"Closed",OR($K67&lt;&gt;"",LEN(TRIM($L67))&gt;0))),1,0))</f>
        <v/>
      </c>
      <c r="AE67" s="34">
        <f>IF($T67=0,0,IF(OR(NOT(ISNUMBER($E67)),AND($F67&lt;&gt;"",NOT(ISNUMBER($F67))),AND($K67&lt;&gt;"",NOT(ISNUMBER($K67))),AND($P67&lt;&gt;"",NOT(ISNUMBER($P67)))),1,0))</f>
        <v/>
      </c>
      <c r="AF67" s="34">
        <f>MAX($AC67,$AD67,$AE67)</f>
        <v/>
      </c>
      <c r="AG67" s="34">
        <f>IF($T67=0,0,IFERROR(--MID(TRIM($A67),2,9),0))</f>
        <v/>
      </c>
      <c r="AH67" s="22">
        <f>IFERROR(LEFT(TRIM($D67),SEARCH(" (",TRIM($D67))-1),TRIM($D67))</f>
        <v/>
      </c>
      <c r="AI67" s="34">
        <f>IF(AND($T67=1,$J67="Closed",$G67="High",ISNUMBER($K67)),IF($K67&gt;=Summary!$K$6,1,0),0)</f>
        <v/>
      </c>
      <c r="AJ67" s="34">
        <f>IF($AI67=1,SUM($AI$4:$AI67),0)</f>
        <v/>
      </c>
    </row>
    <row r="68" ht="18" customHeight="1">
      <c r="A68" s="30" t="n"/>
      <c r="B68" s="30" t="n"/>
      <c r="C68" s="31" t="n"/>
      <c r="D68" s="31" t="n"/>
      <c r="E68" s="32" t="n"/>
      <c r="F68" s="32" t="n"/>
      <c r="G68" s="30" t="n"/>
      <c r="H68" s="30" t="n"/>
      <c r="I68" s="31" t="n"/>
      <c r="J68" s="30" t="n"/>
      <c r="K68" s="32" t="n"/>
      <c r="L68" s="31" t="n"/>
      <c r="M68" s="30" t="n"/>
      <c r="N68" s="31" t="n"/>
      <c r="O68" s="31" t="n"/>
      <c r="P68" s="32" t="n"/>
      <c r="Q68" s="30" t="n"/>
      <c r="R68" s="33">
        <f>IF($T68=0,"",IF($AF68=1,"△ The log can't read this line",IF($W68=1,"△ Needs one owner, written as Name (Role)",IF($X68=1,"△ Look-again date missing, passed or too far ahead",IF($Y68=1,"△ No response",IF($Z68=1,"△ Closed without a date or a reason",IF($AA68=1,"△ Needs Provided by and Needed by, and Who answers as Name (Role)",IF($AB68=1,"△ Past its Needed by date","○ Clear"))))))))</f>
        <v/>
      </c>
      <c r="T68" s="34">
        <f>IF(COUNTA($A68:$Q68)&gt;0,1,0)</f>
        <v/>
      </c>
      <c r="U68" s="34">
        <f>IF(AND($T68=1,$J68&lt;&gt;"Closed"),1,0)</f>
        <v/>
      </c>
      <c r="V68" s="34">
        <f>IF(AND($U68=1,$Q68&lt;&gt;"Program workbook"),1,0)</f>
        <v/>
      </c>
      <c r="W68" s="34">
        <f>IF($V68=0,0,IF(OR(ISERROR(SEARCH(" (",$D68)),RIGHT(TRIM($D68),1)&lt;&gt;")",ISNUMBER(SEARCH(",",$AH68)),ISNUMBER(SEARCH("/",$AH68)),ISNUMBER(SEARCH(" and ",$AH68)),ISNUMBER(SEARCH("&amp;",$AH68))),1,0))</f>
        <v/>
      </c>
      <c r="X68" s="34">
        <f>IF($V68=0,0,IF(NOT(ISNUMBER($F68)),1,IF(OR($F68&lt;Summary!$K$4,$F68&gt;Summary!$K$4+Summary!$K$5,AND(ISNUMBER($P68),$F68&gt;$P68)),1,0)))</f>
        <v/>
      </c>
      <c r="Y68" s="34">
        <f>IF(AND($V68=1,OR($B68="Risk",$B68="Issue"),LEN(TRIM($I68))=0),1,0)</f>
        <v/>
      </c>
      <c r="Z68" s="34">
        <f>IF(AND($T68=1,$J68="Closed",OR(NOT(ISNUMBER($K68)),LEN(TRIM($L68))=0)),1,0)</f>
        <v/>
      </c>
      <c r="AA68" s="34">
        <f>IF(AND($U68=1,$B68="Dependency"),IF(OR(LEN(TRIM($N68))=0,NOT(ISNUMBER($P68)),NOT(AND(ISNUMBER(SEARCH(" (",$O68)),RIGHT(TRIM($O68),1)=")"))),1,0),0)</f>
        <v/>
      </c>
      <c r="AB68" s="34">
        <f>IF(AND($V68=1,$B68="Dependency",ISNUMBER($P68)),IF($P68&lt;Summary!$K$4,1,0),0)</f>
        <v/>
      </c>
      <c r="AC68" s="34">
        <f>IF($T68=0,0,IF(OR($A68="",COUNTIF($A$4:$A$153,$A68)&gt;1,ISERROR(MATCH($B68,{"Risk","Assumption","Issue","Dependency"},0))),1,IF(INDEX({"R","A","I","X"},MATCH($B68,{"Risk","Assumption","Issue","Dependency"},0))&lt;&gt;LEFT($A68,1),1,0)))</f>
        <v/>
      </c>
      <c r="AD68" s="34">
        <f>IF($T68=0,0,IF(OR(ISERROR(MATCH($J68,{"Raised","Responding","Closed"},0)),ISERROR(MATCH($G68,{"Low","Medium","High"},0)),AND(OR($B68="Risk",$B68="Assumption"),ISERROR(MATCH($H68,{"Low","Medium","High"},0))),AND($Q68&lt;&gt;"",$Q68&lt;&gt;"This log",$Q68&lt;&gt;"Program workbook"),AND($J68&lt;&gt;"Closed",OR($K68&lt;&gt;"",LEN(TRIM($L68))&gt;0))),1,0))</f>
        <v/>
      </c>
      <c r="AE68" s="34">
        <f>IF($T68=0,0,IF(OR(NOT(ISNUMBER($E68)),AND($F68&lt;&gt;"",NOT(ISNUMBER($F68))),AND($K68&lt;&gt;"",NOT(ISNUMBER($K68))),AND($P68&lt;&gt;"",NOT(ISNUMBER($P68)))),1,0))</f>
        <v/>
      </c>
      <c r="AF68" s="34">
        <f>MAX($AC68,$AD68,$AE68)</f>
        <v/>
      </c>
      <c r="AG68" s="34">
        <f>IF($T68=0,0,IFERROR(--MID(TRIM($A68),2,9),0))</f>
        <v/>
      </c>
      <c r="AH68" s="22">
        <f>IFERROR(LEFT(TRIM($D68),SEARCH(" (",TRIM($D68))-1),TRIM($D68))</f>
        <v/>
      </c>
      <c r="AI68" s="34">
        <f>IF(AND($T68=1,$J68="Closed",$G68="High",ISNUMBER($K68)),IF($K68&gt;=Summary!$K$6,1,0),0)</f>
        <v/>
      </c>
      <c r="AJ68" s="34">
        <f>IF($AI68=1,SUM($AI$4:$AI68),0)</f>
        <v/>
      </c>
    </row>
    <row r="69" ht="18" customHeight="1">
      <c r="A69" s="30" t="n"/>
      <c r="B69" s="30" t="n"/>
      <c r="C69" s="31" t="n"/>
      <c r="D69" s="31" t="n"/>
      <c r="E69" s="32" t="n"/>
      <c r="F69" s="32" t="n"/>
      <c r="G69" s="30" t="n"/>
      <c r="H69" s="30" t="n"/>
      <c r="I69" s="31" t="n"/>
      <c r="J69" s="30" t="n"/>
      <c r="K69" s="32" t="n"/>
      <c r="L69" s="31" t="n"/>
      <c r="M69" s="30" t="n"/>
      <c r="N69" s="31" t="n"/>
      <c r="O69" s="31" t="n"/>
      <c r="P69" s="32" t="n"/>
      <c r="Q69" s="30" t="n"/>
      <c r="R69" s="33">
        <f>IF($T69=0,"",IF($AF69=1,"△ The log can't read this line",IF($W69=1,"△ Needs one owner, written as Name (Role)",IF($X69=1,"△ Look-again date missing, passed or too far ahead",IF($Y69=1,"△ No response",IF($Z69=1,"△ Closed without a date or a reason",IF($AA69=1,"△ Needs Provided by and Needed by, and Who answers as Name (Role)",IF($AB69=1,"△ Past its Needed by date","○ Clear"))))))))</f>
        <v/>
      </c>
      <c r="T69" s="34">
        <f>IF(COUNTA($A69:$Q69)&gt;0,1,0)</f>
        <v/>
      </c>
      <c r="U69" s="34">
        <f>IF(AND($T69=1,$J69&lt;&gt;"Closed"),1,0)</f>
        <v/>
      </c>
      <c r="V69" s="34">
        <f>IF(AND($U69=1,$Q69&lt;&gt;"Program workbook"),1,0)</f>
        <v/>
      </c>
      <c r="W69" s="34">
        <f>IF($V69=0,0,IF(OR(ISERROR(SEARCH(" (",$D69)),RIGHT(TRIM($D69),1)&lt;&gt;")",ISNUMBER(SEARCH(",",$AH69)),ISNUMBER(SEARCH("/",$AH69)),ISNUMBER(SEARCH(" and ",$AH69)),ISNUMBER(SEARCH("&amp;",$AH69))),1,0))</f>
        <v/>
      </c>
      <c r="X69" s="34">
        <f>IF($V69=0,0,IF(NOT(ISNUMBER($F69)),1,IF(OR($F69&lt;Summary!$K$4,$F69&gt;Summary!$K$4+Summary!$K$5,AND(ISNUMBER($P69),$F69&gt;$P69)),1,0)))</f>
        <v/>
      </c>
      <c r="Y69" s="34">
        <f>IF(AND($V69=1,OR($B69="Risk",$B69="Issue"),LEN(TRIM($I69))=0),1,0)</f>
        <v/>
      </c>
      <c r="Z69" s="34">
        <f>IF(AND($T69=1,$J69="Closed",OR(NOT(ISNUMBER($K69)),LEN(TRIM($L69))=0)),1,0)</f>
        <v/>
      </c>
      <c r="AA69" s="34">
        <f>IF(AND($U69=1,$B69="Dependency"),IF(OR(LEN(TRIM($N69))=0,NOT(ISNUMBER($P69)),NOT(AND(ISNUMBER(SEARCH(" (",$O69)),RIGHT(TRIM($O69),1)=")"))),1,0),0)</f>
        <v/>
      </c>
      <c r="AB69" s="34">
        <f>IF(AND($V69=1,$B69="Dependency",ISNUMBER($P69)),IF($P69&lt;Summary!$K$4,1,0),0)</f>
        <v/>
      </c>
      <c r="AC69" s="34">
        <f>IF($T69=0,0,IF(OR($A69="",COUNTIF($A$4:$A$153,$A69)&gt;1,ISERROR(MATCH($B69,{"Risk","Assumption","Issue","Dependency"},0))),1,IF(INDEX({"R","A","I","X"},MATCH($B69,{"Risk","Assumption","Issue","Dependency"},0))&lt;&gt;LEFT($A69,1),1,0)))</f>
        <v/>
      </c>
      <c r="AD69" s="34">
        <f>IF($T69=0,0,IF(OR(ISERROR(MATCH($J69,{"Raised","Responding","Closed"},0)),ISERROR(MATCH($G69,{"Low","Medium","High"},0)),AND(OR($B69="Risk",$B69="Assumption"),ISERROR(MATCH($H69,{"Low","Medium","High"},0))),AND($Q69&lt;&gt;"",$Q69&lt;&gt;"This log",$Q69&lt;&gt;"Program workbook"),AND($J69&lt;&gt;"Closed",OR($K69&lt;&gt;"",LEN(TRIM($L69))&gt;0))),1,0))</f>
        <v/>
      </c>
      <c r="AE69" s="34">
        <f>IF($T69=0,0,IF(OR(NOT(ISNUMBER($E69)),AND($F69&lt;&gt;"",NOT(ISNUMBER($F69))),AND($K69&lt;&gt;"",NOT(ISNUMBER($K69))),AND($P69&lt;&gt;"",NOT(ISNUMBER($P69)))),1,0))</f>
        <v/>
      </c>
      <c r="AF69" s="34">
        <f>MAX($AC69,$AD69,$AE69)</f>
        <v/>
      </c>
      <c r="AG69" s="34">
        <f>IF($T69=0,0,IFERROR(--MID(TRIM($A69),2,9),0))</f>
        <v/>
      </c>
      <c r="AH69" s="22">
        <f>IFERROR(LEFT(TRIM($D69),SEARCH(" (",TRIM($D69))-1),TRIM($D69))</f>
        <v/>
      </c>
      <c r="AI69" s="34">
        <f>IF(AND($T69=1,$J69="Closed",$G69="High",ISNUMBER($K69)),IF($K69&gt;=Summary!$K$6,1,0),0)</f>
        <v/>
      </c>
      <c r="AJ69" s="34">
        <f>IF($AI69=1,SUM($AI$4:$AI69),0)</f>
        <v/>
      </c>
    </row>
    <row r="70" ht="18" customHeight="1">
      <c r="A70" s="30" t="n"/>
      <c r="B70" s="30" t="n"/>
      <c r="C70" s="31" t="n"/>
      <c r="D70" s="31" t="n"/>
      <c r="E70" s="32" t="n"/>
      <c r="F70" s="32" t="n"/>
      <c r="G70" s="30" t="n"/>
      <c r="H70" s="30" t="n"/>
      <c r="I70" s="31" t="n"/>
      <c r="J70" s="30" t="n"/>
      <c r="K70" s="32" t="n"/>
      <c r="L70" s="31" t="n"/>
      <c r="M70" s="30" t="n"/>
      <c r="N70" s="31" t="n"/>
      <c r="O70" s="31" t="n"/>
      <c r="P70" s="32" t="n"/>
      <c r="Q70" s="30" t="n"/>
      <c r="R70" s="33">
        <f>IF($T70=0,"",IF($AF70=1,"△ The log can't read this line",IF($W70=1,"△ Needs one owner, written as Name (Role)",IF($X70=1,"△ Look-again date missing, passed or too far ahead",IF($Y70=1,"△ No response",IF($Z70=1,"△ Closed without a date or a reason",IF($AA70=1,"△ Needs Provided by and Needed by, and Who answers as Name (Role)",IF($AB70=1,"△ Past its Needed by date","○ Clear"))))))))</f>
        <v/>
      </c>
      <c r="T70" s="34">
        <f>IF(COUNTA($A70:$Q70)&gt;0,1,0)</f>
        <v/>
      </c>
      <c r="U70" s="34">
        <f>IF(AND($T70=1,$J70&lt;&gt;"Closed"),1,0)</f>
        <v/>
      </c>
      <c r="V70" s="34">
        <f>IF(AND($U70=1,$Q70&lt;&gt;"Program workbook"),1,0)</f>
        <v/>
      </c>
      <c r="W70" s="34">
        <f>IF($V70=0,0,IF(OR(ISERROR(SEARCH(" (",$D70)),RIGHT(TRIM($D70),1)&lt;&gt;")",ISNUMBER(SEARCH(",",$AH70)),ISNUMBER(SEARCH("/",$AH70)),ISNUMBER(SEARCH(" and ",$AH70)),ISNUMBER(SEARCH("&amp;",$AH70))),1,0))</f>
        <v/>
      </c>
      <c r="X70" s="34">
        <f>IF($V70=0,0,IF(NOT(ISNUMBER($F70)),1,IF(OR($F70&lt;Summary!$K$4,$F70&gt;Summary!$K$4+Summary!$K$5,AND(ISNUMBER($P70),$F70&gt;$P70)),1,0)))</f>
        <v/>
      </c>
      <c r="Y70" s="34">
        <f>IF(AND($V70=1,OR($B70="Risk",$B70="Issue"),LEN(TRIM($I70))=0),1,0)</f>
        <v/>
      </c>
      <c r="Z70" s="34">
        <f>IF(AND($T70=1,$J70="Closed",OR(NOT(ISNUMBER($K70)),LEN(TRIM($L70))=0)),1,0)</f>
        <v/>
      </c>
      <c r="AA70" s="34">
        <f>IF(AND($U70=1,$B70="Dependency"),IF(OR(LEN(TRIM($N70))=0,NOT(ISNUMBER($P70)),NOT(AND(ISNUMBER(SEARCH(" (",$O70)),RIGHT(TRIM($O70),1)=")"))),1,0),0)</f>
        <v/>
      </c>
      <c r="AB70" s="34">
        <f>IF(AND($V70=1,$B70="Dependency",ISNUMBER($P70)),IF($P70&lt;Summary!$K$4,1,0),0)</f>
        <v/>
      </c>
      <c r="AC70" s="34">
        <f>IF($T70=0,0,IF(OR($A70="",COUNTIF($A$4:$A$153,$A70)&gt;1,ISERROR(MATCH($B70,{"Risk","Assumption","Issue","Dependency"},0))),1,IF(INDEX({"R","A","I","X"},MATCH($B70,{"Risk","Assumption","Issue","Dependency"},0))&lt;&gt;LEFT($A70,1),1,0)))</f>
        <v/>
      </c>
      <c r="AD70" s="34">
        <f>IF($T70=0,0,IF(OR(ISERROR(MATCH($J70,{"Raised","Responding","Closed"},0)),ISERROR(MATCH($G70,{"Low","Medium","High"},0)),AND(OR($B70="Risk",$B70="Assumption"),ISERROR(MATCH($H70,{"Low","Medium","High"},0))),AND($Q70&lt;&gt;"",$Q70&lt;&gt;"This log",$Q70&lt;&gt;"Program workbook"),AND($J70&lt;&gt;"Closed",OR($K70&lt;&gt;"",LEN(TRIM($L70))&gt;0))),1,0))</f>
        <v/>
      </c>
      <c r="AE70" s="34">
        <f>IF($T70=0,0,IF(OR(NOT(ISNUMBER($E70)),AND($F70&lt;&gt;"",NOT(ISNUMBER($F70))),AND($K70&lt;&gt;"",NOT(ISNUMBER($K70))),AND($P70&lt;&gt;"",NOT(ISNUMBER($P70)))),1,0))</f>
        <v/>
      </c>
      <c r="AF70" s="34">
        <f>MAX($AC70,$AD70,$AE70)</f>
        <v/>
      </c>
      <c r="AG70" s="34">
        <f>IF($T70=0,0,IFERROR(--MID(TRIM($A70),2,9),0))</f>
        <v/>
      </c>
      <c r="AH70" s="22">
        <f>IFERROR(LEFT(TRIM($D70),SEARCH(" (",TRIM($D70))-1),TRIM($D70))</f>
        <v/>
      </c>
      <c r="AI70" s="34">
        <f>IF(AND($T70=1,$J70="Closed",$G70="High",ISNUMBER($K70)),IF($K70&gt;=Summary!$K$6,1,0),0)</f>
        <v/>
      </c>
      <c r="AJ70" s="34">
        <f>IF($AI70=1,SUM($AI$4:$AI70),0)</f>
        <v/>
      </c>
    </row>
    <row r="71" ht="18" customHeight="1">
      <c r="A71" s="30" t="n"/>
      <c r="B71" s="30" t="n"/>
      <c r="C71" s="31" t="n"/>
      <c r="D71" s="31" t="n"/>
      <c r="E71" s="32" t="n"/>
      <c r="F71" s="32" t="n"/>
      <c r="G71" s="30" t="n"/>
      <c r="H71" s="30" t="n"/>
      <c r="I71" s="31" t="n"/>
      <c r="J71" s="30" t="n"/>
      <c r="K71" s="32" t="n"/>
      <c r="L71" s="31" t="n"/>
      <c r="M71" s="30" t="n"/>
      <c r="N71" s="31" t="n"/>
      <c r="O71" s="31" t="n"/>
      <c r="P71" s="32" t="n"/>
      <c r="Q71" s="30" t="n"/>
      <c r="R71" s="33">
        <f>IF($T71=0,"",IF($AF71=1,"△ The log can't read this line",IF($W71=1,"△ Needs one owner, written as Name (Role)",IF($X71=1,"△ Look-again date missing, passed or too far ahead",IF($Y71=1,"△ No response",IF($Z71=1,"△ Closed without a date or a reason",IF($AA71=1,"△ Needs Provided by and Needed by, and Who answers as Name (Role)",IF($AB71=1,"△ Past its Needed by date","○ Clear"))))))))</f>
        <v/>
      </c>
      <c r="T71" s="34">
        <f>IF(COUNTA($A71:$Q71)&gt;0,1,0)</f>
        <v/>
      </c>
      <c r="U71" s="34">
        <f>IF(AND($T71=1,$J71&lt;&gt;"Closed"),1,0)</f>
        <v/>
      </c>
      <c r="V71" s="34">
        <f>IF(AND($U71=1,$Q71&lt;&gt;"Program workbook"),1,0)</f>
        <v/>
      </c>
      <c r="W71" s="34">
        <f>IF($V71=0,0,IF(OR(ISERROR(SEARCH(" (",$D71)),RIGHT(TRIM($D71),1)&lt;&gt;")",ISNUMBER(SEARCH(",",$AH71)),ISNUMBER(SEARCH("/",$AH71)),ISNUMBER(SEARCH(" and ",$AH71)),ISNUMBER(SEARCH("&amp;",$AH71))),1,0))</f>
        <v/>
      </c>
      <c r="X71" s="34">
        <f>IF($V71=0,0,IF(NOT(ISNUMBER($F71)),1,IF(OR($F71&lt;Summary!$K$4,$F71&gt;Summary!$K$4+Summary!$K$5,AND(ISNUMBER($P71),$F71&gt;$P71)),1,0)))</f>
        <v/>
      </c>
      <c r="Y71" s="34">
        <f>IF(AND($V71=1,OR($B71="Risk",$B71="Issue"),LEN(TRIM($I71))=0),1,0)</f>
        <v/>
      </c>
      <c r="Z71" s="34">
        <f>IF(AND($T71=1,$J71="Closed",OR(NOT(ISNUMBER($K71)),LEN(TRIM($L71))=0)),1,0)</f>
        <v/>
      </c>
      <c r="AA71" s="34">
        <f>IF(AND($U71=1,$B71="Dependency"),IF(OR(LEN(TRIM($N71))=0,NOT(ISNUMBER($P71)),NOT(AND(ISNUMBER(SEARCH(" (",$O71)),RIGHT(TRIM($O71),1)=")"))),1,0),0)</f>
        <v/>
      </c>
      <c r="AB71" s="34">
        <f>IF(AND($V71=1,$B71="Dependency",ISNUMBER($P71)),IF($P71&lt;Summary!$K$4,1,0),0)</f>
        <v/>
      </c>
      <c r="AC71" s="34">
        <f>IF($T71=0,0,IF(OR($A71="",COUNTIF($A$4:$A$153,$A71)&gt;1,ISERROR(MATCH($B71,{"Risk","Assumption","Issue","Dependency"},0))),1,IF(INDEX({"R","A","I","X"},MATCH($B71,{"Risk","Assumption","Issue","Dependency"},0))&lt;&gt;LEFT($A71,1),1,0)))</f>
        <v/>
      </c>
      <c r="AD71" s="34">
        <f>IF($T71=0,0,IF(OR(ISERROR(MATCH($J71,{"Raised","Responding","Closed"},0)),ISERROR(MATCH($G71,{"Low","Medium","High"},0)),AND(OR($B71="Risk",$B71="Assumption"),ISERROR(MATCH($H71,{"Low","Medium","High"},0))),AND($Q71&lt;&gt;"",$Q71&lt;&gt;"This log",$Q71&lt;&gt;"Program workbook"),AND($J71&lt;&gt;"Closed",OR($K71&lt;&gt;"",LEN(TRIM($L71))&gt;0))),1,0))</f>
        <v/>
      </c>
      <c r="AE71" s="34">
        <f>IF($T71=0,0,IF(OR(NOT(ISNUMBER($E71)),AND($F71&lt;&gt;"",NOT(ISNUMBER($F71))),AND($K71&lt;&gt;"",NOT(ISNUMBER($K71))),AND($P71&lt;&gt;"",NOT(ISNUMBER($P71)))),1,0))</f>
        <v/>
      </c>
      <c r="AF71" s="34">
        <f>MAX($AC71,$AD71,$AE71)</f>
        <v/>
      </c>
      <c r="AG71" s="34">
        <f>IF($T71=0,0,IFERROR(--MID(TRIM($A71),2,9),0))</f>
        <v/>
      </c>
      <c r="AH71" s="22">
        <f>IFERROR(LEFT(TRIM($D71),SEARCH(" (",TRIM($D71))-1),TRIM($D71))</f>
        <v/>
      </c>
      <c r="AI71" s="34">
        <f>IF(AND($T71=1,$J71="Closed",$G71="High",ISNUMBER($K71)),IF($K71&gt;=Summary!$K$6,1,0),0)</f>
        <v/>
      </c>
      <c r="AJ71" s="34">
        <f>IF($AI71=1,SUM($AI$4:$AI71),0)</f>
        <v/>
      </c>
    </row>
    <row r="72" ht="18" customHeight="1">
      <c r="A72" s="30" t="n"/>
      <c r="B72" s="30" t="n"/>
      <c r="C72" s="31" t="n"/>
      <c r="D72" s="31" t="n"/>
      <c r="E72" s="32" t="n"/>
      <c r="F72" s="32" t="n"/>
      <c r="G72" s="30" t="n"/>
      <c r="H72" s="30" t="n"/>
      <c r="I72" s="31" t="n"/>
      <c r="J72" s="30" t="n"/>
      <c r="K72" s="32" t="n"/>
      <c r="L72" s="31" t="n"/>
      <c r="M72" s="30" t="n"/>
      <c r="N72" s="31" t="n"/>
      <c r="O72" s="31" t="n"/>
      <c r="P72" s="32" t="n"/>
      <c r="Q72" s="30" t="n"/>
      <c r="R72" s="33">
        <f>IF($T72=0,"",IF($AF72=1,"△ The log can't read this line",IF($W72=1,"△ Needs one owner, written as Name (Role)",IF($X72=1,"△ Look-again date missing, passed or too far ahead",IF($Y72=1,"△ No response",IF($Z72=1,"△ Closed without a date or a reason",IF($AA72=1,"△ Needs Provided by and Needed by, and Who answers as Name (Role)",IF($AB72=1,"△ Past its Needed by date","○ Clear"))))))))</f>
        <v/>
      </c>
      <c r="T72" s="34">
        <f>IF(COUNTA($A72:$Q72)&gt;0,1,0)</f>
        <v/>
      </c>
      <c r="U72" s="34">
        <f>IF(AND($T72=1,$J72&lt;&gt;"Closed"),1,0)</f>
        <v/>
      </c>
      <c r="V72" s="34">
        <f>IF(AND($U72=1,$Q72&lt;&gt;"Program workbook"),1,0)</f>
        <v/>
      </c>
      <c r="W72" s="34">
        <f>IF($V72=0,0,IF(OR(ISERROR(SEARCH(" (",$D72)),RIGHT(TRIM($D72),1)&lt;&gt;")",ISNUMBER(SEARCH(",",$AH72)),ISNUMBER(SEARCH("/",$AH72)),ISNUMBER(SEARCH(" and ",$AH72)),ISNUMBER(SEARCH("&amp;",$AH72))),1,0))</f>
        <v/>
      </c>
      <c r="X72" s="34">
        <f>IF($V72=0,0,IF(NOT(ISNUMBER($F72)),1,IF(OR($F72&lt;Summary!$K$4,$F72&gt;Summary!$K$4+Summary!$K$5,AND(ISNUMBER($P72),$F72&gt;$P72)),1,0)))</f>
        <v/>
      </c>
      <c r="Y72" s="34">
        <f>IF(AND($V72=1,OR($B72="Risk",$B72="Issue"),LEN(TRIM($I72))=0),1,0)</f>
        <v/>
      </c>
      <c r="Z72" s="34">
        <f>IF(AND($T72=1,$J72="Closed",OR(NOT(ISNUMBER($K72)),LEN(TRIM($L72))=0)),1,0)</f>
        <v/>
      </c>
      <c r="AA72" s="34">
        <f>IF(AND($U72=1,$B72="Dependency"),IF(OR(LEN(TRIM($N72))=0,NOT(ISNUMBER($P72)),NOT(AND(ISNUMBER(SEARCH(" (",$O72)),RIGHT(TRIM($O72),1)=")"))),1,0),0)</f>
        <v/>
      </c>
      <c r="AB72" s="34">
        <f>IF(AND($V72=1,$B72="Dependency",ISNUMBER($P72)),IF($P72&lt;Summary!$K$4,1,0),0)</f>
        <v/>
      </c>
      <c r="AC72" s="34">
        <f>IF($T72=0,0,IF(OR($A72="",COUNTIF($A$4:$A$153,$A72)&gt;1,ISERROR(MATCH($B72,{"Risk","Assumption","Issue","Dependency"},0))),1,IF(INDEX({"R","A","I","X"},MATCH($B72,{"Risk","Assumption","Issue","Dependency"},0))&lt;&gt;LEFT($A72,1),1,0)))</f>
        <v/>
      </c>
      <c r="AD72" s="34">
        <f>IF($T72=0,0,IF(OR(ISERROR(MATCH($J72,{"Raised","Responding","Closed"},0)),ISERROR(MATCH($G72,{"Low","Medium","High"},0)),AND(OR($B72="Risk",$B72="Assumption"),ISERROR(MATCH($H72,{"Low","Medium","High"},0))),AND($Q72&lt;&gt;"",$Q72&lt;&gt;"This log",$Q72&lt;&gt;"Program workbook"),AND($J72&lt;&gt;"Closed",OR($K72&lt;&gt;"",LEN(TRIM($L72))&gt;0))),1,0))</f>
        <v/>
      </c>
      <c r="AE72" s="34">
        <f>IF($T72=0,0,IF(OR(NOT(ISNUMBER($E72)),AND($F72&lt;&gt;"",NOT(ISNUMBER($F72))),AND($K72&lt;&gt;"",NOT(ISNUMBER($K72))),AND($P72&lt;&gt;"",NOT(ISNUMBER($P72)))),1,0))</f>
        <v/>
      </c>
      <c r="AF72" s="34">
        <f>MAX($AC72,$AD72,$AE72)</f>
        <v/>
      </c>
      <c r="AG72" s="34">
        <f>IF($T72=0,0,IFERROR(--MID(TRIM($A72),2,9),0))</f>
        <v/>
      </c>
      <c r="AH72" s="22">
        <f>IFERROR(LEFT(TRIM($D72),SEARCH(" (",TRIM($D72))-1),TRIM($D72))</f>
        <v/>
      </c>
      <c r="AI72" s="34">
        <f>IF(AND($T72=1,$J72="Closed",$G72="High",ISNUMBER($K72)),IF($K72&gt;=Summary!$K$6,1,0),0)</f>
        <v/>
      </c>
      <c r="AJ72" s="34">
        <f>IF($AI72=1,SUM($AI$4:$AI72),0)</f>
        <v/>
      </c>
    </row>
    <row r="73" ht="18" customHeight="1">
      <c r="A73" s="30" t="n"/>
      <c r="B73" s="30" t="n"/>
      <c r="C73" s="31" t="n"/>
      <c r="D73" s="31" t="n"/>
      <c r="E73" s="32" t="n"/>
      <c r="F73" s="32" t="n"/>
      <c r="G73" s="30" t="n"/>
      <c r="H73" s="30" t="n"/>
      <c r="I73" s="31" t="n"/>
      <c r="J73" s="30" t="n"/>
      <c r="K73" s="32" t="n"/>
      <c r="L73" s="31" t="n"/>
      <c r="M73" s="30" t="n"/>
      <c r="N73" s="31" t="n"/>
      <c r="O73" s="31" t="n"/>
      <c r="P73" s="32" t="n"/>
      <c r="Q73" s="30" t="n"/>
      <c r="R73" s="33">
        <f>IF($T73=0,"",IF($AF73=1,"△ The log can't read this line",IF($W73=1,"△ Needs one owner, written as Name (Role)",IF($X73=1,"△ Look-again date missing, passed or too far ahead",IF($Y73=1,"△ No response",IF($Z73=1,"△ Closed without a date or a reason",IF($AA73=1,"△ Needs Provided by and Needed by, and Who answers as Name (Role)",IF($AB73=1,"△ Past its Needed by date","○ Clear"))))))))</f>
        <v/>
      </c>
      <c r="T73" s="34">
        <f>IF(COUNTA($A73:$Q73)&gt;0,1,0)</f>
        <v/>
      </c>
      <c r="U73" s="34">
        <f>IF(AND($T73=1,$J73&lt;&gt;"Closed"),1,0)</f>
        <v/>
      </c>
      <c r="V73" s="34">
        <f>IF(AND($U73=1,$Q73&lt;&gt;"Program workbook"),1,0)</f>
        <v/>
      </c>
      <c r="W73" s="34">
        <f>IF($V73=0,0,IF(OR(ISERROR(SEARCH(" (",$D73)),RIGHT(TRIM($D73),1)&lt;&gt;")",ISNUMBER(SEARCH(",",$AH73)),ISNUMBER(SEARCH("/",$AH73)),ISNUMBER(SEARCH(" and ",$AH73)),ISNUMBER(SEARCH("&amp;",$AH73))),1,0))</f>
        <v/>
      </c>
      <c r="X73" s="34">
        <f>IF($V73=0,0,IF(NOT(ISNUMBER($F73)),1,IF(OR($F73&lt;Summary!$K$4,$F73&gt;Summary!$K$4+Summary!$K$5,AND(ISNUMBER($P73),$F73&gt;$P73)),1,0)))</f>
        <v/>
      </c>
      <c r="Y73" s="34">
        <f>IF(AND($V73=1,OR($B73="Risk",$B73="Issue"),LEN(TRIM($I73))=0),1,0)</f>
        <v/>
      </c>
      <c r="Z73" s="34">
        <f>IF(AND($T73=1,$J73="Closed",OR(NOT(ISNUMBER($K73)),LEN(TRIM($L73))=0)),1,0)</f>
        <v/>
      </c>
      <c r="AA73" s="34">
        <f>IF(AND($U73=1,$B73="Dependency"),IF(OR(LEN(TRIM($N73))=0,NOT(ISNUMBER($P73)),NOT(AND(ISNUMBER(SEARCH(" (",$O73)),RIGHT(TRIM($O73),1)=")"))),1,0),0)</f>
        <v/>
      </c>
      <c r="AB73" s="34">
        <f>IF(AND($V73=1,$B73="Dependency",ISNUMBER($P73)),IF($P73&lt;Summary!$K$4,1,0),0)</f>
        <v/>
      </c>
      <c r="AC73" s="34">
        <f>IF($T73=0,0,IF(OR($A73="",COUNTIF($A$4:$A$153,$A73)&gt;1,ISERROR(MATCH($B73,{"Risk","Assumption","Issue","Dependency"},0))),1,IF(INDEX({"R","A","I","X"},MATCH($B73,{"Risk","Assumption","Issue","Dependency"},0))&lt;&gt;LEFT($A73,1),1,0)))</f>
        <v/>
      </c>
      <c r="AD73" s="34">
        <f>IF($T73=0,0,IF(OR(ISERROR(MATCH($J73,{"Raised","Responding","Closed"},0)),ISERROR(MATCH($G73,{"Low","Medium","High"},0)),AND(OR($B73="Risk",$B73="Assumption"),ISERROR(MATCH($H73,{"Low","Medium","High"},0))),AND($Q73&lt;&gt;"",$Q73&lt;&gt;"This log",$Q73&lt;&gt;"Program workbook"),AND($J73&lt;&gt;"Closed",OR($K73&lt;&gt;"",LEN(TRIM($L73))&gt;0))),1,0))</f>
        <v/>
      </c>
      <c r="AE73" s="34">
        <f>IF($T73=0,0,IF(OR(NOT(ISNUMBER($E73)),AND($F73&lt;&gt;"",NOT(ISNUMBER($F73))),AND($K73&lt;&gt;"",NOT(ISNUMBER($K73))),AND($P73&lt;&gt;"",NOT(ISNUMBER($P73)))),1,0))</f>
        <v/>
      </c>
      <c r="AF73" s="34">
        <f>MAX($AC73,$AD73,$AE73)</f>
        <v/>
      </c>
      <c r="AG73" s="34">
        <f>IF($T73=0,0,IFERROR(--MID(TRIM($A73),2,9),0))</f>
        <v/>
      </c>
      <c r="AH73" s="22">
        <f>IFERROR(LEFT(TRIM($D73),SEARCH(" (",TRIM($D73))-1),TRIM($D73))</f>
        <v/>
      </c>
      <c r="AI73" s="34">
        <f>IF(AND($T73=1,$J73="Closed",$G73="High",ISNUMBER($K73)),IF($K73&gt;=Summary!$K$6,1,0),0)</f>
        <v/>
      </c>
      <c r="AJ73" s="34">
        <f>IF($AI73=1,SUM($AI$4:$AI73),0)</f>
        <v/>
      </c>
    </row>
    <row r="74" ht="18" customHeight="1">
      <c r="A74" s="30" t="n"/>
      <c r="B74" s="30" t="n"/>
      <c r="C74" s="31" t="n"/>
      <c r="D74" s="31" t="n"/>
      <c r="E74" s="32" t="n"/>
      <c r="F74" s="32" t="n"/>
      <c r="G74" s="30" t="n"/>
      <c r="H74" s="30" t="n"/>
      <c r="I74" s="31" t="n"/>
      <c r="J74" s="30" t="n"/>
      <c r="K74" s="32" t="n"/>
      <c r="L74" s="31" t="n"/>
      <c r="M74" s="30" t="n"/>
      <c r="N74" s="31" t="n"/>
      <c r="O74" s="31" t="n"/>
      <c r="P74" s="32" t="n"/>
      <c r="Q74" s="30" t="n"/>
      <c r="R74" s="33">
        <f>IF($T74=0,"",IF($AF74=1,"△ The log can't read this line",IF($W74=1,"△ Needs one owner, written as Name (Role)",IF($X74=1,"△ Look-again date missing, passed or too far ahead",IF($Y74=1,"△ No response",IF($Z74=1,"△ Closed without a date or a reason",IF($AA74=1,"△ Needs Provided by and Needed by, and Who answers as Name (Role)",IF($AB74=1,"△ Past its Needed by date","○ Clear"))))))))</f>
        <v/>
      </c>
      <c r="T74" s="34">
        <f>IF(COUNTA($A74:$Q74)&gt;0,1,0)</f>
        <v/>
      </c>
      <c r="U74" s="34">
        <f>IF(AND($T74=1,$J74&lt;&gt;"Closed"),1,0)</f>
        <v/>
      </c>
      <c r="V74" s="34">
        <f>IF(AND($U74=1,$Q74&lt;&gt;"Program workbook"),1,0)</f>
        <v/>
      </c>
      <c r="W74" s="34">
        <f>IF($V74=0,0,IF(OR(ISERROR(SEARCH(" (",$D74)),RIGHT(TRIM($D74),1)&lt;&gt;")",ISNUMBER(SEARCH(",",$AH74)),ISNUMBER(SEARCH("/",$AH74)),ISNUMBER(SEARCH(" and ",$AH74)),ISNUMBER(SEARCH("&amp;",$AH74))),1,0))</f>
        <v/>
      </c>
      <c r="X74" s="34">
        <f>IF($V74=0,0,IF(NOT(ISNUMBER($F74)),1,IF(OR($F74&lt;Summary!$K$4,$F74&gt;Summary!$K$4+Summary!$K$5,AND(ISNUMBER($P74),$F74&gt;$P74)),1,0)))</f>
        <v/>
      </c>
      <c r="Y74" s="34">
        <f>IF(AND($V74=1,OR($B74="Risk",$B74="Issue"),LEN(TRIM($I74))=0),1,0)</f>
        <v/>
      </c>
      <c r="Z74" s="34">
        <f>IF(AND($T74=1,$J74="Closed",OR(NOT(ISNUMBER($K74)),LEN(TRIM($L74))=0)),1,0)</f>
        <v/>
      </c>
      <c r="AA74" s="34">
        <f>IF(AND($U74=1,$B74="Dependency"),IF(OR(LEN(TRIM($N74))=0,NOT(ISNUMBER($P74)),NOT(AND(ISNUMBER(SEARCH(" (",$O74)),RIGHT(TRIM($O74),1)=")"))),1,0),0)</f>
        <v/>
      </c>
      <c r="AB74" s="34">
        <f>IF(AND($V74=1,$B74="Dependency",ISNUMBER($P74)),IF($P74&lt;Summary!$K$4,1,0),0)</f>
        <v/>
      </c>
      <c r="AC74" s="34">
        <f>IF($T74=0,0,IF(OR($A74="",COUNTIF($A$4:$A$153,$A74)&gt;1,ISERROR(MATCH($B74,{"Risk","Assumption","Issue","Dependency"},0))),1,IF(INDEX({"R","A","I","X"},MATCH($B74,{"Risk","Assumption","Issue","Dependency"},0))&lt;&gt;LEFT($A74,1),1,0)))</f>
        <v/>
      </c>
      <c r="AD74" s="34">
        <f>IF($T74=0,0,IF(OR(ISERROR(MATCH($J74,{"Raised","Responding","Closed"},0)),ISERROR(MATCH($G74,{"Low","Medium","High"},0)),AND(OR($B74="Risk",$B74="Assumption"),ISERROR(MATCH($H74,{"Low","Medium","High"},0))),AND($Q74&lt;&gt;"",$Q74&lt;&gt;"This log",$Q74&lt;&gt;"Program workbook"),AND($J74&lt;&gt;"Closed",OR($K74&lt;&gt;"",LEN(TRIM($L74))&gt;0))),1,0))</f>
        <v/>
      </c>
      <c r="AE74" s="34">
        <f>IF($T74=0,0,IF(OR(NOT(ISNUMBER($E74)),AND($F74&lt;&gt;"",NOT(ISNUMBER($F74))),AND($K74&lt;&gt;"",NOT(ISNUMBER($K74))),AND($P74&lt;&gt;"",NOT(ISNUMBER($P74)))),1,0))</f>
        <v/>
      </c>
      <c r="AF74" s="34">
        <f>MAX($AC74,$AD74,$AE74)</f>
        <v/>
      </c>
      <c r="AG74" s="34">
        <f>IF($T74=0,0,IFERROR(--MID(TRIM($A74),2,9),0))</f>
        <v/>
      </c>
      <c r="AH74" s="22">
        <f>IFERROR(LEFT(TRIM($D74),SEARCH(" (",TRIM($D74))-1),TRIM($D74))</f>
        <v/>
      </c>
      <c r="AI74" s="34">
        <f>IF(AND($T74=1,$J74="Closed",$G74="High",ISNUMBER($K74)),IF($K74&gt;=Summary!$K$6,1,0),0)</f>
        <v/>
      </c>
      <c r="AJ74" s="34">
        <f>IF($AI74=1,SUM($AI$4:$AI74),0)</f>
        <v/>
      </c>
    </row>
    <row r="75" ht="18" customHeight="1">
      <c r="A75" s="30" t="n"/>
      <c r="B75" s="30" t="n"/>
      <c r="C75" s="31" t="n"/>
      <c r="D75" s="31" t="n"/>
      <c r="E75" s="32" t="n"/>
      <c r="F75" s="32" t="n"/>
      <c r="G75" s="30" t="n"/>
      <c r="H75" s="30" t="n"/>
      <c r="I75" s="31" t="n"/>
      <c r="J75" s="30" t="n"/>
      <c r="K75" s="32" t="n"/>
      <c r="L75" s="31" t="n"/>
      <c r="M75" s="30" t="n"/>
      <c r="N75" s="31" t="n"/>
      <c r="O75" s="31" t="n"/>
      <c r="P75" s="32" t="n"/>
      <c r="Q75" s="30" t="n"/>
      <c r="R75" s="33">
        <f>IF($T75=0,"",IF($AF75=1,"△ The log can't read this line",IF($W75=1,"△ Needs one owner, written as Name (Role)",IF($X75=1,"△ Look-again date missing, passed or too far ahead",IF($Y75=1,"△ No response",IF($Z75=1,"△ Closed without a date or a reason",IF($AA75=1,"△ Needs Provided by and Needed by, and Who answers as Name (Role)",IF($AB75=1,"△ Past its Needed by date","○ Clear"))))))))</f>
        <v/>
      </c>
      <c r="T75" s="34">
        <f>IF(COUNTA($A75:$Q75)&gt;0,1,0)</f>
        <v/>
      </c>
      <c r="U75" s="34">
        <f>IF(AND($T75=1,$J75&lt;&gt;"Closed"),1,0)</f>
        <v/>
      </c>
      <c r="V75" s="34">
        <f>IF(AND($U75=1,$Q75&lt;&gt;"Program workbook"),1,0)</f>
        <v/>
      </c>
      <c r="W75" s="34">
        <f>IF($V75=0,0,IF(OR(ISERROR(SEARCH(" (",$D75)),RIGHT(TRIM($D75),1)&lt;&gt;")",ISNUMBER(SEARCH(",",$AH75)),ISNUMBER(SEARCH("/",$AH75)),ISNUMBER(SEARCH(" and ",$AH75)),ISNUMBER(SEARCH("&amp;",$AH75))),1,0))</f>
        <v/>
      </c>
      <c r="X75" s="34">
        <f>IF($V75=0,0,IF(NOT(ISNUMBER($F75)),1,IF(OR($F75&lt;Summary!$K$4,$F75&gt;Summary!$K$4+Summary!$K$5,AND(ISNUMBER($P75),$F75&gt;$P75)),1,0)))</f>
        <v/>
      </c>
      <c r="Y75" s="34">
        <f>IF(AND($V75=1,OR($B75="Risk",$B75="Issue"),LEN(TRIM($I75))=0),1,0)</f>
        <v/>
      </c>
      <c r="Z75" s="34">
        <f>IF(AND($T75=1,$J75="Closed",OR(NOT(ISNUMBER($K75)),LEN(TRIM($L75))=0)),1,0)</f>
        <v/>
      </c>
      <c r="AA75" s="34">
        <f>IF(AND($U75=1,$B75="Dependency"),IF(OR(LEN(TRIM($N75))=0,NOT(ISNUMBER($P75)),NOT(AND(ISNUMBER(SEARCH(" (",$O75)),RIGHT(TRIM($O75),1)=")"))),1,0),0)</f>
        <v/>
      </c>
      <c r="AB75" s="34">
        <f>IF(AND($V75=1,$B75="Dependency",ISNUMBER($P75)),IF($P75&lt;Summary!$K$4,1,0),0)</f>
        <v/>
      </c>
      <c r="AC75" s="34">
        <f>IF($T75=0,0,IF(OR($A75="",COUNTIF($A$4:$A$153,$A75)&gt;1,ISERROR(MATCH($B75,{"Risk","Assumption","Issue","Dependency"},0))),1,IF(INDEX({"R","A","I","X"},MATCH($B75,{"Risk","Assumption","Issue","Dependency"},0))&lt;&gt;LEFT($A75,1),1,0)))</f>
        <v/>
      </c>
      <c r="AD75" s="34">
        <f>IF($T75=0,0,IF(OR(ISERROR(MATCH($J75,{"Raised","Responding","Closed"},0)),ISERROR(MATCH($G75,{"Low","Medium","High"},0)),AND(OR($B75="Risk",$B75="Assumption"),ISERROR(MATCH($H75,{"Low","Medium","High"},0))),AND($Q75&lt;&gt;"",$Q75&lt;&gt;"This log",$Q75&lt;&gt;"Program workbook"),AND($J75&lt;&gt;"Closed",OR($K75&lt;&gt;"",LEN(TRIM($L75))&gt;0))),1,0))</f>
        <v/>
      </c>
      <c r="AE75" s="34">
        <f>IF($T75=0,0,IF(OR(NOT(ISNUMBER($E75)),AND($F75&lt;&gt;"",NOT(ISNUMBER($F75))),AND($K75&lt;&gt;"",NOT(ISNUMBER($K75))),AND($P75&lt;&gt;"",NOT(ISNUMBER($P75)))),1,0))</f>
        <v/>
      </c>
      <c r="AF75" s="34">
        <f>MAX($AC75,$AD75,$AE75)</f>
        <v/>
      </c>
      <c r="AG75" s="34">
        <f>IF($T75=0,0,IFERROR(--MID(TRIM($A75),2,9),0))</f>
        <v/>
      </c>
      <c r="AH75" s="22">
        <f>IFERROR(LEFT(TRIM($D75),SEARCH(" (",TRIM($D75))-1),TRIM($D75))</f>
        <v/>
      </c>
      <c r="AI75" s="34">
        <f>IF(AND($T75=1,$J75="Closed",$G75="High",ISNUMBER($K75)),IF($K75&gt;=Summary!$K$6,1,0),0)</f>
        <v/>
      </c>
      <c r="AJ75" s="34">
        <f>IF($AI75=1,SUM($AI$4:$AI75),0)</f>
        <v/>
      </c>
    </row>
    <row r="76" ht="18" customHeight="1">
      <c r="A76" s="30" t="n"/>
      <c r="B76" s="30" t="n"/>
      <c r="C76" s="31" t="n"/>
      <c r="D76" s="31" t="n"/>
      <c r="E76" s="32" t="n"/>
      <c r="F76" s="32" t="n"/>
      <c r="G76" s="30" t="n"/>
      <c r="H76" s="30" t="n"/>
      <c r="I76" s="31" t="n"/>
      <c r="J76" s="30" t="n"/>
      <c r="K76" s="32" t="n"/>
      <c r="L76" s="31" t="n"/>
      <c r="M76" s="30" t="n"/>
      <c r="N76" s="31" t="n"/>
      <c r="O76" s="31" t="n"/>
      <c r="P76" s="32" t="n"/>
      <c r="Q76" s="30" t="n"/>
      <c r="R76" s="33">
        <f>IF($T76=0,"",IF($AF76=1,"△ The log can't read this line",IF($W76=1,"△ Needs one owner, written as Name (Role)",IF($X76=1,"△ Look-again date missing, passed or too far ahead",IF($Y76=1,"△ No response",IF($Z76=1,"△ Closed without a date or a reason",IF($AA76=1,"△ Needs Provided by and Needed by, and Who answers as Name (Role)",IF($AB76=1,"△ Past its Needed by date","○ Clear"))))))))</f>
        <v/>
      </c>
      <c r="T76" s="34">
        <f>IF(COUNTA($A76:$Q76)&gt;0,1,0)</f>
        <v/>
      </c>
      <c r="U76" s="34">
        <f>IF(AND($T76=1,$J76&lt;&gt;"Closed"),1,0)</f>
        <v/>
      </c>
      <c r="V76" s="34">
        <f>IF(AND($U76=1,$Q76&lt;&gt;"Program workbook"),1,0)</f>
        <v/>
      </c>
      <c r="W76" s="34">
        <f>IF($V76=0,0,IF(OR(ISERROR(SEARCH(" (",$D76)),RIGHT(TRIM($D76),1)&lt;&gt;")",ISNUMBER(SEARCH(",",$AH76)),ISNUMBER(SEARCH("/",$AH76)),ISNUMBER(SEARCH(" and ",$AH76)),ISNUMBER(SEARCH("&amp;",$AH76))),1,0))</f>
        <v/>
      </c>
      <c r="X76" s="34">
        <f>IF($V76=0,0,IF(NOT(ISNUMBER($F76)),1,IF(OR($F76&lt;Summary!$K$4,$F76&gt;Summary!$K$4+Summary!$K$5,AND(ISNUMBER($P76),$F76&gt;$P76)),1,0)))</f>
        <v/>
      </c>
      <c r="Y76" s="34">
        <f>IF(AND($V76=1,OR($B76="Risk",$B76="Issue"),LEN(TRIM($I76))=0),1,0)</f>
        <v/>
      </c>
      <c r="Z76" s="34">
        <f>IF(AND($T76=1,$J76="Closed",OR(NOT(ISNUMBER($K76)),LEN(TRIM($L76))=0)),1,0)</f>
        <v/>
      </c>
      <c r="AA76" s="34">
        <f>IF(AND($U76=1,$B76="Dependency"),IF(OR(LEN(TRIM($N76))=0,NOT(ISNUMBER($P76)),NOT(AND(ISNUMBER(SEARCH(" (",$O76)),RIGHT(TRIM($O76),1)=")"))),1,0),0)</f>
        <v/>
      </c>
      <c r="AB76" s="34">
        <f>IF(AND($V76=1,$B76="Dependency",ISNUMBER($P76)),IF($P76&lt;Summary!$K$4,1,0),0)</f>
        <v/>
      </c>
      <c r="AC76" s="34">
        <f>IF($T76=0,0,IF(OR($A76="",COUNTIF($A$4:$A$153,$A76)&gt;1,ISERROR(MATCH($B76,{"Risk","Assumption","Issue","Dependency"},0))),1,IF(INDEX({"R","A","I","X"},MATCH($B76,{"Risk","Assumption","Issue","Dependency"},0))&lt;&gt;LEFT($A76,1),1,0)))</f>
        <v/>
      </c>
      <c r="AD76" s="34">
        <f>IF($T76=0,0,IF(OR(ISERROR(MATCH($J76,{"Raised","Responding","Closed"},0)),ISERROR(MATCH($G76,{"Low","Medium","High"},0)),AND(OR($B76="Risk",$B76="Assumption"),ISERROR(MATCH($H76,{"Low","Medium","High"},0))),AND($Q76&lt;&gt;"",$Q76&lt;&gt;"This log",$Q76&lt;&gt;"Program workbook"),AND($J76&lt;&gt;"Closed",OR($K76&lt;&gt;"",LEN(TRIM($L76))&gt;0))),1,0))</f>
        <v/>
      </c>
      <c r="AE76" s="34">
        <f>IF($T76=0,0,IF(OR(NOT(ISNUMBER($E76)),AND($F76&lt;&gt;"",NOT(ISNUMBER($F76))),AND($K76&lt;&gt;"",NOT(ISNUMBER($K76))),AND($P76&lt;&gt;"",NOT(ISNUMBER($P76)))),1,0))</f>
        <v/>
      </c>
      <c r="AF76" s="34">
        <f>MAX($AC76,$AD76,$AE76)</f>
        <v/>
      </c>
      <c r="AG76" s="34">
        <f>IF($T76=0,0,IFERROR(--MID(TRIM($A76),2,9),0))</f>
        <v/>
      </c>
      <c r="AH76" s="22">
        <f>IFERROR(LEFT(TRIM($D76),SEARCH(" (",TRIM($D76))-1),TRIM($D76))</f>
        <v/>
      </c>
      <c r="AI76" s="34">
        <f>IF(AND($T76=1,$J76="Closed",$G76="High",ISNUMBER($K76)),IF($K76&gt;=Summary!$K$6,1,0),0)</f>
        <v/>
      </c>
      <c r="AJ76" s="34">
        <f>IF($AI76=1,SUM($AI$4:$AI76),0)</f>
        <v/>
      </c>
    </row>
    <row r="77" ht="18" customHeight="1">
      <c r="A77" s="30" t="n"/>
      <c r="B77" s="30" t="n"/>
      <c r="C77" s="31" t="n"/>
      <c r="D77" s="31" t="n"/>
      <c r="E77" s="32" t="n"/>
      <c r="F77" s="32" t="n"/>
      <c r="G77" s="30" t="n"/>
      <c r="H77" s="30" t="n"/>
      <c r="I77" s="31" t="n"/>
      <c r="J77" s="30" t="n"/>
      <c r="K77" s="32" t="n"/>
      <c r="L77" s="31" t="n"/>
      <c r="M77" s="30" t="n"/>
      <c r="N77" s="31" t="n"/>
      <c r="O77" s="31" t="n"/>
      <c r="P77" s="32" t="n"/>
      <c r="Q77" s="30" t="n"/>
      <c r="R77" s="33">
        <f>IF($T77=0,"",IF($AF77=1,"△ The log can't read this line",IF($W77=1,"△ Needs one owner, written as Name (Role)",IF($X77=1,"△ Look-again date missing, passed or too far ahead",IF($Y77=1,"△ No response",IF($Z77=1,"△ Closed without a date or a reason",IF($AA77=1,"△ Needs Provided by and Needed by, and Who answers as Name (Role)",IF($AB77=1,"△ Past its Needed by date","○ Clear"))))))))</f>
        <v/>
      </c>
      <c r="T77" s="34">
        <f>IF(COUNTA($A77:$Q77)&gt;0,1,0)</f>
        <v/>
      </c>
      <c r="U77" s="34">
        <f>IF(AND($T77=1,$J77&lt;&gt;"Closed"),1,0)</f>
        <v/>
      </c>
      <c r="V77" s="34">
        <f>IF(AND($U77=1,$Q77&lt;&gt;"Program workbook"),1,0)</f>
        <v/>
      </c>
      <c r="W77" s="34">
        <f>IF($V77=0,0,IF(OR(ISERROR(SEARCH(" (",$D77)),RIGHT(TRIM($D77),1)&lt;&gt;")",ISNUMBER(SEARCH(",",$AH77)),ISNUMBER(SEARCH("/",$AH77)),ISNUMBER(SEARCH(" and ",$AH77)),ISNUMBER(SEARCH("&amp;",$AH77))),1,0))</f>
        <v/>
      </c>
      <c r="X77" s="34">
        <f>IF($V77=0,0,IF(NOT(ISNUMBER($F77)),1,IF(OR($F77&lt;Summary!$K$4,$F77&gt;Summary!$K$4+Summary!$K$5,AND(ISNUMBER($P77),$F77&gt;$P77)),1,0)))</f>
        <v/>
      </c>
      <c r="Y77" s="34">
        <f>IF(AND($V77=1,OR($B77="Risk",$B77="Issue"),LEN(TRIM($I77))=0),1,0)</f>
        <v/>
      </c>
      <c r="Z77" s="34">
        <f>IF(AND($T77=1,$J77="Closed",OR(NOT(ISNUMBER($K77)),LEN(TRIM($L77))=0)),1,0)</f>
        <v/>
      </c>
      <c r="AA77" s="34">
        <f>IF(AND($U77=1,$B77="Dependency"),IF(OR(LEN(TRIM($N77))=0,NOT(ISNUMBER($P77)),NOT(AND(ISNUMBER(SEARCH(" (",$O77)),RIGHT(TRIM($O77),1)=")"))),1,0),0)</f>
        <v/>
      </c>
      <c r="AB77" s="34">
        <f>IF(AND($V77=1,$B77="Dependency",ISNUMBER($P77)),IF($P77&lt;Summary!$K$4,1,0),0)</f>
        <v/>
      </c>
      <c r="AC77" s="34">
        <f>IF($T77=0,0,IF(OR($A77="",COUNTIF($A$4:$A$153,$A77)&gt;1,ISERROR(MATCH($B77,{"Risk","Assumption","Issue","Dependency"},0))),1,IF(INDEX({"R","A","I","X"},MATCH($B77,{"Risk","Assumption","Issue","Dependency"},0))&lt;&gt;LEFT($A77,1),1,0)))</f>
        <v/>
      </c>
      <c r="AD77" s="34">
        <f>IF($T77=0,0,IF(OR(ISERROR(MATCH($J77,{"Raised","Responding","Closed"},0)),ISERROR(MATCH($G77,{"Low","Medium","High"},0)),AND(OR($B77="Risk",$B77="Assumption"),ISERROR(MATCH($H77,{"Low","Medium","High"},0))),AND($Q77&lt;&gt;"",$Q77&lt;&gt;"This log",$Q77&lt;&gt;"Program workbook"),AND($J77&lt;&gt;"Closed",OR($K77&lt;&gt;"",LEN(TRIM($L77))&gt;0))),1,0))</f>
        <v/>
      </c>
      <c r="AE77" s="34">
        <f>IF($T77=0,0,IF(OR(NOT(ISNUMBER($E77)),AND($F77&lt;&gt;"",NOT(ISNUMBER($F77))),AND($K77&lt;&gt;"",NOT(ISNUMBER($K77))),AND($P77&lt;&gt;"",NOT(ISNUMBER($P77)))),1,0))</f>
        <v/>
      </c>
      <c r="AF77" s="34">
        <f>MAX($AC77,$AD77,$AE77)</f>
        <v/>
      </c>
      <c r="AG77" s="34">
        <f>IF($T77=0,0,IFERROR(--MID(TRIM($A77),2,9),0))</f>
        <v/>
      </c>
      <c r="AH77" s="22">
        <f>IFERROR(LEFT(TRIM($D77),SEARCH(" (",TRIM($D77))-1),TRIM($D77))</f>
        <v/>
      </c>
      <c r="AI77" s="34">
        <f>IF(AND($T77=1,$J77="Closed",$G77="High",ISNUMBER($K77)),IF($K77&gt;=Summary!$K$6,1,0),0)</f>
        <v/>
      </c>
      <c r="AJ77" s="34">
        <f>IF($AI77=1,SUM($AI$4:$AI77),0)</f>
        <v/>
      </c>
    </row>
    <row r="78" ht="18" customHeight="1">
      <c r="A78" s="30" t="n"/>
      <c r="B78" s="30" t="n"/>
      <c r="C78" s="31" t="n"/>
      <c r="D78" s="31" t="n"/>
      <c r="E78" s="32" t="n"/>
      <c r="F78" s="32" t="n"/>
      <c r="G78" s="30" t="n"/>
      <c r="H78" s="30" t="n"/>
      <c r="I78" s="31" t="n"/>
      <c r="J78" s="30" t="n"/>
      <c r="K78" s="32" t="n"/>
      <c r="L78" s="31" t="n"/>
      <c r="M78" s="30" t="n"/>
      <c r="N78" s="31" t="n"/>
      <c r="O78" s="31" t="n"/>
      <c r="P78" s="32" t="n"/>
      <c r="Q78" s="30" t="n"/>
      <c r="R78" s="33">
        <f>IF($T78=0,"",IF($AF78=1,"△ The log can't read this line",IF($W78=1,"△ Needs one owner, written as Name (Role)",IF($X78=1,"△ Look-again date missing, passed or too far ahead",IF($Y78=1,"△ No response",IF($Z78=1,"△ Closed without a date or a reason",IF($AA78=1,"△ Needs Provided by and Needed by, and Who answers as Name (Role)",IF($AB78=1,"△ Past its Needed by date","○ Clear"))))))))</f>
        <v/>
      </c>
      <c r="T78" s="34">
        <f>IF(COUNTA($A78:$Q78)&gt;0,1,0)</f>
        <v/>
      </c>
      <c r="U78" s="34">
        <f>IF(AND($T78=1,$J78&lt;&gt;"Closed"),1,0)</f>
        <v/>
      </c>
      <c r="V78" s="34">
        <f>IF(AND($U78=1,$Q78&lt;&gt;"Program workbook"),1,0)</f>
        <v/>
      </c>
      <c r="W78" s="34">
        <f>IF($V78=0,0,IF(OR(ISERROR(SEARCH(" (",$D78)),RIGHT(TRIM($D78),1)&lt;&gt;")",ISNUMBER(SEARCH(",",$AH78)),ISNUMBER(SEARCH("/",$AH78)),ISNUMBER(SEARCH(" and ",$AH78)),ISNUMBER(SEARCH("&amp;",$AH78))),1,0))</f>
        <v/>
      </c>
      <c r="X78" s="34">
        <f>IF($V78=0,0,IF(NOT(ISNUMBER($F78)),1,IF(OR($F78&lt;Summary!$K$4,$F78&gt;Summary!$K$4+Summary!$K$5,AND(ISNUMBER($P78),$F78&gt;$P78)),1,0)))</f>
        <v/>
      </c>
      <c r="Y78" s="34">
        <f>IF(AND($V78=1,OR($B78="Risk",$B78="Issue"),LEN(TRIM($I78))=0),1,0)</f>
        <v/>
      </c>
      <c r="Z78" s="34">
        <f>IF(AND($T78=1,$J78="Closed",OR(NOT(ISNUMBER($K78)),LEN(TRIM($L78))=0)),1,0)</f>
        <v/>
      </c>
      <c r="AA78" s="34">
        <f>IF(AND($U78=1,$B78="Dependency"),IF(OR(LEN(TRIM($N78))=0,NOT(ISNUMBER($P78)),NOT(AND(ISNUMBER(SEARCH(" (",$O78)),RIGHT(TRIM($O78),1)=")"))),1,0),0)</f>
        <v/>
      </c>
      <c r="AB78" s="34">
        <f>IF(AND($V78=1,$B78="Dependency",ISNUMBER($P78)),IF($P78&lt;Summary!$K$4,1,0),0)</f>
        <v/>
      </c>
      <c r="AC78" s="34">
        <f>IF($T78=0,0,IF(OR($A78="",COUNTIF($A$4:$A$153,$A78)&gt;1,ISERROR(MATCH($B78,{"Risk","Assumption","Issue","Dependency"},0))),1,IF(INDEX({"R","A","I","X"},MATCH($B78,{"Risk","Assumption","Issue","Dependency"},0))&lt;&gt;LEFT($A78,1),1,0)))</f>
        <v/>
      </c>
      <c r="AD78" s="34">
        <f>IF($T78=0,0,IF(OR(ISERROR(MATCH($J78,{"Raised","Responding","Closed"},0)),ISERROR(MATCH($G78,{"Low","Medium","High"},0)),AND(OR($B78="Risk",$B78="Assumption"),ISERROR(MATCH($H78,{"Low","Medium","High"},0))),AND($Q78&lt;&gt;"",$Q78&lt;&gt;"This log",$Q78&lt;&gt;"Program workbook"),AND($J78&lt;&gt;"Closed",OR($K78&lt;&gt;"",LEN(TRIM($L78))&gt;0))),1,0))</f>
        <v/>
      </c>
      <c r="AE78" s="34">
        <f>IF($T78=0,0,IF(OR(NOT(ISNUMBER($E78)),AND($F78&lt;&gt;"",NOT(ISNUMBER($F78))),AND($K78&lt;&gt;"",NOT(ISNUMBER($K78))),AND($P78&lt;&gt;"",NOT(ISNUMBER($P78)))),1,0))</f>
        <v/>
      </c>
      <c r="AF78" s="34">
        <f>MAX($AC78,$AD78,$AE78)</f>
        <v/>
      </c>
      <c r="AG78" s="34">
        <f>IF($T78=0,0,IFERROR(--MID(TRIM($A78),2,9),0))</f>
        <v/>
      </c>
      <c r="AH78" s="22">
        <f>IFERROR(LEFT(TRIM($D78),SEARCH(" (",TRIM($D78))-1),TRIM($D78))</f>
        <v/>
      </c>
      <c r="AI78" s="34">
        <f>IF(AND($T78=1,$J78="Closed",$G78="High",ISNUMBER($K78)),IF($K78&gt;=Summary!$K$6,1,0),0)</f>
        <v/>
      </c>
      <c r="AJ78" s="34">
        <f>IF($AI78=1,SUM($AI$4:$AI78),0)</f>
        <v/>
      </c>
    </row>
    <row r="79" ht="18" customHeight="1">
      <c r="A79" s="30" t="n"/>
      <c r="B79" s="30" t="n"/>
      <c r="C79" s="31" t="n"/>
      <c r="D79" s="31" t="n"/>
      <c r="E79" s="32" t="n"/>
      <c r="F79" s="32" t="n"/>
      <c r="G79" s="30" t="n"/>
      <c r="H79" s="30" t="n"/>
      <c r="I79" s="31" t="n"/>
      <c r="J79" s="30" t="n"/>
      <c r="K79" s="32" t="n"/>
      <c r="L79" s="31" t="n"/>
      <c r="M79" s="30" t="n"/>
      <c r="N79" s="31" t="n"/>
      <c r="O79" s="31" t="n"/>
      <c r="P79" s="32" t="n"/>
      <c r="Q79" s="30" t="n"/>
      <c r="R79" s="33">
        <f>IF($T79=0,"",IF($AF79=1,"△ The log can't read this line",IF($W79=1,"△ Needs one owner, written as Name (Role)",IF($X79=1,"△ Look-again date missing, passed or too far ahead",IF($Y79=1,"△ No response",IF($Z79=1,"△ Closed without a date or a reason",IF($AA79=1,"△ Needs Provided by and Needed by, and Who answers as Name (Role)",IF($AB79=1,"△ Past its Needed by date","○ Clear"))))))))</f>
        <v/>
      </c>
      <c r="T79" s="34">
        <f>IF(COUNTA($A79:$Q79)&gt;0,1,0)</f>
        <v/>
      </c>
      <c r="U79" s="34">
        <f>IF(AND($T79=1,$J79&lt;&gt;"Closed"),1,0)</f>
        <v/>
      </c>
      <c r="V79" s="34">
        <f>IF(AND($U79=1,$Q79&lt;&gt;"Program workbook"),1,0)</f>
        <v/>
      </c>
      <c r="W79" s="34">
        <f>IF($V79=0,0,IF(OR(ISERROR(SEARCH(" (",$D79)),RIGHT(TRIM($D79),1)&lt;&gt;")",ISNUMBER(SEARCH(",",$AH79)),ISNUMBER(SEARCH("/",$AH79)),ISNUMBER(SEARCH(" and ",$AH79)),ISNUMBER(SEARCH("&amp;",$AH79))),1,0))</f>
        <v/>
      </c>
      <c r="X79" s="34">
        <f>IF($V79=0,0,IF(NOT(ISNUMBER($F79)),1,IF(OR($F79&lt;Summary!$K$4,$F79&gt;Summary!$K$4+Summary!$K$5,AND(ISNUMBER($P79),$F79&gt;$P79)),1,0)))</f>
        <v/>
      </c>
      <c r="Y79" s="34">
        <f>IF(AND($V79=1,OR($B79="Risk",$B79="Issue"),LEN(TRIM($I79))=0),1,0)</f>
        <v/>
      </c>
      <c r="Z79" s="34">
        <f>IF(AND($T79=1,$J79="Closed",OR(NOT(ISNUMBER($K79)),LEN(TRIM($L79))=0)),1,0)</f>
        <v/>
      </c>
      <c r="AA79" s="34">
        <f>IF(AND($U79=1,$B79="Dependency"),IF(OR(LEN(TRIM($N79))=0,NOT(ISNUMBER($P79)),NOT(AND(ISNUMBER(SEARCH(" (",$O79)),RIGHT(TRIM($O79),1)=")"))),1,0),0)</f>
        <v/>
      </c>
      <c r="AB79" s="34">
        <f>IF(AND($V79=1,$B79="Dependency",ISNUMBER($P79)),IF($P79&lt;Summary!$K$4,1,0),0)</f>
        <v/>
      </c>
      <c r="AC79" s="34">
        <f>IF($T79=0,0,IF(OR($A79="",COUNTIF($A$4:$A$153,$A79)&gt;1,ISERROR(MATCH($B79,{"Risk","Assumption","Issue","Dependency"},0))),1,IF(INDEX({"R","A","I","X"},MATCH($B79,{"Risk","Assumption","Issue","Dependency"},0))&lt;&gt;LEFT($A79,1),1,0)))</f>
        <v/>
      </c>
      <c r="AD79" s="34">
        <f>IF($T79=0,0,IF(OR(ISERROR(MATCH($J79,{"Raised","Responding","Closed"},0)),ISERROR(MATCH($G79,{"Low","Medium","High"},0)),AND(OR($B79="Risk",$B79="Assumption"),ISERROR(MATCH($H79,{"Low","Medium","High"},0))),AND($Q79&lt;&gt;"",$Q79&lt;&gt;"This log",$Q79&lt;&gt;"Program workbook"),AND($J79&lt;&gt;"Closed",OR($K79&lt;&gt;"",LEN(TRIM($L79))&gt;0))),1,0))</f>
        <v/>
      </c>
      <c r="AE79" s="34">
        <f>IF($T79=0,0,IF(OR(NOT(ISNUMBER($E79)),AND($F79&lt;&gt;"",NOT(ISNUMBER($F79))),AND($K79&lt;&gt;"",NOT(ISNUMBER($K79))),AND($P79&lt;&gt;"",NOT(ISNUMBER($P79)))),1,0))</f>
        <v/>
      </c>
      <c r="AF79" s="34">
        <f>MAX($AC79,$AD79,$AE79)</f>
        <v/>
      </c>
      <c r="AG79" s="34">
        <f>IF($T79=0,0,IFERROR(--MID(TRIM($A79),2,9),0))</f>
        <v/>
      </c>
      <c r="AH79" s="22">
        <f>IFERROR(LEFT(TRIM($D79),SEARCH(" (",TRIM($D79))-1),TRIM($D79))</f>
        <v/>
      </c>
      <c r="AI79" s="34">
        <f>IF(AND($T79=1,$J79="Closed",$G79="High",ISNUMBER($K79)),IF($K79&gt;=Summary!$K$6,1,0),0)</f>
        <v/>
      </c>
      <c r="AJ79" s="34">
        <f>IF($AI79=1,SUM($AI$4:$AI79),0)</f>
        <v/>
      </c>
    </row>
    <row r="80" ht="18" customHeight="1">
      <c r="A80" s="30" t="n"/>
      <c r="B80" s="30" t="n"/>
      <c r="C80" s="31" t="n"/>
      <c r="D80" s="31" t="n"/>
      <c r="E80" s="32" t="n"/>
      <c r="F80" s="32" t="n"/>
      <c r="G80" s="30" t="n"/>
      <c r="H80" s="30" t="n"/>
      <c r="I80" s="31" t="n"/>
      <c r="J80" s="30" t="n"/>
      <c r="K80" s="32" t="n"/>
      <c r="L80" s="31" t="n"/>
      <c r="M80" s="30" t="n"/>
      <c r="N80" s="31" t="n"/>
      <c r="O80" s="31" t="n"/>
      <c r="P80" s="32" t="n"/>
      <c r="Q80" s="30" t="n"/>
      <c r="R80" s="33">
        <f>IF($T80=0,"",IF($AF80=1,"△ The log can't read this line",IF($W80=1,"△ Needs one owner, written as Name (Role)",IF($X80=1,"△ Look-again date missing, passed or too far ahead",IF($Y80=1,"△ No response",IF($Z80=1,"△ Closed without a date or a reason",IF($AA80=1,"△ Needs Provided by and Needed by, and Who answers as Name (Role)",IF($AB80=1,"△ Past its Needed by date","○ Clear"))))))))</f>
        <v/>
      </c>
      <c r="T80" s="34">
        <f>IF(COUNTA($A80:$Q80)&gt;0,1,0)</f>
        <v/>
      </c>
      <c r="U80" s="34">
        <f>IF(AND($T80=1,$J80&lt;&gt;"Closed"),1,0)</f>
        <v/>
      </c>
      <c r="V80" s="34">
        <f>IF(AND($U80=1,$Q80&lt;&gt;"Program workbook"),1,0)</f>
        <v/>
      </c>
      <c r="W80" s="34">
        <f>IF($V80=0,0,IF(OR(ISERROR(SEARCH(" (",$D80)),RIGHT(TRIM($D80),1)&lt;&gt;")",ISNUMBER(SEARCH(",",$AH80)),ISNUMBER(SEARCH("/",$AH80)),ISNUMBER(SEARCH(" and ",$AH80)),ISNUMBER(SEARCH("&amp;",$AH80))),1,0))</f>
        <v/>
      </c>
      <c r="X80" s="34">
        <f>IF($V80=0,0,IF(NOT(ISNUMBER($F80)),1,IF(OR($F80&lt;Summary!$K$4,$F80&gt;Summary!$K$4+Summary!$K$5,AND(ISNUMBER($P80),$F80&gt;$P80)),1,0)))</f>
        <v/>
      </c>
      <c r="Y80" s="34">
        <f>IF(AND($V80=1,OR($B80="Risk",$B80="Issue"),LEN(TRIM($I80))=0),1,0)</f>
        <v/>
      </c>
      <c r="Z80" s="34">
        <f>IF(AND($T80=1,$J80="Closed",OR(NOT(ISNUMBER($K80)),LEN(TRIM($L80))=0)),1,0)</f>
        <v/>
      </c>
      <c r="AA80" s="34">
        <f>IF(AND($U80=1,$B80="Dependency"),IF(OR(LEN(TRIM($N80))=0,NOT(ISNUMBER($P80)),NOT(AND(ISNUMBER(SEARCH(" (",$O80)),RIGHT(TRIM($O80),1)=")"))),1,0),0)</f>
        <v/>
      </c>
      <c r="AB80" s="34">
        <f>IF(AND($V80=1,$B80="Dependency",ISNUMBER($P80)),IF($P80&lt;Summary!$K$4,1,0),0)</f>
        <v/>
      </c>
      <c r="AC80" s="34">
        <f>IF($T80=0,0,IF(OR($A80="",COUNTIF($A$4:$A$153,$A80)&gt;1,ISERROR(MATCH($B80,{"Risk","Assumption","Issue","Dependency"},0))),1,IF(INDEX({"R","A","I","X"},MATCH($B80,{"Risk","Assumption","Issue","Dependency"},0))&lt;&gt;LEFT($A80,1),1,0)))</f>
        <v/>
      </c>
      <c r="AD80" s="34">
        <f>IF($T80=0,0,IF(OR(ISERROR(MATCH($J80,{"Raised","Responding","Closed"},0)),ISERROR(MATCH($G80,{"Low","Medium","High"},0)),AND(OR($B80="Risk",$B80="Assumption"),ISERROR(MATCH($H80,{"Low","Medium","High"},0))),AND($Q80&lt;&gt;"",$Q80&lt;&gt;"This log",$Q80&lt;&gt;"Program workbook"),AND($J80&lt;&gt;"Closed",OR($K80&lt;&gt;"",LEN(TRIM($L80))&gt;0))),1,0))</f>
        <v/>
      </c>
      <c r="AE80" s="34">
        <f>IF($T80=0,0,IF(OR(NOT(ISNUMBER($E80)),AND($F80&lt;&gt;"",NOT(ISNUMBER($F80))),AND($K80&lt;&gt;"",NOT(ISNUMBER($K80))),AND($P80&lt;&gt;"",NOT(ISNUMBER($P80)))),1,0))</f>
        <v/>
      </c>
      <c r="AF80" s="34">
        <f>MAX($AC80,$AD80,$AE80)</f>
        <v/>
      </c>
      <c r="AG80" s="34">
        <f>IF($T80=0,0,IFERROR(--MID(TRIM($A80),2,9),0))</f>
        <v/>
      </c>
      <c r="AH80" s="22">
        <f>IFERROR(LEFT(TRIM($D80),SEARCH(" (",TRIM($D80))-1),TRIM($D80))</f>
        <v/>
      </c>
      <c r="AI80" s="34">
        <f>IF(AND($T80=1,$J80="Closed",$G80="High",ISNUMBER($K80)),IF($K80&gt;=Summary!$K$6,1,0),0)</f>
        <v/>
      </c>
      <c r="AJ80" s="34">
        <f>IF($AI80=1,SUM($AI$4:$AI80),0)</f>
        <v/>
      </c>
    </row>
    <row r="81" ht="18" customHeight="1">
      <c r="A81" s="30" t="n"/>
      <c r="B81" s="30" t="n"/>
      <c r="C81" s="31" t="n"/>
      <c r="D81" s="31" t="n"/>
      <c r="E81" s="32" t="n"/>
      <c r="F81" s="32" t="n"/>
      <c r="G81" s="30" t="n"/>
      <c r="H81" s="30" t="n"/>
      <c r="I81" s="31" t="n"/>
      <c r="J81" s="30" t="n"/>
      <c r="K81" s="32" t="n"/>
      <c r="L81" s="31" t="n"/>
      <c r="M81" s="30" t="n"/>
      <c r="N81" s="31" t="n"/>
      <c r="O81" s="31" t="n"/>
      <c r="P81" s="32" t="n"/>
      <c r="Q81" s="30" t="n"/>
      <c r="R81" s="33">
        <f>IF($T81=0,"",IF($AF81=1,"△ The log can't read this line",IF($W81=1,"△ Needs one owner, written as Name (Role)",IF($X81=1,"△ Look-again date missing, passed or too far ahead",IF($Y81=1,"△ No response",IF($Z81=1,"△ Closed without a date or a reason",IF($AA81=1,"△ Needs Provided by and Needed by, and Who answers as Name (Role)",IF($AB81=1,"△ Past its Needed by date","○ Clear"))))))))</f>
        <v/>
      </c>
      <c r="T81" s="34">
        <f>IF(COUNTA($A81:$Q81)&gt;0,1,0)</f>
        <v/>
      </c>
      <c r="U81" s="34">
        <f>IF(AND($T81=1,$J81&lt;&gt;"Closed"),1,0)</f>
        <v/>
      </c>
      <c r="V81" s="34">
        <f>IF(AND($U81=1,$Q81&lt;&gt;"Program workbook"),1,0)</f>
        <v/>
      </c>
      <c r="W81" s="34">
        <f>IF($V81=0,0,IF(OR(ISERROR(SEARCH(" (",$D81)),RIGHT(TRIM($D81),1)&lt;&gt;")",ISNUMBER(SEARCH(",",$AH81)),ISNUMBER(SEARCH("/",$AH81)),ISNUMBER(SEARCH(" and ",$AH81)),ISNUMBER(SEARCH("&amp;",$AH81))),1,0))</f>
        <v/>
      </c>
      <c r="X81" s="34">
        <f>IF($V81=0,0,IF(NOT(ISNUMBER($F81)),1,IF(OR($F81&lt;Summary!$K$4,$F81&gt;Summary!$K$4+Summary!$K$5,AND(ISNUMBER($P81),$F81&gt;$P81)),1,0)))</f>
        <v/>
      </c>
      <c r="Y81" s="34">
        <f>IF(AND($V81=1,OR($B81="Risk",$B81="Issue"),LEN(TRIM($I81))=0),1,0)</f>
        <v/>
      </c>
      <c r="Z81" s="34">
        <f>IF(AND($T81=1,$J81="Closed",OR(NOT(ISNUMBER($K81)),LEN(TRIM($L81))=0)),1,0)</f>
        <v/>
      </c>
      <c r="AA81" s="34">
        <f>IF(AND($U81=1,$B81="Dependency"),IF(OR(LEN(TRIM($N81))=0,NOT(ISNUMBER($P81)),NOT(AND(ISNUMBER(SEARCH(" (",$O81)),RIGHT(TRIM($O81),1)=")"))),1,0),0)</f>
        <v/>
      </c>
      <c r="AB81" s="34">
        <f>IF(AND($V81=1,$B81="Dependency",ISNUMBER($P81)),IF($P81&lt;Summary!$K$4,1,0),0)</f>
        <v/>
      </c>
      <c r="AC81" s="34">
        <f>IF($T81=0,0,IF(OR($A81="",COUNTIF($A$4:$A$153,$A81)&gt;1,ISERROR(MATCH($B81,{"Risk","Assumption","Issue","Dependency"},0))),1,IF(INDEX({"R","A","I","X"},MATCH($B81,{"Risk","Assumption","Issue","Dependency"},0))&lt;&gt;LEFT($A81,1),1,0)))</f>
        <v/>
      </c>
      <c r="AD81" s="34">
        <f>IF($T81=0,0,IF(OR(ISERROR(MATCH($J81,{"Raised","Responding","Closed"},0)),ISERROR(MATCH($G81,{"Low","Medium","High"},0)),AND(OR($B81="Risk",$B81="Assumption"),ISERROR(MATCH($H81,{"Low","Medium","High"},0))),AND($Q81&lt;&gt;"",$Q81&lt;&gt;"This log",$Q81&lt;&gt;"Program workbook"),AND($J81&lt;&gt;"Closed",OR($K81&lt;&gt;"",LEN(TRIM($L81))&gt;0))),1,0))</f>
        <v/>
      </c>
      <c r="AE81" s="34">
        <f>IF($T81=0,0,IF(OR(NOT(ISNUMBER($E81)),AND($F81&lt;&gt;"",NOT(ISNUMBER($F81))),AND($K81&lt;&gt;"",NOT(ISNUMBER($K81))),AND($P81&lt;&gt;"",NOT(ISNUMBER($P81)))),1,0))</f>
        <v/>
      </c>
      <c r="AF81" s="34">
        <f>MAX($AC81,$AD81,$AE81)</f>
        <v/>
      </c>
      <c r="AG81" s="34">
        <f>IF($T81=0,0,IFERROR(--MID(TRIM($A81),2,9),0))</f>
        <v/>
      </c>
      <c r="AH81" s="22">
        <f>IFERROR(LEFT(TRIM($D81),SEARCH(" (",TRIM($D81))-1),TRIM($D81))</f>
        <v/>
      </c>
      <c r="AI81" s="34">
        <f>IF(AND($T81=1,$J81="Closed",$G81="High",ISNUMBER($K81)),IF($K81&gt;=Summary!$K$6,1,0),0)</f>
        <v/>
      </c>
      <c r="AJ81" s="34">
        <f>IF($AI81=1,SUM($AI$4:$AI81),0)</f>
        <v/>
      </c>
    </row>
    <row r="82" ht="18" customHeight="1">
      <c r="A82" s="30" t="n"/>
      <c r="B82" s="30" t="n"/>
      <c r="C82" s="31" t="n"/>
      <c r="D82" s="31" t="n"/>
      <c r="E82" s="32" t="n"/>
      <c r="F82" s="32" t="n"/>
      <c r="G82" s="30" t="n"/>
      <c r="H82" s="30" t="n"/>
      <c r="I82" s="31" t="n"/>
      <c r="J82" s="30" t="n"/>
      <c r="K82" s="32" t="n"/>
      <c r="L82" s="31" t="n"/>
      <c r="M82" s="30" t="n"/>
      <c r="N82" s="31" t="n"/>
      <c r="O82" s="31" t="n"/>
      <c r="P82" s="32" t="n"/>
      <c r="Q82" s="30" t="n"/>
      <c r="R82" s="33">
        <f>IF($T82=0,"",IF($AF82=1,"△ The log can't read this line",IF($W82=1,"△ Needs one owner, written as Name (Role)",IF($X82=1,"△ Look-again date missing, passed or too far ahead",IF($Y82=1,"△ No response",IF($Z82=1,"△ Closed without a date or a reason",IF($AA82=1,"△ Needs Provided by and Needed by, and Who answers as Name (Role)",IF($AB82=1,"△ Past its Needed by date","○ Clear"))))))))</f>
        <v/>
      </c>
      <c r="T82" s="34">
        <f>IF(COUNTA($A82:$Q82)&gt;0,1,0)</f>
        <v/>
      </c>
      <c r="U82" s="34">
        <f>IF(AND($T82=1,$J82&lt;&gt;"Closed"),1,0)</f>
        <v/>
      </c>
      <c r="V82" s="34">
        <f>IF(AND($U82=1,$Q82&lt;&gt;"Program workbook"),1,0)</f>
        <v/>
      </c>
      <c r="W82" s="34">
        <f>IF($V82=0,0,IF(OR(ISERROR(SEARCH(" (",$D82)),RIGHT(TRIM($D82),1)&lt;&gt;")",ISNUMBER(SEARCH(",",$AH82)),ISNUMBER(SEARCH("/",$AH82)),ISNUMBER(SEARCH(" and ",$AH82)),ISNUMBER(SEARCH("&amp;",$AH82))),1,0))</f>
        <v/>
      </c>
      <c r="X82" s="34">
        <f>IF($V82=0,0,IF(NOT(ISNUMBER($F82)),1,IF(OR($F82&lt;Summary!$K$4,$F82&gt;Summary!$K$4+Summary!$K$5,AND(ISNUMBER($P82),$F82&gt;$P82)),1,0)))</f>
        <v/>
      </c>
      <c r="Y82" s="34">
        <f>IF(AND($V82=1,OR($B82="Risk",$B82="Issue"),LEN(TRIM($I82))=0),1,0)</f>
        <v/>
      </c>
      <c r="Z82" s="34">
        <f>IF(AND($T82=1,$J82="Closed",OR(NOT(ISNUMBER($K82)),LEN(TRIM($L82))=0)),1,0)</f>
        <v/>
      </c>
      <c r="AA82" s="34">
        <f>IF(AND($U82=1,$B82="Dependency"),IF(OR(LEN(TRIM($N82))=0,NOT(ISNUMBER($P82)),NOT(AND(ISNUMBER(SEARCH(" (",$O82)),RIGHT(TRIM($O82),1)=")"))),1,0),0)</f>
        <v/>
      </c>
      <c r="AB82" s="34">
        <f>IF(AND($V82=1,$B82="Dependency",ISNUMBER($P82)),IF($P82&lt;Summary!$K$4,1,0),0)</f>
        <v/>
      </c>
      <c r="AC82" s="34">
        <f>IF($T82=0,0,IF(OR($A82="",COUNTIF($A$4:$A$153,$A82)&gt;1,ISERROR(MATCH($B82,{"Risk","Assumption","Issue","Dependency"},0))),1,IF(INDEX({"R","A","I","X"},MATCH($B82,{"Risk","Assumption","Issue","Dependency"},0))&lt;&gt;LEFT($A82,1),1,0)))</f>
        <v/>
      </c>
      <c r="AD82" s="34">
        <f>IF($T82=0,0,IF(OR(ISERROR(MATCH($J82,{"Raised","Responding","Closed"},0)),ISERROR(MATCH($G82,{"Low","Medium","High"},0)),AND(OR($B82="Risk",$B82="Assumption"),ISERROR(MATCH($H82,{"Low","Medium","High"},0))),AND($Q82&lt;&gt;"",$Q82&lt;&gt;"This log",$Q82&lt;&gt;"Program workbook"),AND($J82&lt;&gt;"Closed",OR($K82&lt;&gt;"",LEN(TRIM($L82))&gt;0))),1,0))</f>
        <v/>
      </c>
      <c r="AE82" s="34">
        <f>IF($T82=0,0,IF(OR(NOT(ISNUMBER($E82)),AND($F82&lt;&gt;"",NOT(ISNUMBER($F82))),AND($K82&lt;&gt;"",NOT(ISNUMBER($K82))),AND($P82&lt;&gt;"",NOT(ISNUMBER($P82)))),1,0))</f>
        <v/>
      </c>
      <c r="AF82" s="34">
        <f>MAX($AC82,$AD82,$AE82)</f>
        <v/>
      </c>
      <c r="AG82" s="34">
        <f>IF($T82=0,0,IFERROR(--MID(TRIM($A82),2,9),0))</f>
        <v/>
      </c>
      <c r="AH82" s="22">
        <f>IFERROR(LEFT(TRIM($D82),SEARCH(" (",TRIM($D82))-1),TRIM($D82))</f>
        <v/>
      </c>
      <c r="AI82" s="34">
        <f>IF(AND($T82=1,$J82="Closed",$G82="High",ISNUMBER($K82)),IF($K82&gt;=Summary!$K$6,1,0),0)</f>
        <v/>
      </c>
      <c r="AJ82" s="34">
        <f>IF($AI82=1,SUM($AI$4:$AI82),0)</f>
        <v/>
      </c>
    </row>
    <row r="83" ht="18" customHeight="1">
      <c r="A83" s="30" t="n"/>
      <c r="B83" s="30" t="n"/>
      <c r="C83" s="31" t="n"/>
      <c r="D83" s="31" t="n"/>
      <c r="E83" s="32" t="n"/>
      <c r="F83" s="32" t="n"/>
      <c r="G83" s="30" t="n"/>
      <c r="H83" s="30" t="n"/>
      <c r="I83" s="31" t="n"/>
      <c r="J83" s="30" t="n"/>
      <c r="K83" s="32" t="n"/>
      <c r="L83" s="31" t="n"/>
      <c r="M83" s="30" t="n"/>
      <c r="N83" s="31" t="n"/>
      <c r="O83" s="31" t="n"/>
      <c r="P83" s="32" t="n"/>
      <c r="Q83" s="30" t="n"/>
      <c r="R83" s="33">
        <f>IF($T83=0,"",IF($AF83=1,"△ The log can't read this line",IF($W83=1,"△ Needs one owner, written as Name (Role)",IF($X83=1,"△ Look-again date missing, passed or too far ahead",IF($Y83=1,"△ No response",IF($Z83=1,"△ Closed without a date or a reason",IF($AA83=1,"△ Needs Provided by and Needed by, and Who answers as Name (Role)",IF($AB83=1,"△ Past its Needed by date","○ Clear"))))))))</f>
        <v/>
      </c>
      <c r="T83" s="34">
        <f>IF(COUNTA($A83:$Q83)&gt;0,1,0)</f>
        <v/>
      </c>
      <c r="U83" s="34">
        <f>IF(AND($T83=1,$J83&lt;&gt;"Closed"),1,0)</f>
        <v/>
      </c>
      <c r="V83" s="34">
        <f>IF(AND($U83=1,$Q83&lt;&gt;"Program workbook"),1,0)</f>
        <v/>
      </c>
      <c r="W83" s="34">
        <f>IF($V83=0,0,IF(OR(ISERROR(SEARCH(" (",$D83)),RIGHT(TRIM($D83),1)&lt;&gt;")",ISNUMBER(SEARCH(",",$AH83)),ISNUMBER(SEARCH("/",$AH83)),ISNUMBER(SEARCH(" and ",$AH83)),ISNUMBER(SEARCH("&amp;",$AH83))),1,0))</f>
        <v/>
      </c>
      <c r="X83" s="34">
        <f>IF($V83=0,0,IF(NOT(ISNUMBER($F83)),1,IF(OR($F83&lt;Summary!$K$4,$F83&gt;Summary!$K$4+Summary!$K$5,AND(ISNUMBER($P83),$F83&gt;$P83)),1,0)))</f>
        <v/>
      </c>
      <c r="Y83" s="34">
        <f>IF(AND($V83=1,OR($B83="Risk",$B83="Issue"),LEN(TRIM($I83))=0),1,0)</f>
        <v/>
      </c>
      <c r="Z83" s="34">
        <f>IF(AND($T83=1,$J83="Closed",OR(NOT(ISNUMBER($K83)),LEN(TRIM($L83))=0)),1,0)</f>
        <v/>
      </c>
      <c r="AA83" s="34">
        <f>IF(AND($U83=1,$B83="Dependency"),IF(OR(LEN(TRIM($N83))=0,NOT(ISNUMBER($P83)),NOT(AND(ISNUMBER(SEARCH(" (",$O83)),RIGHT(TRIM($O83),1)=")"))),1,0),0)</f>
        <v/>
      </c>
      <c r="AB83" s="34">
        <f>IF(AND($V83=1,$B83="Dependency",ISNUMBER($P83)),IF($P83&lt;Summary!$K$4,1,0),0)</f>
        <v/>
      </c>
      <c r="AC83" s="34">
        <f>IF($T83=0,0,IF(OR($A83="",COUNTIF($A$4:$A$153,$A83)&gt;1,ISERROR(MATCH($B83,{"Risk","Assumption","Issue","Dependency"},0))),1,IF(INDEX({"R","A","I","X"},MATCH($B83,{"Risk","Assumption","Issue","Dependency"},0))&lt;&gt;LEFT($A83,1),1,0)))</f>
        <v/>
      </c>
      <c r="AD83" s="34">
        <f>IF($T83=0,0,IF(OR(ISERROR(MATCH($J83,{"Raised","Responding","Closed"},0)),ISERROR(MATCH($G83,{"Low","Medium","High"},0)),AND(OR($B83="Risk",$B83="Assumption"),ISERROR(MATCH($H83,{"Low","Medium","High"},0))),AND($Q83&lt;&gt;"",$Q83&lt;&gt;"This log",$Q83&lt;&gt;"Program workbook"),AND($J83&lt;&gt;"Closed",OR($K83&lt;&gt;"",LEN(TRIM($L83))&gt;0))),1,0))</f>
        <v/>
      </c>
      <c r="AE83" s="34">
        <f>IF($T83=0,0,IF(OR(NOT(ISNUMBER($E83)),AND($F83&lt;&gt;"",NOT(ISNUMBER($F83))),AND($K83&lt;&gt;"",NOT(ISNUMBER($K83))),AND($P83&lt;&gt;"",NOT(ISNUMBER($P83)))),1,0))</f>
        <v/>
      </c>
      <c r="AF83" s="34">
        <f>MAX($AC83,$AD83,$AE83)</f>
        <v/>
      </c>
      <c r="AG83" s="34">
        <f>IF($T83=0,0,IFERROR(--MID(TRIM($A83),2,9),0))</f>
        <v/>
      </c>
      <c r="AH83" s="22">
        <f>IFERROR(LEFT(TRIM($D83),SEARCH(" (",TRIM($D83))-1),TRIM($D83))</f>
        <v/>
      </c>
      <c r="AI83" s="34">
        <f>IF(AND($T83=1,$J83="Closed",$G83="High",ISNUMBER($K83)),IF($K83&gt;=Summary!$K$6,1,0),0)</f>
        <v/>
      </c>
      <c r="AJ83" s="34">
        <f>IF($AI83=1,SUM($AI$4:$AI83),0)</f>
        <v/>
      </c>
    </row>
    <row r="84" ht="18" customHeight="1">
      <c r="A84" s="30" t="n"/>
      <c r="B84" s="30" t="n"/>
      <c r="C84" s="31" t="n"/>
      <c r="D84" s="31" t="n"/>
      <c r="E84" s="32" t="n"/>
      <c r="F84" s="32" t="n"/>
      <c r="G84" s="30" t="n"/>
      <c r="H84" s="30" t="n"/>
      <c r="I84" s="31" t="n"/>
      <c r="J84" s="30" t="n"/>
      <c r="K84" s="32" t="n"/>
      <c r="L84" s="31" t="n"/>
      <c r="M84" s="30" t="n"/>
      <c r="N84" s="31" t="n"/>
      <c r="O84" s="31" t="n"/>
      <c r="P84" s="32" t="n"/>
      <c r="Q84" s="30" t="n"/>
      <c r="R84" s="33">
        <f>IF($T84=0,"",IF($AF84=1,"△ The log can't read this line",IF($W84=1,"△ Needs one owner, written as Name (Role)",IF($X84=1,"△ Look-again date missing, passed or too far ahead",IF($Y84=1,"△ No response",IF($Z84=1,"△ Closed without a date or a reason",IF($AA84=1,"△ Needs Provided by and Needed by, and Who answers as Name (Role)",IF($AB84=1,"△ Past its Needed by date","○ Clear"))))))))</f>
        <v/>
      </c>
      <c r="T84" s="34">
        <f>IF(COUNTA($A84:$Q84)&gt;0,1,0)</f>
        <v/>
      </c>
      <c r="U84" s="34">
        <f>IF(AND($T84=1,$J84&lt;&gt;"Closed"),1,0)</f>
        <v/>
      </c>
      <c r="V84" s="34">
        <f>IF(AND($U84=1,$Q84&lt;&gt;"Program workbook"),1,0)</f>
        <v/>
      </c>
      <c r="W84" s="34">
        <f>IF($V84=0,0,IF(OR(ISERROR(SEARCH(" (",$D84)),RIGHT(TRIM($D84),1)&lt;&gt;")",ISNUMBER(SEARCH(",",$AH84)),ISNUMBER(SEARCH("/",$AH84)),ISNUMBER(SEARCH(" and ",$AH84)),ISNUMBER(SEARCH("&amp;",$AH84))),1,0))</f>
        <v/>
      </c>
      <c r="X84" s="34">
        <f>IF($V84=0,0,IF(NOT(ISNUMBER($F84)),1,IF(OR($F84&lt;Summary!$K$4,$F84&gt;Summary!$K$4+Summary!$K$5,AND(ISNUMBER($P84),$F84&gt;$P84)),1,0)))</f>
        <v/>
      </c>
      <c r="Y84" s="34">
        <f>IF(AND($V84=1,OR($B84="Risk",$B84="Issue"),LEN(TRIM($I84))=0),1,0)</f>
        <v/>
      </c>
      <c r="Z84" s="34">
        <f>IF(AND($T84=1,$J84="Closed",OR(NOT(ISNUMBER($K84)),LEN(TRIM($L84))=0)),1,0)</f>
        <v/>
      </c>
      <c r="AA84" s="34">
        <f>IF(AND($U84=1,$B84="Dependency"),IF(OR(LEN(TRIM($N84))=0,NOT(ISNUMBER($P84)),NOT(AND(ISNUMBER(SEARCH(" (",$O84)),RIGHT(TRIM($O84),1)=")"))),1,0),0)</f>
        <v/>
      </c>
      <c r="AB84" s="34">
        <f>IF(AND($V84=1,$B84="Dependency",ISNUMBER($P84)),IF($P84&lt;Summary!$K$4,1,0),0)</f>
        <v/>
      </c>
      <c r="AC84" s="34">
        <f>IF($T84=0,0,IF(OR($A84="",COUNTIF($A$4:$A$153,$A84)&gt;1,ISERROR(MATCH($B84,{"Risk","Assumption","Issue","Dependency"},0))),1,IF(INDEX({"R","A","I","X"},MATCH($B84,{"Risk","Assumption","Issue","Dependency"},0))&lt;&gt;LEFT($A84,1),1,0)))</f>
        <v/>
      </c>
      <c r="AD84" s="34">
        <f>IF($T84=0,0,IF(OR(ISERROR(MATCH($J84,{"Raised","Responding","Closed"},0)),ISERROR(MATCH($G84,{"Low","Medium","High"},0)),AND(OR($B84="Risk",$B84="Assumption"),ISERROR(MATCH($H84,{"Low","Medium","High"},0))),AND($Q84&lt;&gt;"",$Q84&lt;&gt;"This log",$Q84&lt;&gt;"Program workbook"),AND($J84&lt;&gt;"Closed",OR($K84&lt;&gt;"",LEN(TRIM($L84))&gt;0))),1,0))</f>
        <v/>
      </c>
      <c r="AE84" s="34">
        <f>IF($T84=0,0,IF(OR(NOT(ISNUMBER($E84)),AND($F84&lt;&gt;"",NOT(ISNUMBER($F84))),AND($K84&lt;&gt;"",NOT(ISNUMBER($K84))),AND($P84&lt;&gt;"",NOT(ISNUMBER($P84)))),1,0))</f>
        <v/>
      </c>
      <c r="AF84" s="34">
        <f>MAX($AC84,$AD84,$AE84)</f>
        <v/>
      </c>
      <c r="AG84" s="34">
        <f>IF($T84=0,0,IFERROR(--MID(TRIM($A84),2,9),0))</f>
        <v/>
      </c>
      <c r="AH84" s="22">
        <f>IFERROR(LEFT(TRIM($D84),SEARCH(" (",TRIM($D84))-1),TRIM($D84))</f>
        <v/>
      </c>
      <c r="AI84" s="34">
        <f>IF(AND($T84=1,$J84="Closed",$G84="High",ISNUMBER($K84)),IF($K84&gt;=Summary!$K$6,1,0),0)</f>
        <v/>
      </c>
      <c r="AJ84" s="34">
        <f>IF($AI84=1,SUM($AI$4:$AI84),0)</f>
        <v/>
      </c>
    </row>
    <row r="85" ht="18" customHeight="1">
      <c r="A85" s="30" t="n"/>
      <c r="B85" s="30" t="n"/>
      <c r="C85" s="31" t="n"/>
      <c r="D85" s="31" t="n"/>
      <c r="E85" s="32" t="n"/>
      <c r="F85" s="32" t="n"/>
      <c r="G85" s="30" t="n"/>
      <c r="H85" s="30" t="n"/>
      <c r="I85" s="31" t="n"/>
      <c r="J85" s="30" t="n"/>
      <c r="K85" s="32" t="n"/>
      <c r="L85" s="31" t="n"/>
      <c r="M85" s="30" t="n"/>
      <c r="N85" s="31" t="n"/>
      <c r="O85" s="31" t="n"/>
      <c r="P85" s="32" t="n"/>
      <c r="Q85" s="30" t="n"/>
      <c r="R85" s="33">
        <f>IF($T85=0,"",IF($AF85=1,"△ The log can't read this line",IF($W85=1,"△ Needs one owner, written as Name (Role)",IF($X85=1,"△ Look-again date missing, passed or too far ahead",IF($Y85=1,"△ No response",IF($Z85=1,"△ Closed without a date or a reason",IF($AA85=1,"△ Needs Provided by and Needed by, and Who answers as Name (Role)",IF($AB85=1,"△ Past its Needed by date","○ Clear"))))))))</f>
        <v/>
      </c>
      <c r="T85" s="34">
        <f>IF(COUNTA($A85:$Q85)&gt;0,1,0)</f>
        <v/>
      </c>
      <c r="U85" s="34">
        <f>IF(AND($T85=1,$J85&lt;&gt;"Closed"),1,0)</f>
        <v/>
      </c>
      <c r="V85" s="34">
        <f>IF(AND($U85=1,$Q85&lt;&gt;"Program workbook"),1,0)</f>
        <v/>
      </c>
      <c r="W85" s="34">
        <f>IF($V85=0,0,IF(OR(ISERROR(SEARCH(" (",$D85)),RIGHT(TRIM($D85),1)&lt;&gt;")",ISNUMBER(SEARCH(",",$AH85)),ISNUMBER(SEARCH("/",$AH85)),ISNUMBER(SEARCH(" and ",$AH85)),ISNUMBER(SEARCH("&amp;",$AH85))),1,0))</f>
        <v/>
      </c>
      <c r="X85" s="34">
        <f>IF($V85=0,0,IF(NOT(ISNUMBER($F85)),1,IF(OR($F85&lt;Summary!$K$4,$F85&gt;Summary!$K$4+Summary!$K$5,AND(ISNUMBER($P85),$F85&gt;$P85)),1,0)))</f>
        <v/>
      </c>
      <c r="Y85" s="34">
        <f>IF(AND($V85=1,OR($B85="Risk",$B85="Issue"),LEN(TRIM($I85))=0),1,0)</f>
        <v/>
      </c>
      <c r="Z85" s="34">
        <f>IF(AND($T85=1,$J85="Closed",OR(NOT(ISNUMBER($K85)),LEN(TRIM($L85))=0)),1,0)</f>
        <v/>
      </c>
      <c r="AA85" s="34">
        <f>IF(AND($U85=1,$B85="Dependency"),IF(OR(LEN(TRIM($N85))=0,NOT(ISNUMBER($P85)),NOT(AND(ISNUMBER(SEARCH(" (",$O85)),RIGHT(TRIM($O85),1)=")"))),1,0),0)</f>
        <v/>
      </c>
      <c r="AB85" s="34">
        <f>IF(AND($V85=1,$B85="Dependency",ISNUMBER($P85)),IF($P85&lt;Summary!$K$4,1,0),0)</f>
        <v/>
      </c>
      <c r="AC85" s="34">
        <f>IF($T85=0,0,IF(OR($A85="",COUNTIF($A$4:$A$153,$A85)&gt;1,ISERROR(MATCH($B85,{"Risk","Assumption","Issue","Dependency"},0))),1,IF(INDEX({"R","A","I","X"},MATCH($B85,{"Risk","Assumption","Issue","Dependency"},0))&lt;&gt;LEFT($A85,1),1,0)))</f>
        <v/>
      </c>
      <c r="AD85" s="34">
        <f>IF($T85=0,0,IF(OR(ISERROR(MATCH($J85,{"Raised","Responding","Closed"},0)),ISERROR(MATCH($G85,{"Low","Medium","High"},0)),AND(OR($B85="Risk",$B85="Assumption"),ISERROR(MATCH($H85,{"Low","Medium","High"},0))),AND($Q85&lt;&gt;"",$Q85&lt;&gt;"This log",$Q85&lt;&gt;"Program workbook"),AND($J85&lt;&gt;"Closed",OR($K85&lt;&gt;"",LEN(TRIM($L85))&gt;0))),1,0))</f>
        <v/>
      </c>
      <c r="AE85" s="34">
        <f>IF($T85=0,0,IF(OR(NOT(ISNUMBER($E85)),AND($F85&lt;&gt;"",NOT(ISNUMBER($F85))),AND($K85&lt;&gt;"",NOT(ISNUMBER($K85))),AND($P85&lt;&gt;"",NOT(ISNUMBER($P85)))),1,0))</f>
        <v/>
      </c>
      <c r="AF85" s="34">
        <f>MAX($AC85,$AD85,$AE85)</f>
        <v/>
      </c>
      <c r="AG85" s="34">
        <f>IF($T85=0,0,IFERROR(--MID(TRIM($A85),2,9),0))</f>
        <v/>
      </c>
      <c r="AH85" s="22">
        <f>IFERROR(LEFT(TRIM($D85),SEARCH(" (",TRIM($D85))-1),TRIM($D85))</f>
        <v/>
      </c>
      <c r="AI85" s="34">
        <f>IF(AND($T85=1,$J85="Closed",$G85="High",ISNUMBER($K85)),IF($K85&gt;=Summary!$K$6,1,0),0)</f>
        <v/>
      </c>
      <c r="AJ85" s="34">
        <f>IF($AI85=1,SUM($AI$4:$AI85),0)</f>
        <v/>
      </c>
    </row>
    <row r="86" ht="18" customHeight="1">
      <c r="A86" s="30" t="n"/>
      <c r="B86" s="30" t="n"/>
      <c r="C86" s="31" t="n"/>
      <c r="D86" s="31" t="n"/>
      <c r="E86" s="32" t="n"/>
      <c r="F86" s="32" t="n"/>
      <c r="G86" s="30" t="n"/>
      <c r="H86" s="30" t="n"/>
      <c r="I86" s="31" t="n"/>
      <c r="J86" s="30" t="n"/>
      <c r="K86" s="32" t="n"/>
      <c r="L86" s="31" t="n"/>
      <c r="M86" s="30" t="n"/>
      <c r="N86" s="31" t="n"/>
      <c r="O86" s="31" t="n"/>
      <c r="P86" s="32" t="n"/>
      <c r="Q86" s="30" t="n"/>
      <c r="R86" s="33">
        <f>IF($T86=0,"",IF($AF86=1,"△ The log can't read this line",IF($W86=1,"△ Needs one owner, written as Name (Role)",IF($X86=1,"△ Look-again date missing, passed or too far ahead",IF($Y86=1,"△ No response",IF($Z86=1,"△ Closed without a date or a reason",IF($AA86=1,"△ Needs Provided by and Needed by, and Who answers as Name (Role)",IF($AB86=1,"△ Past its Needed by date","○ Clear"))))))))</f>
        <v/>
      </c>
      <c r="T86" s="34">
        <f>IF(COUNTA($A86:$Q86)&gt;0,1,0)</f>
        <v/>
      </c>
      <c r="U86" s="34">
        <f>IF(AND($T86=1,$J86&lt;&gt;"Closed"),1,0)</f>
        <v/>
      </c>
      <c r="V86" s="34">
        <f>IF(AND($U86=1,$Q86&lt;&gt;"Program workbook"),1,0)</f>
        <v/>
      </c>
      <c r="W86" s="34">
        <f>IF($V86=0,0,IF(OR(ISERROR(SEARCH(" (",$D86)),RIGHT(TRIM($D86),1)&lt;&gt;")",ISNUMBER(SEARCH(",",$AH86)),ISNUMBER(SEARCH("/",$AH86)),ISNUMBER(SEARCH(" and ",$AH86)),ISNUMBER(SEARCH("&amp;",$AH86))),1,0))</f>
        <v/>
      </c>
      <c r="X86" s="34">
        <f>IF($V86=0,0,IF(NOT(ISNUMBER($F86)),1,IF(OR($F86&lt;Summary!$K$4,$F86&gt;Summary!$K$4+Summary!$K$5,AND(ISNUMBER($P86),$F86&gt;$P86)),1,0)))</f>
        <v/>
      </c>
      <c r="Y86" s="34">
        <f>IF(AND($V86=1,OR($B86="Risk",$B86="Issue"),LEN(TRIM($I86))=0),1,0)</f>
        <v/>
      </c>
      <c r="Z86" s="34">
        <f>IF(AND($T86=1,$J86="Closed",OR(NOT(ISNUMBER($K86)),LEN(TRIM($L86))=0)),1,0)</f>
        <v/>
      </c>
      <c r="AA86" s="34">
        <f>IF(AND($U86=1,$B86="Dependency"),IF(OR(LEN(TRIM($N86))=0,NOT(ISNUMBER($P86)),NOT(AND(ISNUMBER(SEARCH(" (",$O86)),RIGHT(TRIM($O86),1)=")"))),1,0),0)</f>
        <v/>
      </c>
      <c r="AB86" s="34">
        <f>IF(AND($V86=1,$B86="Dependency",ISNUMBER($P86)),IF($P86&lt;Summary!$K$4,1,0),0)</f>
        <v/>
      </c>
      <c r="AC86" s="34">
        <f>IF($T86=0,0,IF(OR($A86="",COUNTIF($A$4:$A$153,$A86)&gt;1,ISERROR(MATCH($B86,{"Risk","Assumption","Issue","Dependency"},0))),1,IF(INDEX({"R","A","I","X"},MATCH($B86,{"Risk","Assumption","Issue","Dependency"},0))&lt;&gt;LEFT($A86,1),1,0)))</f>
        <v/>
      </c>
      <c r="AD86" s="34">
        <f>IF($T86=0,0,IF(OR(ISERROR(MATCH($J86,{"Raised","Responding","Closed"},0)),ISERROR(MATCH($G86,{"Low","Medium","High"},0)),AND(OR($B86="Risk",$B86="Assumption"),ISERROR(MATCH($H86,{"Low","Medium","High"},0))),AND($Q86&lt;&gt;"",$Q86&lt;&gt;"This log",$Q86&lt;&gt;"Program workbook"),AND($J86&lt;&gt;"Closed",OR($K86&lt;&gt;"",LEN(TRIM($L86))&gt;0))),1,0))</f>
        <v/>
      </c>
      <c r="AE86" s="34">
        <f>IF($T86=0,0,IF(OR(NOT(ISNUMBER($E86)),AND($F86&lt;&gt;"",NOT(ISNUMBER($F86))),AND($K86&lt;&gt;"",NOT(ISNUMBER($K86))),AND($P86&lt;&gt;"",NOT(ISNUMBER($P86)))),1,0))</f>
        <v/>
      </c>
      <c r="AF86" s="34">
        <f>MAX($AC86,$AD86,$AE86)</f>
        <v/>
      </c>
      <c r="AG86" s="34">
        <f>IF($T86=0,0,IFERROR(--MID(TRIM($A86),2,9),0))</f>
        <v/>
      </c>
      <c r="AH86" s="22">
        <f>IFERROR(LEFT(TRIM($D86),SEARCH(" (",TRIM($D86))-1),TRIM($D86))</f>
        <v/>
      </c>
      <c r="AI86" s="34">
        <f>IF(AND($T86=1,$J86="Closed",$G86="High",ISNUMBER($K86)),IF($K86&gt;=Summary!$K$6,1,0),0)</f>
        <v/>
      </c>
      <c r="AJ86" s="34">
        <f>IF($AI86=1,SUM($AI$4:$AI86),0)</f>
        <v/>
      </c>
    </row>
    <row r="87" ht="18" customHeight="1">
      <c r="A87" s="30" t="n"/>
      <c r="B87" s="30" t="n"/>
      <c r="C87" s="31" t="n"/>
      <c r="D87" s="31" t="n"/>
      <c r="E87" s="32" t="n"/>
      <c r="F87" s="32" t="n"/>
      <c r="G87" s="30" t="n"/>
      <c r="H87" s="30" t="n"/>
      <c r="I87" s="31" t="n"/>
      <c r="J87" s="30" t="n"/>
      <c r="K87" s="32" t="n"/>
      <c r="L87" s="31" t="n"/>
      <c r="M87" s="30" t="n"/>
      <c r="N87" s="31" t="n"/>
      <c r="O87" s="31" t="n"/>
      <c r="P87" s="32" t="n"/>
      <c r="Q87" s="30" t="n"/>
      <c r="R87" s="33">
        <f>IF($T87=0,"",IF($AF87=1,"△ The log can't read this line",IF($W87=1,"△ Needs one owner, written as Name (Role)",IF($X87=1,"△ Look-again date missing, passed or too far ahead",IF($Y87=1,"△ No response",IF($Z87=1,"△ Closed without a date or a reason",IF($AA87=1,"△ Needs Provided by and Needed by, and Who answers as Name (Role)",IF($AB87=1,"△ Past its Needed by date","○ Clear"))))))))</f>
        <v/>
      </c>
      <c r="T87" s="34">
        <f>IF(COUNTA($A87:$Q87)&gt;0,1,0)</f>
        <v/>
      </c>
      <c r="U87" s="34">
        <f>IF(AND($T87=1,$J87&lt;&gt;"Closed"),1,0)</f>
        <v/>
      </c>
      <c r="V87" s="34">
        <f>IF(AND($U87=1,$Q87&lt;&gt;"Program workbook"),1,0)</f>
        <v/>
      </c>
      <c r="W87" s="34">
        <f>IF($V87=0,0,IF(OR(ISERROR(SEARCH(" (",$D87)),RIGHT(TRIM($D87),1)&lt;&gt;")",ISNUMBER(SEARCH(",",$AH87)),ISNUMBER(SEARCH("/",$AH87)),ISNUMBER(SEARCH(" and ",$AH87)),ISNUMBER(SEARCH("&amp;",$AH87))),1,0))</f>
        <v/>
      </c>
      <c r="X87" s="34">
        <f>IF($V87=0,0,IF(NOT(ISNUMBER($F87)),1,IF(OR($F87&lt;Summary!$K$4,$F87&gt;Summary!$K$4+Summary!$K$5,AND(ISNUMBER($P87),$F87&gt;$P87)),1,0)))</f>
        <v/>
      </c>
      <c r="Y87" s="34">
        <f>IF(AND($V87=1,OR($B87="Risk",$B87="Issue"),LEN(TRIM($I87))=0),1,0)</f>
        <v/>
      </c>
      <c r="Z87" s="34">
        <f>IF(AND($T87=1,$J87="Closed",OR(NOT(ISNUMBER($K87)),LEN(TRIM($L87))=0)),1,0)</f>
        <v/>
      </c>
      <c r="AA87" s="34">
        <f>IF(AND($U87=1,$B87="Dependency"),IF(OR(LEN(TRIM($N87))=0,NOT(ISNUMBER($P87)),NOT(AND(ISNUMBER(SEARCH(" (",$O87)),RIGHT(TRIM($O87),1)=")"))),1,0),0)</f>
        <v/>
      </c>
      <c r="AB87" s="34">
        <f>IF(AND($V87=1,$B87="Dependency",ISNUMBER($P87)),IF($P87&lt;Summary!$K$4,1,0),0)</f>
        <v/>
      </c>
      <c r="AC87" s="34">
        <f>IF($T87=0,0,IF(OR($A87="",COUNTIF($A$4:$A$153,$A87)&gt;1,ISERROR(MATCH($B87,{"Risk","Assumption","Issue","Dependency"},0))),1,IF(INDEX({"R","A","I","X"},MATCH($B87,{"Risk","Assumption","Issue","Dependency"},0))&lt;&gt;LEFT($A87,1),1,0)))</f>
        <v/>
      </c>
      <c r="AD87" s="34">
        <f>IF($T87=0,0,IF(OR(ISERROR(MATCH($J87,{"Raised","Responding","Closed"},0)),ISERROR(MATCH($G87,{"Low","Medium","High"},0)),AND(OR($B87="Risk",$B87="Assumption"),ISERROR(MATCH($H87,{"Low","Medium","High"},0))),AND($Q87&lt;&gt;"",$Q87&lt;&gt;"This log",$Q87&lt;&gt;"Program workbook"),AND($J87&lt;&gt;"Closed",OR($K87&lt;&gt;"",LEN(TRIM($L87))&gt;0))),1,0))</f>
        <v/>
      </c>
      <c r="AE87" s="34">
        <f>IF($T87=0,0,IF(OR(NOT(ISNUMBER($E87)),AND($F87&lt;&gt;"",NOT(ISNUMBER($F87))),AND($K87&lt;&gt;"",NOT(ISNUMBER($K87))),AND($P87&lt;&gt;"",NOT(ISNUMBER($P87)))),1,0))</f>
        <v/>
      </c>
      <c r="AF87" s="34">
        <f>MAX($AC87,$AD87,$AE87)</f>
        <v/>
      </c>
      <c r="AG87" s="34">
        <f>IF($T87=0,0,IFERROR(--MID(TRIM($A87),2,9),0))</f>
        <v/>
      </c>
      <c r="AH87" s="22">
        <f>IFERROR(LEFT(TRIM($D87),SEARCH(" (",TRIM($D87))-1),TRIM($D87))</f>
        <v/>
      </c>
      <c r="AI87" s="34">
        <f>IF(AND($T87=1,$J87="Closed",$G87="High",ISNUMBER($K87)),IF($K87&gt;=Summary!$K$6,1,0),0)</f>
        <v/>
      </c>
      <c r="AJ87" s="34">
        <f>IF($AI87=1,SUM($AI$4:$AI87),0)</f>
        <v/>
      </c>
    </row>
    <row r="88" ht="18" customHeight="1">
      <c r="A88" s="30" t="n"/>
      <c r="B88" s="30" t="n"/>
      <c r="C88" s="31" t="n"/>
      <c r="D88" s="31" t="n"/>
      <c r="E88" s="32" t="n"/>
      <c r="F88" s="32" t="n"/>
      <c r="G88" s="30" t="n"/>
      <c r="H88" s="30" t="n"/>
      <c r="I88" s="31" t="n"/>
      <c r="J88" s="30" t="n"/>
      <c r="K88" s="32" t="n"/>
      <c r="L88" s="31" t="n"/>
      <c r="M88" s="30" t="n"/>
      <c r="N88" s="31" t="n"/>
      <c r="O88" s="31" t="n"/>
      <c r="P88" s="32" t="n"/>
      <c r="Q88" s="30" t="n"/>
      <c r="R88" s="33">
        <f>IF($T88=0,"",IF($AF88=1,"△ The log can't read this line",IF($W88=1,"△ Needs one owner, written as Name (Role)",IF($X88=1,"△ Look-again date missing, passed or too far ahead",IF($Y88=1,"△ No response",IF($Z88=1,"△ Closed without a date or a reason",IF($AA88=1,"△ Needs Provided by and Needed by, and Who answers as Name (Role)",IF($AB88=1,"△ Past its Needed by date","○ Clear"))))))))</f>
        <v/>
      </c>
      <c r="T88" s="34">
        <f>IF(COUNTA($A88:$Q88)&gt;0,1,0)</f>
        <v/>
      </c>
      <c r="U88" s="34">
        <f>IF(AND($T88=1,$J88&lt;&gt;"Closed"),1,0)</f>
        <v/>
      </c>
      <c r="V88" s="34">
        <f>IF(AND($U88=1,$Q88&lt;&gt;"Program workbook"),1,0)</f>
        <v/>
      </c>
      <c r="W88" s="34">
        <f>IF($V88=0,0,IF(OR(ISERROR(SEARCH(" (",$D88)),RIGHT(TRIM($D88),1)&lt;&gt;")",ISNUMBER(SEARCH(",",$AH88)),ISNUMBER(SEARCH("/",$AH88)),ISNUMBER(SEARCH(" and ",$AH88)),ISNUMBER(SEARCH("&amp;",$AH88))),1,0))</f>
        <v/>
      </c>
      <c r="X88" s="34">
        <f>IF($V88=0,0,IF(NOT(ISNUMBER($F88)),1,IF(OR($F88&lt;Summary!$K$4,$F88&gt;Summary!$K$4+Summary!$K$5,AND(ISNUMBER($P88),$F88&gt;$P88)),1,0)))</f>
        <v/>
      </c>
      <c r="Y88" s="34">
        <f>IF(AND($V88=1,OR($B88="Risk",$B88="Issue"),LEN(TRIM($I88))=0),1,0)</f>
        <v/>
      </c>
      <c r="Z88" s="34">
        <f>IF(AND($T88=1,$J88="Closed",OR(NOT(ISNUMBER($K88)),LEN(TRIM($L88))=0)),1,0)</f>
        <v/>
      </c>
      <c r="AA88" s="34">
        <f>IF(AND($U88=1,$B88="Dependency"),IF(OR(LEN(TRIM($N88))=0,NOT(ISNUMBER($P88)),NOT(AND(ISNUMBER(SEARCH(" (",$O88)),RIGHT(TRIM($O88),1)=")"))),1,0),0)</f>
        <v/>
      </c>
      <c r="AB88" s="34">
        <f>IF(AND($V88=1,$B88="Dependency",ISNUMBER($P88)),IF($P88&lt;Summary!$K$4,1,0),0)</f>
        <v/>
      </c>
      <c r="AC88" s="34">
        <f>IF($T88=0,0,IF(OR($A88="",COUNTIF($A$4:$A$153,$A88)&gt;1,ISERROR(MATCH($B88,{"Risk","Assumption","Issue","Dependency"},0))),1,IF(INDEX({"R","A","I","X"},MATCH($B88,{"Risk","Assumption","Issue","Dependency"},0))&lt;&gt;LEFT($A88,1),1,0)))</f>
        <v/>
      </c>
      <c r="AD88" s="34">
        <f>IF($T88=0,0,IF(OR(ISERROR(MATCH($J88,{"Raised","Responding","Closed"},0)),ISERROR(MATCH($G88,{"Low","Medium","High"},0)),AND(OR($B88="Risk",$B88="Assumption"),ISERROR(MATCH($H88,{"Low","Medium","High"},0))),AND($Q88&lt;&gt;"",$Q88&lt;&gt;"This log",$Q88&lt;&gt;"Program workbook"),AND($J88&lt;&gt;"Closed",OR($K88&lt;&gt;"",LEN(TRIM($L88))&gt;0))),1,0))</f>
        <v/>
      </c>
      <c r="AE88" s="34">
        <f>IF($T88=0,0,IF(OR(NOT(ISNUMBER($E88)),AND($F88&lt;&gt;"",NOT(ISNUMBER($F88))),AND($K88&lt;&gt;"",NOT(ISNUMBER($K88))),AND($P88&lt;&gt;"",NOT(ISNUMBER($P88)))),1,0))</f>
        <v/>
      </c>
      <c r="AF88" s="34">
        <f>MAX($AC88,$AD88,$AE88)</f>
        <v/>
      </c>
      <c r="AG88" s="34">
        <f>IF($T88=0,0,IFERROR(--MID(TRIM($A88),2,9),0))</f>
        <v/>
      </c>
      <c r="AH88" s="22">
        <f>IFERROR(LEFT(TRIM($D88),SEARCH(" (",TRIM($D88))-1),TRIM($D88))</f>
        <v/>
      </c>
      <c r="AI88" s="34">
        <f>IF(AND($T88=1,$J88="Closed",$G88="High",ISNUMBER($K88)),IF($K88&gt;=Summary!$K$6,1,0),0)</f>
        <v/>
      </c>
      <c r="AJ88" s="34">
        <f>IF($AI88=1,SUM($AI$4:$AI88),0)</f>
        <v/>
      </c>
    </row>
    <row r="89" ht="18" customHeight="1">
      <c r="A89" s="30" t="n"/>
      <c r="B89" s="30" t="n"/>
      <c r="C89" s="31" t="n"/>
      <c r="D89" s="31" t="n"/>
      <c r="E89" s="32" t="n"/>
      <c r="F89" s="32" t="n"/>
      <c r="G89" s="30" t="n"/>
      <c r="H89" s="30" t="n"/>
      <c r="I89" s="31" t="n"/>
      <c r="J89" s="30" t="n"/>
      <c r="K89" s="32" t="n"/>
      <c r="L89" s="31" t="n"/>
      <c r="M89" s="30" t="n"/>
      <c r="N89" s="31" t="n"/>
      <c r="O89" s="31" t="n"/>
      <c r="P89" s="32" t="n"/>
      <c r="Q89" s="30" t="n"/>
      <c r="R89" s="33">
        <f>IF($T89=0,"",IF($AF89=1,"△ The log can't read this line",IF($W89=1,"△ Needs one owner, written as Name (Role)",IF($X89=1,"△ Look-again date missing, passed or too far ahead",IF($Y89=1,"△ No response",IF($Z89=1,"△ Closed without a date or a reason",IF($AA89=1,"△ Needs Provided by and Needed by, and Who answers as Name (Role)",IF($AB89=1,"△ Past its Needed by date","○ Clear"))))))))</f>
        <v/>
      </c>
      <c r="T89" s="34">
        <f>IF(COUNTA($A89:$Q89)&gt;0,1,0)</f>
        <v/>
      </c>
      <c r="U89" s="34">
        <f>IF(AND($T89=1,$J89&lt;&gt;"Closed"),1,0)</f>
        <v/>
      </c>
      <c r="V89" s="34">
        <f>IF(AND($U89=1,$Q89&lt;&gt;"Program workbook"),1,0)</f>
        <v/>
      </c>
      <c r="W89" s="34">
        <f>IF($V89=0,0,IF(OR(ISERROR(SEARCH(" (",$D89)),RIGHT(TRIM($D89),1)&lt;&gt;")",ISNUMBER(SEARCH(",",$AH89)),ISNUMBER(SEARCH("/",$AH89)),ISNUMBER(SEARCH(" and ",$AH89)),ISNUMBER(SEARCH("&amp;",$AH89))),1,0))</f>
        <v/>
      </c>
      <c r="X89" s="34">
        <f>IF($V89=0,0,IF(NOT(ISNUMBER($F89)),1,IF(OR($F89&lt;Summary!$K$4,$F89&gt;Summary!$K$4+Summary!$K$5,AND(ISNUMBER($P89),$F89&gt;$P89)),1,0)))</f>
        <v/>
      </c>
      <c r="Y89" s="34">
        <f>IF(AND($V89=1,OR($B89="Risk",$B89="Issue"),LEN(TRIM($I89))=0),1,0)</f>
        <v/>
      </c>
      <c r="Z89" s="34">
        <f>IF(AND($T89=1,$J89="Closed",OR(NOT(ISNUMBER($K89)),LEN(TRIM($L89))=0)),1,0)</f>
        <v/>
      </c>
      <c r="AA89" s="34">
        <f>IF(AND($U89=1,$B89="Dependency"),IF(OR(LEN(TRIM($N89))=0,NOT(ISNUMBER($P89)),NOT(AND(ISNUMBER(SEARCH(" (",$O89)),RIGHT(TRIM($O89),1)=")"))),1,0),0)</f>
        <v/>
      </c>
      <c r="AB89" s="34">
        <f>IF(AND($V89=1,$B89="Dependency",ISNUMBER($P89)),IF($P89&lt;Summary!$K$4,1,0),0)</f>
        <v/>
      </c>
      <c r="AC89" s="34">
        <f>IF($T89=0,0,IF(OR($A89="",COUNTIF($A$4:$A$153,$A89)&gt;1,ISERROR(MATCH($B89,{"Risk","Assumption","Issue","Dependency"},0))),1,IF(INDEX({"R","A","I","X"},MATCH($B89,{"Risk","Assumption","Issue","Dependency"},0))&lt;&gt;LEFT($A89,1),1,0)))</f>
        <v/>
      </c>
      <c r="AD89" s="34">
        <f>IF($T89=0,0,IF(OR(ISERROR(MATCH($J89,{"Raised","Responding","Closed"},0)),ISERROR(MATCH($G89,{"Low","Medium","High"},0)),AND(OR($B89="Risk",$B89="Assumption"),ISERROR(MATCH($H89,{"Low","Medium","High"},0))),AND($Q89&lt;&gt;"",$Q89&lt;&gt;"This log",$Q89&lt;&gt;"Program workbook"),AND($J89&lt;&gt;"Closed",OR($K89&lt;&gt;"",LEN(TRIM($L89))&gt;0))),1,0))</f>
        <v/>
      </c>
      <c r="AE89" s="34">
        <f>IF($T89=0,0,IF(OR(NOT(ISNUMBER($E89)),AND($F89&lt;&gt;"",NOT(ISNUMBER($F89))),AND($K89&lt;&gt;"",NOT(ISNUMBER($K89))),AND($P89&lt;&gt;"",NOT(ISNUMBER($P89)))),1,0))</f>
        <v/>
      </c>
      <c r="AF89" s="34">
        <f>MAX($AC89,$AD89,$AE89)</f>
        <v/>
      </c>
      <c r="AG89" s="34">
        <f>IF($T89=0,0,IFERROR(--MID(TRIM($A89),2,9),0))</f>
        <v/>
      </c>
      <c r="AH89" s="22">
        <f>IFERROR(LEFT(TRIM($D89),SEARCH(" (",TRIM($D89))-1),TRIM($D89))</f>
        <v/>
      </c>
      <c r="AI89" s="34">
        <f>IF(AND($T89=1,$J89="Closed",$G89="High",ISNUMBER($K89)),IF($K89&gt;=Summary!$K$6,1,0),0)</f>
        <v/>
      </c>
      <c r="AJ89" s="34">
        <f>IF($AI89=1,SUM($AI$4:$AI89),0)</f>
        <v/>
      </c>
    </row>
    <row r="90" ht="18" customHeight="1">
      <c r="A90" s="30" t="n"/>
      <c r="B90" s="30" t="n"/>
      <c r="C90" s="31" t="n"/>
      <c r="D90" s="31" t="n"/>
      <c r="E90" s="32" t="n"/>
      <c r="F90" s="32" t="n"/>
      <c r="G90" s="30" t="n"/>
      <c r="H90" s="30" t="n"/>
      <c r="I90" s="31" t="n"/>
      <c r="J90" s="30" t="n"/>
      <c r="K90" s="32" t="n"/>
      <c r="L90" s="31" t="n"/>
      <c r="M90" s="30" t="n"/>
      <c r="N90" s="31" t="n"/>
      <c r="O90" s="31" t="n"/>
      <c r="P90" s="32" t="n"/>
      <c r="Q90" s="30" t="n"/>
      <c r="R90" s="33">
        <f>IF($T90=0,"",IF($AF90=1,"△ The log can't read this line",IF($W90=1,"△ Needs one owner, written as Name (Role)",IF($X90=1,"△ Look-again date missing, passed or too far ahead",IF($Y90=1,"△ No response",IF($Z90=1,"△ Closed without a date or a reason",IF($AA90=1,"△ Needs Provided by and Needed by, and Who answers as Name (Role)",IF($AB90=1,"△ Past its Needed by date","○ Clear"))))))))</f>
        <v/>
      </c>
      <c r="T90" s="34">
        <f>IF(COUNTA($A90:$Q90)&gt;0,1,0)</f>
        <v/>
      </c>
      <c r="U90" s="34">
        <f>IF(AND($T90=1,$J90&lt;&gt;"Closed"),1,0)</f>
        <v/>
      </c>
      <c r="V90" s="34">
        <f>IF(AND($U90=1,$Q90&lt;&gt;"Program workbook"),1,0)</f>
        <v/>
      </c>
      <c r="W90" s="34">
        <f>IF($V90=0,0,IF(OR(ISERROR(SEARCH(" (",$D90)),RIGHT(TRIM($D90),1)&lt;&gt;")",ISNUMBER(SEARCH(",",$AH90)),ISNUMBER(SEARCH("/",$AH90)),ISNUMBER(SEARCH(" and ",$AH90)),ISNUMBER(SEARCH("&amp;",$AH90))),1,0))</f>
        <v/>
      </c>
      <c r="X90" s="34">
        <f>IF($V90=0,0,IF(NOT(ISNUMBER($F90)),1,IF(OR($F90&lt;Summary!$K$4,$F90&gt;Summary!$K$4+Summary!$K$5,AND(ISNUMBER($P90),$F90&gt;$P90)),1,0)))</f>
        <v/>
      </c>
      <c r="Y90" s="34">
        <f>IF(AND($V90=1,OR($B90="Risk",$B90="Issue"),LEN(TRIM($I90))=0),1,0)</f>
        <v/>
      </c>
      <c r="Z90" s="34">
        <f>IF(AND($T90=1,$J90="Closed",OR(NOT(ISNUMBER($K90)),LEN(TRIM($L90))=0)),1,0)</f>
        <v/>
      </c>
      <c r="AA90" s="34">
        <f>IF(AND($U90=1,$B90="Dependency"),IF(OR(LEN(TRIM($N90))=0,NOT(ISNUMBER($P90)),NOT(AND(ISNUMBER(SEARCH(" (",$O90)),RIGHT(TRIM($O90),1)=")"))),1,0),0)</f>
        <v/>
      </c>
      <c r="AB90" s="34">
        <f>IF(AND($V90=1,$B90="Dependency",ISNUMBER($P90)),IF($P90&lt;Summary!$K$4,1,0),0)</f>
        <v/>
      </c>
      <c r="AC90" s="34">
        <f>IF($T90=0,0,IF(OR($A90="",COUNTIF($A$4:$A$153,$A90)&gt;1,ISERROR(MATCH($B90,{"Risk","Assumption","Issue","Dependency"},0))),1,IF(INDEX({"R","A","I","X"},MATCH($B90,{"Risk","Assumption","Issue","Dependency"},0))&lt;&gt;LEFT($A90,1),1,0)))</f>
        <v/>
      </c>
      <c r="AD90" s="34">
        <f>IF($T90=0,0,IF(OR(ISERROR(MATCH($J90,{"Raised","Responding","Closed"},0)),ISERROR(MATCH($G90,{"Low","Medium","High"},0)),AND(OR($B90="Risk",$B90="Assumption"),ISERROR(MATCH($H90,{"Low","Medium","High"},0))),AND($Q90&lt;&gt;"",$Q90&lt;&gt;"This log",$Q90&lt;&gt;"Program workbook"),AND($J90&lt;&gt;"Closed",OR($K90&lt;&gt;"",LEN(TRIM($L90))&gt;0))),1,0))</f>
        <v/>
      </c>
      <c r="AE90" s="34">
        <f>IF($T90=0,0,IF(OR(NOT(ISNUMBER($E90)),AND($F90&lt;&gt;"",NOT(ISNUMBER($F90))),AND($K90&lt;&gt;"",NOT(ISNUMBER($K90))),AND($P90&lt;&gt;"",NOT(ISNUMBER($P90)))),1,0))</f>
        <v/>
      </c>
      <c r="AF90" s="34">
        <f>MAX($AC90,$AD90,$AE90)</f>
        <v/>
      </c>
      <c r="AG90" s="34">
        <f>IF($T90=0,0,IFERROR(--MID(TRIM($A90),2,9),0))</f>
        <v/>
      </c>
      <c r="AH90" s="22">
        <f>IFERROR(LEFT(TRIM($D90),SEARCH(" (",TRIM($D90))-1),TRIM($D90))</f>
        <v/>
      </c>
      <c r="AI90" s="34">
        <f>IF(AND($T90=1,$J90="Closed",$G90="High",ISNUMBER($K90)),IF($K90&gt;=Summary!$K$6,1,0),0)</f>
        <v/>
      </c>
      <c r="AJ90" s="34">
        <f>IF($AI90=1,SUM($AI$4:$AI90),0)</f>
        <v/>
      </c>
    </row>
    <row r="91" ht="18" customHeight="1">
      <c r="A91" s="30" t="n"/>
      <c r="B91" s="30" t="n"/>
      <c r="C91" s="31" t="n"/>
      <c r="D91" s="31" t="n"/>
      <c r="E91" s="32" t="n"/>
      <c r="F91" s="32" t="n"/>
      <c r="G91" s="30" t="n"/>
      <c r="H91" s="30" t="n"/>
      <c r="I91" s="31" t="n"/>
      <c r="J91" s="30" t="n"/>
      <c r="K91" s="32" t="n"/>
      <c r="L91" s="31" t="n"/>
      <c r="M91" s="30" t="n"/>
      <c r="N91" s="31" t="n"/>
      <c r="O91" s="31" t="n"/>
      <c r="P91" s="32" t="n"/>
      <c r="Q91" s="30" t="n"/>
      <c r="R91" s="33">
        <f>IF($T91=0,"",IF($AF91=1,"△ The log can't read this line",IF($W91=1,"△ Needs one owner, written as Name (Role)",IF($X91=1,"△ Look-again date missing, passed or too far ahead",IF($Y91=1,"△ No response",IF($Z91=1,"△ Closed without a date or a reason",IF($AA91=1,"△ Needs Provided by and Needed by, and Who answers as Name (Role)",IF($AB91=1,"△ Past its Needed by date","○ Clear"))))))))</f>
        <v/>
      </c>
      <c r="T91" s="34">
        <f>IF(COUNTA($A91:$Q91)&gt;0,1,0)</f>
        <v/>
      </c>
      <c r="U91" s="34">
        <f>IF(AND($T91=1,$J91&lt;&gt;"Closed"),1,0)</f>
        <v/>
      </c>
      <c r="V91" s="34">
        <f>IF(AND($U91=1,$Q91&lt;&gt;"Program workbook"),1,0)</f>
        <v/>
      </c>
      <c r="W91" s="34">
        <f>IF($V91=0,0,IF(OR(ISERROR(SEARCH(" (",$D91)),RIGHT(TRIM($D91),1)&lt;&gt;")",ISNUMBER(SEARCH(",",$AH91)),ISNUMBER(SEARCH("/",$AH91)),ISNUMBER(SEARCH(" and ",$AH91)),ISNUMBER(SEARCH("&amp;",$AH91))),1,0))</f>
        <v/>
      </c>
      <c r="X91" s="34">
        <f>IF($V91=0,0,IF(NOT(ISNUMBER($F91)),1,IF(OR($F91&lt;Summary!$K$4,$F91&gt;Summary!$K$4+Summary!$K$5,AND(ISNUMBER($P91),$F91&gt;$P91)),1,0)))</f>
        <v/>
      </c>
      <c r="Y91" s="34">
        <f>IF(AND($V91=1,OR($B91="Risk",$B91="Issue"),LEN(TRIM($I91))=0),1,0)</f>
        <v/>
      </c>
      <c r="Z91" s="34">
        <f>IF(AND($T91=1,$J91="Closed",OR(NOT(ISNUMBER($K91)),LEN(TRIM($L91))=0)),1,0)</f>
        <v/>
      </c>
      <c r="AA91" s="34">
        <f>IF(AND($U91=1,$B91="Dependency"),IF(OR(LEN(TRIM($N91))=0,NOT(ISNUMBER($P91)),NOT(AND(ISNUMBER(SEARCH(" (",$O91)),RIGHT(TRIM($O91),1)=")"))),1,0),0)</f>
        <v/>
      </c>
      <c r="AB91" s="34">
        <f>IF(AND($V91=1,$B91="Dependency",ISNUMBER($P91)),IF($P91&lt;Summary!$K$4,1,0),0)</f>
        <v/>
      </c>
      <c r="AC91" s="34">
        <f>IF($T91=0,0,IF(OR($A91="",COUNTIF($A$4:$A$153,$A91)&gt;1,ISERROR(MATCH($B91,{"Risk","Assumption","Issue","Dependency"},0))),1,IF(INDEX({"R","A","I","X"},MATCH($B91,{"Risk","Assumption","Issue","Dependency"},0))&lt;&gt;LEFT($A91,1),1,0)))</f>
        <v/>
      </c>
      <c r="AD91" s="34">
        <f>IF($T91=0,0,IF(OR(ISERROR(MATCH($J91,{"Raised","Responding","Closed"},0)),ISERROR(MATCH($G91,{"Low","Medium","High"},0)),AND(OR($B91="Risk",$B91="Assumption"),ISERROR(MATCH($H91,{"Low","Medium","High"},0))),AND($Q91&lt;&gt;"",$Q91&lt;&gt;"This log",$Q91&lt;&gt;"Program workbook"),AND($J91&lt;&gt;"Closed",OR($K91&lt;&gt;"",LEN(TRIM($L91))&gt;0))),1,0))</f>
        <v/>
      </c>
      <c r="AE91" s="34">
        <f>IF($T91=0,0,IF(OR(NOT(ISNUMBER($E91)),AND($F91&lt;&gt;"",NOT(ISNUMBER($F91))),AND($K91&lt;&gt;"",NOT(ISNUMBER($K91))),AND($P91&lt;&gt;"",NOT(ISNUMBER($P91)))),1,0))</f>
        <v/>
      </c>
      <c r="AF91" s="34">
        <f>MAX($AC91,$AD91,$AE91)</f>
        <v/>
      </c>
      <c r="AG91" s="34">
        <f>IF($T91=0,0,IFERROR(--MID(TRIM($A91),2,9),0))</f>
        <v/>
      </c>
      <c r="AH91" s="22">
        <f>IFERROR(LEFT(TRIM($D91),SEARCH(" (",TRIM($D91))-1),TRIM($D91))</f>
        <v/>
      </c>
      <c r="AI91" s="34">
        <f>IF(AND($T91=1,$J91="Closed",$G91="High",ISNUMBER($K91)),IF($K91&gt;=Summary!$K$6,1,0),0)</f>
        <v/>
      </c>
      <c r="AJ91" s="34">
        <f>IF($AI91=1,SUM($AI$4:$AI91),0)</f>
        <v/>
      </c>
    </row>
    <row r="92" ht="18" customHeight="1">
      <c r="A92" s="30" t="n"/>
      <c r="B92" s="30" t="n"/>
      <c r="C92" s="31" t="n"/>
      <c r="D92" s="31" t="n"/>
      <c r="E92" s="32" t="n"/>
      <c r="F92" s="32" t="n"/>
      <c r="G92" s="30" t="n"/>
      <c r="H92" s="30" t="n"/>
      <c r="I92" s="31" t="n"/>
      <c r="J92" s="30" t="n"/>
      <c r="K92" s="32" t="n"/>
      <c r="L92" s="31" t="n"/>
      <c r="M92" s="30" t="n"/>
      <c r="N92" s="31" t="n"/>
      <c r="O92" s="31" t="n"/>
      <c r="P92" s="32" t="n"/>
      <c r="Q92" s="30" t="n"/>
      <c r="R92" s="33">
        <f>IF($T92=0,"",IF($AF92=1,"△ The log can't read this line",IF($W92=1,"△ Needs one owner, written as Name (Role)",IF($X92=1,"△ Look-again date missing, passed or too far ahead",IF($Y92=1,"△ No response",IF($Z92=1,"△ Closed without a date or a reason",IF($AA92=1,"△ Needs Provided by and Needed by, and Who answers as Name (Role)",IF($AB92=1,"△ Past its Needed by date","○ Clear"))))))))</f>
        <v/>
      </c>
      <c r="T92" s="34">
        <f>IF(COUNTA($A92:$Q92)&gt;0,1,0)</f>
        <v/>
      </c>
      <c r="U92" s="34">
        <f>IF(AND($T92=1,$J92&lt;&gt;"Closed"),1,0)</f>
        <v/>
      </c>
      <c r="V92" s="34">
        <f>IF(AND($U92=1,$Q92&lt;&gt;"Program workbook"),1,0)</f>
        <v/>
      </c>
      <c r="W92" s="34">
        <f>IF($V92=0,0,IF(OR(ISERROR(SEARCH(" (",$D92)),RIGHT(TRIM($D92),1)&lt;&gt;")",ISNUMBER(SEARCH(",",$AH92)),ISNUMBER(SEARCH("/",$AH92)),ISNUMBER(SEARCH(" and ",$AH92)),ISNUMBER(SEARCH("&amp;",$AH92))),1,0))</f>
        <v/>
      </c>
      <c r="X92" s="34">
        <f>IF($V92=0,0,IF(NOT(ISNUMBER($F92)),1,IF(OR($F92&lt;Summary!$K$4,$F92&gt;Summary!$K$4+Summary!$K$5,AND(ISNUMBER($P92),$F92&gt;$P92)),1,0)))</f>
        <v/>
      </c>
      <c r="Y92" s="34">
        <f>IF(AND($V92=1,OR($B92="Risk",$B92="Issue"),LEN(TRIM($I92))=0),1,0)</f>
        <v/>
      </c>
      <c r="Z92" s="34">
        <f>IF(AND($T92=1,$J92="Closed",OR(NOT(ISNUMBER($K92)),LEN(TRIM($L92))=0)),1,0)</f>
        <v/>
      </c>
      <c r="AA92" s="34">
        <f>IF(AND($U92=1,$B92="Dependency"),IF(OR(LEN(TRIM($N92))=0,NOT(ISNUMBER($P92)),NOT(AND(ISNUMBER(SEARCH(" (",$O92)),RIGHT(TRIM($O92),1)=")"))),1,0),0)</f>
        <v/>
      </c>
      <c r="AB92" s="34">
        <f>IF(AND($V92=1,$B92="Dependency",ISNUMBER($P92)),IF($P92&lt;Summary!$K$4,1,0),0)</f>
        <v/>
      </c>
      <c r="AC92" s="34">
        <f>IF($T92=0,0,IF(OR($A92="",COUNTIF($A$4:$A$153,$A92)&gt;1,ISERROR(MATCH($B92,{"Risk","Assumption","Issue","Dependency"},0))),1,IF(INDEX({"R","A","I","X"},MATCH($B92,{"Risk","Assumption","Issue","Dependency"},0))&lt;&gt;LEFT($A92,1),1,0)))</f>
        <v/>
      </c>
      <c r="AD92" s="34">
        <f>IF($T92=0,0,IF(OR(ISERROR(MATCH($J92,{"Raised","Responding","Closed"},0)),ISERROR(MATCH($G92,{"Low","Medium","High"},0)),AND(OR($B92="Risk",$B92="Assumption"),ISERROR(MATCH($H92,{"Low","Medium","High"},0))),AND($Q92&lt;&gt;"",$Q92&lt;&gt;"This log",$Q92&lt;&gt;"Program workbook"),AND($J92&lt;&gt;"Closed",OR($K92&lt;&gt;"",LEN(TRIM($L92))&gt;0))),1,0))</f>
        <v/>
      </c>
      <c r="AE92" s="34">
        <f>IF($T92=0,0,IF(OR(NOT(ISNUMBER($E92)),AND($F92&lt;&gt;"",NOT(ISNUMBER($F92))),AND($K92&lt;&gt;"",NOT(ISNUMBER($K92))),AND($P92&lt;&gt;"",NOT(ISNUMBER($P92)))),1,0))</f>
        <v/>
      </c>
      <c r="AF92" s="34">
        <f>MAX($AC92,$AD92,$AE92)</f>
        <v/>
      </c>
      <c r="AG92" s="34">
        <f>IF($T92=0,0,IFERROR(--MID(TRIM($A92),2,9),0))</f>
        <v/>
      </c>
      <c r="AH92" s="22">
        <f>IFERROR(LEFT(TRIM($D92),SEARCH(" (",TRIM($D92))-1),TRIM($D92))</f>
        <v/>
      </c>
      <c r="AI92" s="34">
        <f>IF(AND($T92=1,$J92="Closed",$G92="High",ISNUMBER($K92)),IF($K92&gt;=Summary!$K$6,1,0),0)</f>
        <v/>
      </c>
      <c r="AJ92" s="34">
        <f>IF($AI92=1,SUM($AI$4:$AI92),0)</f>
        <v/>
      </c>
    </row>
    <row r="93" ht="18" customHeight="1">
      <c r="A93" s="30" t="n"/>
      <c r="B93" s="30" t="n"/>
      <c r="C93" s="31" t="n"/>
      <c r="D93" s="31" t="n"/>
      <c r="E93" s="32" t="n"/>
      <c r="F93" s="32" t="n"/>
      <c r="G93" s="30" t="n"/>
      <c r="H93" s="30" t="n"/>
      <c r="I93" s="31" t="n"/>
      <c r="J93" s="30" t="n"/>
      <c r="K93" s="32" t="n"/>
      <c r="L93" s="31" t="n"/>
      <c r="M93" s="30" t="n"/>
      <c r="N93" s="31" t="n"/>
      <c r="O93" s="31" t="n"/>
      <c r="P93" s="32" t="n"/>
      <c r="Q93" s="30" t="n"/>
      <c r="R93" s="33">
        <f>IF($T93=0,"",IF($AF93=1,"△ The log can't read this line",IF($W93=1,"△ Needs one owner, written as Name (Role)",IF($X93=1,"△ Look-again date missing, passed or too far ahead",IF($Y93=1,"△ No response",IF($Z93=1,"△ Closed without a date or a reason",IF($AA93=1,"△ Needs Provided by and Needed by, and Who answers as Name (Role)",IF($AB93=1,"△ Past its Needed by date","○ Clear"))))))))</f>
        <v/>
      </c>
      <c r="T93" s="34">
        <f>IF(COUNTA($A93:$Q93)&gt;0,1,0)</f>
        <v/>
      </c>
      <c r="U93" s="34">
        <f>IF(AND($T93=1,$J93&lt;&gt;"Closed"),1,0)</f>
        <v/>
      </c>
      <c r="V93" s="34">
        <f>IF(AND($U93=1,$Q93&lt;&gt;"Program workbook"),1,0)</f>
        <v/>
      </c>
      <c r="W93" s="34">
        <f>IF($V93=0,0,IF(OR(ISERROR(SEARCH(" (",$D93)),RIGHT(TRIM($D93),1)&lt;&gt;")",ISNUMBER(SEARCH(",",$AH93)),ISNUMBER(SEARCH("/",$AH93)),ISNUMBER(SEARCH(" and ",$AH93)),ISNUMBER(SEARCH("&amp;",$AH93))),1,0))</f>
        <v/>
      </c>
      <c r="X93" s="34">
        <f>IF($V93=0,0,IF(NOT(ISNUMBER($F93)),1,IF(OR($F93&lt;Summary!$K$4,$F93&gt;Summary!$K$4+Summary!$K$5,AND(ISNUMBER($P93),$F93&gt;$P93)),1,0)))</f>
        <v/>
      </c>
      <c r="Y93" s="34">
        <f>IF(AND($V93=1,OR($B93="Risk",$B93="Issue"),LEN(TRIM($I93))=0),1,0)</f>
        <v/>
      </c>
      <c r="Z93" s="34">
        <f>IF(AND($T93=1,$J93="Closed",OR(NOT(ISNUMBER($K93)),LEN(TRIM($L93))=0)),1,0)</f>
        <v/>
      </c>
      <c r="AA93" s="34">
        <f>IF(AND($U93=1,$B93="Dependency"),IF(OR(LEN(TRIM($N93))=0,NOT(ISNUMBER($P93)),NOT(AND(ISNUMBER(SEARCH(" (",$O93)),RIGHT(TRIM($O93),1)=")"))),1,0),0)</f>
        <v/>
      </c>
      <c r="AB93" s="34">
        <f>IF(AND($V93=1,$B93="Dependency",ISNUMBER($P93)),IF($P93&lt;Summary!$K$4,1,0),0)</f>
        <v/>
      </c>
      <c r="AC93" s="34">
        <f>IF($T93=0,0,IF(OR($A93="",COUNTIF($A$4:$A$153,$A93)&gt;1,ISERROR(MATCH($B93,{"Risk","Assumption","Issue","Dependency"},0))),1,IF(INDEX({"R","A","I","X"},MATCH($B93,{"Risk","Assumption","Issue","Dependency"},0))&lt;&gt;LEFT($A93,1),1,0)))</f>
        <v/>
      </c>
      <c r="AD93" s="34">
        <f>IF($T93=0,0,IF(OR(ISERROR(MATCH($J93,{"Raised","Responding","Closed"},0)),ISERROR(MATCH($G93,{"Low","Medium","High"},0)),AND(OR($B93="Risk",$B93="Assumption"),ISERROR(MATCH($H93,{"Low","Medium","High"},0))),AND($Q93&lt;&gt;"",$Q93&lt;&gt;"This log",$Q93&lt;&gt;"Program workbook"),AND($J93&lt;&gt;"Closed",OR($K93&lt;&gt;"",LEN(TRIM($L93))&gt;0))),1,0))</f>
        <v/>
      </c>
      <c r="AE93" s="34">
        <f>IF($T93=0,0,IF(OR(NOT(ISNUMBER($E93)),AND($F93&lt;&gt;"",NOT(ISNUMBER($F93))),AND($K93&lt;&gt;"",NOT(ISNUMBER($K93))),AND($P93&lt;&gt;"",NOT(ISNUMBER($P93)))),1,0))</f>
        <v/>
      </c>
      <c r="AF93" s="34">
        <f>MAX($AC93,$AD93,$AE93)</f>
        <v/>
      </c>
      <c r="AG93" s="34">
        <f>IF($T93=0,0,IFERROR(--MID(TRIM($A93),2,9),0))</f>
        <v/>
      </c>
      <c r="AH93" s="22">
        <f>IFERROR(LEFT(TRIM($D93),SEARCH(" (",TRIM($D93))-1),TRIM($D93))</f>
        <v/>
      </c>
      <c r="AI93" s="34">
        <f>IF(AND($T93=1,$J93="Closed",$G93="High",ISNUMBER($K93)),IF($K93&gt;=Summary!$K$6,1,0),0)</f>
        <v/>
      </c>
      <c r="AJ93" s="34">
        <f>IF($AI93=1,SUM($AI$4:$AI93),0)</f>
        <v/>
      </c>
    </row>
    <row r="94" ht="18" customHeight="1">
      <c r="A94" s="30" t="n"/>
      <c r="B94" s="30" t="n"/>
      <c r="C94" s="31" t="n"/>
      <c r="D94" s="31" t="n"/>
      <c r="E94" s="32" t="n"/>
      <c r="F94" s="32" t="n"/>
      <c r="G94" s="30" t="n"/>
      <c r="H94" s="30" t="n"/>
      <c r="I94" s="31" t="n"/>
      <c r="J94" s="30" t="n"/>
      <c r="K94" s="32" t="n"/>
      <c r="L94" s="31" t="n"/>
      <c r="M94" s="30" t="n"/>
      <c r="N94" s="31" t="n"/>
      <c r="O94" s="31" t="n"/>
      <c r="P94" s="32" t="n"/>
      <c r="Q94" s="30" t="n"/>
      <c r="R94" s="33">
        <f>IF($T94=0,"",IF($AF94=1,"△ The log can't read this line",IF($W94=1,"△ Needs one owner, written as Name (Role)",IF($X94=1,"△ Look-again date missing, passed or too far ahead",IF($Y94=1,"△ No response",IF($Z94=1,"△ Closed without a date or a reason",IF($AA94=1,"△ Needs Provided by and Needed by, and Who answers as Name (Role)",IF($AB94=1,"△ Past its Needed by date","○ Clear"))))))))</f>
        <v/>
      </c>
      <c r="T94" s="34">
        <f>IF(COUNTA($A94:$Q94)&gt;0,1,0)</f>
        <v/>
      </c>
      <c r="U94" s="34">
        <f>IF(AND($T94=1,$J94&lt;&gt;"Closed"),1,0)</f>
        <v/>
      </c>
      <c r="V94" s="34">
        <f>IF(AND($U94=1,$Q94&lt;&gt;"Program workbook"),1,0)</f>
        <v/>
      </c>
      <c r="W94" s="34">
        <f>IF($V94=0,0,IF(OR(ISERROR(SEARCH(" (",$D94)),RIGHT(TRIM($D94),1)&lt;&gt;")",ISNUMBER(SEARCH(",",$AH94)),ISNUMBER(SEARCH("/",$AH94)),ISNUMBER(SEARCH(" and ",$AH94)),ISNUMBER(SEARCH("&amp;",$AH94))),1,0))</f>
        <v/>
      </c>
      <c r="X94" s="34">
        <f>IF($V94=0,0,IF(NOT(ISNUMBER($F94)),1,IF(OR($F94&lt;Summary!$K$4,$F94&gt;Summary!$K$4+Summary!$K$5,AND(ISNUMBER($P94),$F94&gt;$P94)),1,0)))</f>
        <v/>
      </c>
      <c r="Y94" s="34">
        <f>IF(AND($V94=1,OR($B94="Risk",$B94="Issue"),LEN(TRIM($I94))=0),1,0)</f>
        <v/>
      </c>
      <c r="Z94" s="34">
        <f>IF(AND($T94=1,$J94="Closed",OR(NOT(ISNUMBER($K94)),LEN(TRIM($L94))=0)),1,0)</f>
        <v/>
      </c>
      <c r="AA94" s="34">
        <f>IF(AND($U94=1,$B94="Dependency"),IF(OR(LEN(TRIM($N94))=0,NOT(ISNUMBER($P94)),NOT(AND(ISNUMBER(SEARCH(" (",$O94)),RIGHT(TRIM($O94),1)=")"))),1,0),0)</f>
        <v/>
      </c>
      <c r="AB94" s="34">
        <f>IF(AND($V94=1,$B94="Dependency",ISNUMBER($P94)),IF($P94&lt;Summary!$K$4,1,0),0)</f>
        <v/>
      </c>
      <c r="AC94" s="34">
        <f>IF($T94=0,0,IF(OR($A94="",COUNTIF($A$4:$A$153,$A94)&gt;1,ISERROR(MATCH($B94,{"Risk","Assumption","Issue","Dependency"},0))),1,IF(INDEX({"R","A","I","X"},MATCH($B94,{"Risk","Assumption","Issue","Dependency"},0))&lt;&gt;LEFT($A94,1),1,0)))</f>
        <v/>
      </c>
      <c r="AD94" s="34">
        <f>IF($T94=0,0,IF(OR(ISERROR(MATCH($J94,{"Raised","Responding","Closed"},0)),ISERROR(MATCH($G94,{"Low","Medium","High"},0)),AND(OR($B94="Risk",$B94="Assumption"),ISERROR(MATCH($H94,{"Low","Medium","High"},0))),AND($Q94&lt;&gt;"",$Q94&lt;&gt;"This log",$Q94&lt;&gt;"Program workbook"),AND($J94&lt;&gt;"Closed",OR($K94&lt;&gt;"",LEN(TRIM($L94))&gt;0))),1,0))</f>
        <v/>
      </c>
      <c r="AE94" s="34">
        <f>IF($T94=0,0,IF(OR(NOT(ISNUMBER($E94)),AND($F94&lt;&gt;"",NOT(ISNUMBER($F94))),AND($K94&lt;&gt;"",NOT(ISNUMBER($K94))),AND($P94&lt;&gt;"",NOT(ISNUMBER($P94)))),1,0))</f>
        <v/>
      </c>
      <c r="AF94" s="34">
        <f>MAX($AC94,$AD94,$AE94)</f>
        <v/>
      </c>
      <c r="AG94" s="34">
        <f>IF($T94=0,0,IFERROR(--MID(TRIM($A94),2,9),0))</f>
        <v/>
      </c>
      <c r="AH94" s="22">
        <f>IFERROR(LEFT(TRIM($D94),SEARCH(" (",TRIM($D94))-1),TRIM($D94))</f>
        <v/>
      </c>
      <c r="AI94" s="34">
        <f>IF(AND($T94=1,$J94="Closed",$G94="High",ISNUMBER($K94)),IF($K94&gt;=Summary!$K$6,1,0),0)</f>
        <v/>
      </c>
      <c r="AJ94" s="34">
        <f>IF($AI94=1,SUM($AI$4:$AI94),0)</f>
        <v/>
      </c>
    </row>
    <row r="95" ht="18" customHeight="1">
      <c r="A95" s="30" t="n"/>
      <c r="B95" s="30" t="n"/>
      <c r="C95" s="31" t="n"/>
      <c r="D95" s="31" t="n"/>
      <c r="E95" s="32" t="n"/>
      <c r="F95" s="32" t="n"/>
      <c r="G95" s="30" t="n"/>
      <c r="H95" s="30" t="n"/>
      <c r="I95" s="31" t="n"/>
      <c r="J95" s="30" t="n"/>
      <c r="K95" s="32" t="n"/>
      <c r="L95" s="31" t="n"/>
      <c r="M95" s="30" t="n"/>
      <c r="N95" s="31" t="n"/>
      <c r="O95" s="31" t="n"/>
      <c r="P95" s="32" t="n"/>
      <c r="Q95" s="30" t="n"/>
      <c r="R95" s="33">
        <f>IF($T95=0,"",IF($AF95=1,"△ The log can't read this line",IF($W95=1,"△ Needs one owner, written as Name (Role)",IF($X95=1,"△ Look-again date missing, passed or too far ahead",IF($Y95=1,"△ No response",IF($Z95=1,"△ Closed without a date or a reason",IF($AA95=1,"△ Needs Provided by and Needed by, and Who answers as Name (Role)",IF($AB95=1,"△ Past its Needed by date","○ Clear"))))))))</f>
        <v/>
      </c>
      <c r="T95" s="34">
        <f>IF(COUNTA($A95:$Q95)&gt;0,1,0)</f>
        <v/>
      </c>
      <c r="U95" s="34">
        <f>IF(AND($T95=1,$J95&lt;&gt;"Closed"),1,0)</f>
        <v/>
      </c>
      <c r="V95" s="34">
        <f>IF(AND($U95=1,$Q95&lt;&gt;"Program workbook"),1,0)</f>
        <v/>
      </c>
      <c r="W95" s="34">
        <f>IF($V95=0,0,IF(OR(ISERROR(SEARCH(" (",$D95)),RIGHT(TRIM($D95),1)&lt;&gt;")",ISNUMBER(SEARCH(",",$AH95)),ISNUMBER(SEARCH("/",$AH95)),ISNUMBER(SEARCH(" and ",$AH95)),ISNUMBER(SEARCH("&amp;",$AH95))),1,0))</f>
        <v/>
      </c>
      <c r="X95" s="34">
        <f>IF($V95=0,0,IF(NOT(ISNUMBER($F95)),1,IF(OR($F95&lt;Summary!$K$4,$F95&gt;Summary!$K$4+Summary!$K$5,AND(ISNUMBER($P95),$F95&gt;$P95)),1,0)))</f>
        <v/>
      </c>
      <c r="Y95" s="34">
        <f>IF(AND($V95=1,OR($B95="Risk",$B95="Issue"),LEN(TRIM($I95))=0),1,0)</f>
        <v/>
      </c>
      <c r="Z95" s="34">
        <f>IF(AND($T95=1,$J95="Closed",OR(NOT(ISNUMBER($K95)),LEN(TRIM($L95))=0)),1,0)</f>
        <v/>
      </c>
      <c r="AA95" s="34">
        <f>IF(AND($U95=1,$B95="Dependency"),IF(OR(LEN(TRIM($N95))=0,NOT(ISNUMBER($P95)),NOT(AND(ISNUMBER(SEARCH(" (",$O95)),RIGHT(TRIM($O95),1)=")"))),1,0),0)</f>
        <v/>
      </c>
      <c r="AB95" s="34">
        <f>IF(AND($V95=1,$B95="Dependency",ISNUMBER($P95)),IF($P95&lt;Summary!$K$4,1,0),0)</f>
        <v/>
      </c>
      <c r="AC95" s="34">
        <f>IF($T95=0,0,IF(OR($A95="",COUNTIF($A$4:$A$153,$A95)&gt;1,ISERROR(MATCH($B95,{"Risk","Assumption","Issue","Dependency"},0))),1,IF(INDEX({"R","A","I","X"},MATCH($B95,{"Risk","Assumption","Issue","Dependency"},0))&lt;&gt;LEFT($A95,1),1,0)))</f>
        <v/>
      </c>
      <c r="AD95" s="34">
        <f>IF($T95=0,0,IF(OR(ISERROR(MATCH($J95,{"Raised","Responding","Closed"},0)),ISERROR(MATCH($G95,{"Low","Medium","High"},0)),AND(OR($B95="Risk",$B95="Assumption"),ISERROR(MATCH($H95,{"Low","Medium","High"},0))),AND($Q95&lt;&gt;"",$Q95&lt;&gt;"This log",$Q95&lt;&gt;"Program workbook"),AND($J95&lt;&gt;"Closed",OR($K95&lt;&gt;"",LEN(TRIM($L95))&gt;0))),1,0))</f>
        <v/>
      </c>
      <c r="AE95" s="34">
        <f>IF($T95=0,0,IF(OR(NOT(ISNUMBER($E95)),AND($F95&lt;&gt;"",NOT(ISNUMBER($F95))),AND($K95&lt;&gt;"",NOT(ISNUMBER($K95))),AND($P95&lt;&gt;"",NOT(ISNUMBER($P95)))),1,0))</f>
        <v/>
      </c>
      <c r="AF95" s="34">
        <f>MAX($AC95,$AD95,$AE95)</f>
        <v/>
      </c>
      <c r="AG95" s="34">
        <f>IF($T95=0,0,IFERROR(--MID(TRIM($A95),2,9),0))</f>
        <v/>
      </c>
      <c r="AH95" s="22">
        <f>IFERROR(LEFT(TRIM($D95),SEARCH(" (",TRIM($D95))-1),TRIM($D95))</f>
        <v/>
      </c>
      <c r="AI95" s="34">
        <f>IF(AND($T95=1,$J95="Closed",$G95="High",ISNUMBER($K95)),IF($K95&gt;=Summary!$K$6,1,0),0)</f>
        <v/>
      </c>
      <c r="AJ95" s="34">
        <f>IF($AI95=1,SUM($AI$4:$AI95),0)</f>
        <v/>
      </c>
    </row>
    <row r="96" ht="18" customHeight="1">
      <c r="A96" s="30" t="n"/>
      <c r="B96" s="30" t="n"/>
      <c r="C96" s="31" t="n"/>
      <c r="D96" s="31" t="n"/>
      <c r="E96" s="32" t="n"/>
      <c r="F96" s="32" t="n"/>
      <c r="G96" s="30" t="n"/>
      <c r="H96" s="30" t="n"/>
      <c r="I96" s="31" t="n"/>
      <c r="J96" s="30" t="n"/>
      <c r="K96" s="32" t="n"/>
      <c r="L96" s="31" t="n"/>
      <c r="M96" s="30" t="n"/>
      <c r="N96" s="31" t="n"/>
      <c r="O96" s="31" t="n"/>
      <c r="P96" s="32" t="n"/>
      <c r="Q96" s="30" t="n"/>
      <c r="R96" s="33">
        <f>IF($T96=0,"",IF($AF96=1,"△ The log can't read this line",IF($W96=1,"△ Needs one owner, written as Name (Role)",IF($X96=1,"△ Look-again date missing, passed or too far ahead",IF($Y96=1,"△ No response",IF($Z96=1,"△ Closed without a date or a reason",IF($AA96=1,"△ Needs Provided by and Needed by, and Who answers as Name (Role)",IF($AB96=1,"△ Past its Needed by date","○ Clear"))))))))</f>
        <v/>
      </c>
      <c r="T96" s="34">
        <f>IF(COUNTA($A96:$Q96)&gt;0,1,0)</f>
        <v/>
      </c>
      <c r="U96" s="34">
        <f>IF(AND($T96=1,$J96&lt;&gt;"Closed"),1,0)</f>
        <v/>
      </c>
      <c r="V96" s="34">
        <f>IF(AND($U96=1,$Q96&lt;&gt;"Program workbook"),1,0)</f>
        <v/>
      </c>
      <c r="W96" s="34">
        <f>IF($V96=0,0,IF(OR(ISERROR(SEARCH(" (",$D96)),RIGHT(TRIM($D96),1)&lt;&gt;")",ISNUMBER(SEARCH(",",$AH96)),ISNUMBER(SEARCH("/",$AH96)),ISNUMBER(SEARCH(" and ",$AH96)),ISNUMBER(SEARCH("&amp;",$AH96))),1,0))</f>
        <v/>
      </c>
      <c r="X96" s="34">
        <f>IF($V96=0,0,IF(NOT(ISNUMBER($F96)),1,IF(OR($F96&lt;Summary!$K$4,$F96&gt;Summary!$K$4+Summary!$K$5,AND(ISNUMBER($P96),$F96&gt;$P96)),1,0)))</f>
        <v/>
      </c>
      <c r="Y96" s="34">
        <f>IF(AND($V96=1,OR($B96="Risk",$B96="Issue"),LEN(TRIM($I96))=0),1,0)</f>
        <v/>
      </c>
      <c r="Z96" s="34">
        <f>IF(AND($T96=1,$J96="Closed",OR(NOT(ISNUMBER($K96)),LEN(TRIM($L96))=0)),1,0)</f>
        <v/>
      </c>
      <c r="AA96" s="34">
        <f>IF(AND($U96=1,$B96="Dependency"),IF(OR(LEN(TRIM($N96))=0,NOT(ISNUMBER($P96)),NOT(AND(ISNUMBER(SEARCH(" (",$O96)),RIGHT(TRIM($O96),1)=")"))),1,0),0)</f>
        <v/>
      </c>
      <c r="AB96" s="34">
        <f>IF(AND($V96=1,$B96="Dependency",ISNUMBER($P96)),IF($P96&lt;Summary!$K$4,1,0),0)</f>
        <v/>
      </c>
      <c r="AC96" s="34">
        <f>IF($T96=0,0,IF(OR($A96="",COUNTIF($A$4:$A$153,$A96)&gt;1,ISERROR(MATCH($B96,{"Risk","Assumption","Issue","Dependency"},0))),1,IF(INDEX({"R","A","I","X"},MATCH($B96,{"Risk","Assumption","Issue","Dependency"},0))&lt;&gt;LEFT($A96,1),1,0)))</f>
        <v/>
      </c>
      <c r="AD96" s="34">
        <f>IF($T96=0,0,IF(OR(ISERROR(MATCH($J96,{"Raised","Responding","Closed"},0)),ISERROR(MATCH($G96,{"Low","Medium","High"},0)),AND(OR($B96="Risk",$B96="Assumption"),ISERROR(MATCH($H96,{"Low","Medium","High"},0))),AND($Q96&lt;&gt;"",$Q96&lt;&gt;"This log",$Q96&lt;&gt;"Program workbook"),AND($J96&lt;&gt;"Closed",OR($K96&lt;&gt;"",LEN(TRIM($L96))&gt;0))),1,0))</f>
        <v/>
      </c>
      <c r="AE96" s="34">
        <f>IF($T96=0,0,IF(OR(NOT(ISNUMBER($E96)),AND($F96&lt;&gt;"",NOT(ISNUMBER($F96))),AND($K96&lt;&gt;"",NOT(ISNUMBER($K96))),AND($P96&lt;&gt;"",NOT(ISNUMBER($P96)))),1,0))</f>
        <v/>
      </c>
      <c r="AF96" s="34">
        <f>MAX($AC96,$AD96,$AE96)</f>
        <v/>
      </c>
      <c r="AG96" s="34">
        <f>IF($T96=0,0,IFERROR(--MID(TRIM($A96),2,9),0))</f>
        <v/>
      </c>
      <c r="AH96" s="22">
        <f>IFERROR(LEFT(TRIM($D96),SEARCH(" (",TRIM($D96))-1),TRIM($D96))</f>
        <v/>
      </c>
      <c r="AI96" s="34">
        <f>IF(AND($T96=1,$J96="Closed",$G96="High",ISNUMBER($K96)),IF($K96&gt;=Summary!$K$6,1,0),0)</f>
        <v/>
      </c>
      <c r="AJ96" s="34">
        <f>IF($AI96=1,SUM($AI$4:$AI96),0)</f>
        <v/>
      </c>
    </row>
    <row r="97" ht="18" customHeight="1">
      <c r="A97" s="30" t="n"/>
      <c r="B97" s="30" t="n"/>
      <c r="C97" s="31" t="n"/>
      <c r="D97" s="31" t="n"/>
      <c r="E97" s="32" t="n"/>
      <c r="F97" s="32" t="n"/>
      <c r="G97" s="30" t="n"/>
      <c r="H97" s="30" t="n"/>
      <c r="I97" s="31" t="n"/>
      <c r="J97" s="30" t="n"/>
      <c r="K97" s="32" t="n"/>
      <c r="L97" s="31" t="n"/>
      <c r="M97" s="30" t="n"/>
      <c r="N97" s="31" t="n"/>
      <c r="O97" s="31" t="n"/>
      <c r="P97" s="32" t="n"/>
      <c r="Q97" s="30" t="n"/>
      <c r="R97" s="33">
        <f>IF($T97=0,"",IF($AF97=1,"△ The log can't read this line",IF($W97=1,"△ Needs one owner, written as Name (Role)",IF($X97=1,"△ Look-again date missing, passed or too far ahead",IF($Y97=1,"△ No response",IF($Z97=1,"△ Closed without a date or a reason",IF($AA97=1,"△ Needs Provided by and Needed by, and Who answers as Name (Role)",IF($AB97=1,"△ Past its Needed by date","○ Clear"))))))))</f>
        <v/>
      </c>
      <c r="T97" s="34">
        <f>IF(COUNTA($A97:$Q97)&gt;0,1,0)</f>
        <v/>
      </c>
      <c r="U97" s="34">
        <f>IF(AND($T97=1,$J97&lt;&gt;"Closed"),1,0)</f>
        <v/>
      </c>
      <c r="V97" s="34">
        <f>IF(AND($U97=1,$Q97&lt;&gt;"Program workbook"),1,0)</f>
        <v/>
      </c>
      <c r="W97" s="34">
        <f>IF($V97=0,0,IF(OR(ISERROR(SEARCH(" (",$D97)),RIGHT(TRIM($D97),1)&lt;&gt;")",ISNUMBER(SEARCH(",",$AH97)),ISNUMBER(SEARCH("/",$AH97)),ISNUMBER(SEARCH(" and ",$AH97)),ISNUMBER(SEARCH("&amp;",$AH97))),1,0))</f>
        <v/>
      </c>
      <c r="X97" s="34">
        <f>IF($V97=0,0,IF(NOT(ISNUMBER($F97)),1,IF(OR($F97&lt;Summary!$K$4,$F97&gt;Summary!$K$4+Summary!$K$5,AND(ISNUMBER($P97),$F97&gt;$P97)),1,0)))</f>
        <v/>
      </c>
      <c r="Y97" s="34">
        <f>IF(AND($V97=1,OR($B97="Risk",$B97="Issue"),LEN(TRIM($I97))=0),1,0)</f>
        <v/>
      </c>
      <c r="Z97" s="34">
        <f>IF(AND($T97=1,$J97="Closed",OR(NOT(ISNUMBER($K97)),LEN(TRIM($L97))=0)),1,0)</f>
        <v/>
      </c>
      <c r="AA97" s="34">
        <f>IF(AND($U97=1,$B97="Dependency"),IF(OR(LEN(TRIM($N97))=0,NOT(ISNUMBER($P97)),NOT(AND(ISNUMBER(SEARCH(" (",$O97)),RIGHT(TRIM($O97),1)=")"))),1,0),0)</f>
        <v/>
      </c>
      <c r="AB97" s="34">
        <f>IF(AND($V97=1,$B97="Dependency",ISNUMBER($P97)),IF($P97&lt;Summary!$K$4,1,0),0)</f>
        <v/>
      </c>
      <c r="AC97" s="34">
        <f>IF($T97=0,0,IF(OR($A97="",COUNTIF($A$4:$A$153,$A97)&gt;1,ISERROR(MATCH($B97,{"Risk","Assumption","Issue","Dependency"},0))),1,IF(INDEX({"R","A","I","X"},MATCH($B97,{"Risk","Assumption","Issue","Dependency"},0))&lt;&gt;LEFT($A97,1),1,0)))</f>
        <v/>
      </c>
      <c r="AD97" s="34">
        <f>IF($T97=0,0,IF(OR(ISERROR(MATCH($J97,{"Raised","Responding","Closed"},0)),ISERROR(MATCH($G97,{"Low","Medium","High"},0)),AND(OR($B97="Risk",$B97="Assumption"),ISERROR(MATCH($H97,{"Low","Medium","High"},0))),AND($Q97&lt;&gt;"",$Q97&lt;&gt;"This log",$Q97&lt;&gt;"Program workbook"),AND($J97&lt;&gt;"Closed",OR($K97&lt;&gt;"",LEN(TRIM($L97))&gt;0))),1,0))</f>
        <v/>
      </c>
      <c r="AE97" s="34">
        <f>IF($T97=0,0,IF(OR(NOT(ISNUMBER($E97)),AND($F97&lt;&gt;"",NOT(ISNUMBER($F97))),AND($K97&lt;&gt;"",NOT(ISNUMBER($K97))),AND($P97&lt;&gt;"",NOT(ISNUMBER($P97)))),1,0))</f>
        <v/>
      </c>
      <c r="AF97" s="34">
        <f>MAX($AC97,$AD97,$AE97)</f>
        <v/>
      </c>
      <c r="AG97" s="34">
        <f>IF($T97=0,0,IFERROR(--MID(TRIM($A97),2,9),0))</f>
        <v/>
      </c>
      <c r="AH97" s="22">
        <f>IFERROR(LEFT(TRIM($D97),SEARCH(" (",TRIM($D97))-1),TRIM($D97))</f>
        <v/>
      </c>
      <c r="AI97" s="34">
        <f>IF(AND($T97=1,$J97="Closed",$G97="High",ISNUMBER($K97)),IF($K97&gt;=Summary!$K$6,1,0),0)</f>
        <v/>
      </c>
      <c r="AJ97" s="34">
        <f>IF($AI97=1,SUM($AI$4:$AI97),0)</f>
        <v/>
      </c>
    </row>
    <row r="98" ht="18" customHeight="1">
      <c r="A98" s="30" t="n"/>
      <c r="B98" s="30" t="n"/>
      <c r="C98" s="31" t="n"/>
      <c r="D98" s="31" t="n"/>
      <c r="E98" s="32" t="n"/>
      <c r="F98" s="32" t="n"/>
      <c r="G98" s="30" t="n"/>
      <c r="H98" s="30" t="n"/>
      <c r="I98" s="31" t="n"/>
      <c r="J98" s="30" t="n"/>
      <c r="K98" s="32" t="n"/>
      <c r="L98" s="31" t="n"/>
      <c r="M98" s="30" t="n"/>
      <c r="N98" s="31" t="n"/>
      <c r="O98" s="31" t="n"/>
      <c r="P98" s="32" t="n"/>
      <c r="Q98" s="30" t="n"/>
      <c r="R98" s="33">
        <f>IF($T98=0,"",IF($AF98=1,"△ The log can't read this line",IF($W98=1,"△ Needs one owner, written as Name (Role)",IF($X98=1,"△ Look-again date missing, passed or too far ahead",IF($Y98=1,"△ No response",IF($Z98=1,"△ Closed without a date or a reason",IF($AA98=1,"△ Needs Provided by and Needed by, and Who answers as Name (Role)",IF($AB98=1,"△ Past its Needed by date","○ Clear"))))))))</f>
        <v/>
      </c>
      <c r="T98" s="34">
        <f>IF(COUNTA($A98:$Q98)&gt;0,1,0)</f>
        <v/>
      </c>
      <c r="U98" s="34">
        <f>IF(AND($T98=1,$J98&lt;&gt;"Closed"),1,0)</f>
        <v/>
      </c>
      <c r="V98" s="34">
        <f>IF(AND($U98=1,$Q98&lt;&gt;"Program workbook"),1,0)</f>
        <v/>
      </c>
      <c r="W98" s="34">
        <f>IF($V98=0,0,IF(OR(ISERROR(SEARCH(" (",$D98)),RIGHT(TRIM($D98),1)&lt;&gt;")",ISNUMBER(SEARCH(",",$AH98)),ISNUMBER(SEARCH("/",$AH98)),ISNUMBER(SEARCH(" and ",$AH98)),ISNUMBER(SEARCH("&amp;",$AH98))),1,0))</f>
        <v/>
      </c>
      <c r="X98" s="34">
        <f>IF($V98=0,0,IF(NOT(ISNUMBER($F98)),1,IF(OR($F98&lt;Summary!$K$4,$F98&gt;Summary!$K$4+Summary!$K$5,AND(ISNUMBER($P98),$F98&gt;$P98)),1,0)))</f>
        <v/>
      </c>
      <c r="Y98" s="34">
        <f>IF(AND($V98=1,OR($B98="Risk",$B98="Issue"),LEN(TRIM($I98))=0),1,0)</f>
        <v/>
      </c>
      <c r="Z98" s="34">
        <f>IF(AND($T98=1,$J98="Closed",OR(NOT(ISNUMBER($K98)),LEN(TRIM($L98))=0)),1,0)</f>
        <v/>
      </c>
      <c r="AA98" s="34">
        <f>IF(AND($U98=1,$B98="Dependency"),IF(OR(LEN(TRIM($N98))=0,NOT(ISNUMBER($P98)),NOT(AND(ISNUMBER(SEARCH(" (",$O98)),RIGHT(TRIM($O98),1)=")"))),1,0),0)</f>
        <v/>
      </c>
      <c r="AB98" s="34">
        <f>IF(AND($V98=1,$B98="Dependency",ISNUMBER($P98)),IF($P98&lt;Summary!$K$4,1,0),0)</f>
        <v/>
      </c>
      <c r="AC98" s="34">
        <f>IF($T98=0,0,IF(OR($A98="",COUNTIF($A$4:$A$153,$A98)&gt;1,ISERROR(MATCH($B98,{"Risk","Assumption","Issue","Dependency"},0))),1,IF(INDEX({"R","A","I","X"},MATCH($B98,{"Risk","Assumption","Issue","Dependency"},0))&lt;&gt;LEFT($A98,1),1,0)))</f>
        <v/>
      </c>
      <c r="AD98" s="34">
        <f>IF($T98=0,0,IF(OR(ISERROR(MATCH($J98,{"Raised","Responding","Closed"},0)),ISERROR(MATCH($G98,{"Low","Medium","High"},0)),AND(OR($B98="Risk",$B98="Assumption"),ISERROR(MATCH($H98,{"Low","Medium","High"},0))),AND($Q98&lt;&gt;"",$Q98&lt;&gt;"This log",$Q98&lt;&gt;"Program workbook"),AND($J98&lt;&gt;"Closed",OR($K98&lt;&gt;"",LEN(TRIM($L98))&gt;0))),1,0))</f>
        <v/>
      </c>
      <c r="AE98" s="34">
        <f>IF($T98=0,0,IF(OR(NOT(ISNUMBER($E98)),AND($F98&lt;&gt;"",NOT(ISNUMBER($F98))),AND($K98&lt;&gt;"",NOT(ISNUMBER($K98))),AND($P98&lt;&gt;"",NOT(ISNUMBER($P98)))),1,0))</f>
        <v/>
      </c>
      <c r="AF98" s="34">
        <f>MAX($AC98,$AD98,$AE98)</f>
        <v/>
      </c>
      <c r="AG98" s="34">
        <f>IF($T98=0,0,IFERROR(--MID(TRIM($A98),2,9),0))</f>
        <v/>
      </c>
      <c r="AH98" s="22">
        <f>IFERROR(LEFT(TRIM($D98),SEARCH(" (",TRIM($D98))-1),TRIM($D98))</f>
        <v/>
      </c>
      <c r="AI98" s="34">
        <f>IF(AND($T98=1,$J98="Closed",$G98="High",ISNUMBER($K98)),IF($K98&gt;=Summary!$K$6,1,0),0)</f>
        <v/>
      </c>
      <c r="AJ98" s="34">
        <f>IF($AI98=1,SUM($AI$4:$AI98),0)</f>
        <v/>
      </c>
    </row>
    <row r="99" ht="18" customHeight="1">
      <c r="A99" s="30" t="n"/>
      <c r="B99" s="30" t="n"/>
      <c r="C99" s="31" t="n"/>
      <c r="D99" s="31" t="n"/>
      <c r="E99" s="32" t="n"/>
      <c r="F99" s="32" t="n"/>
      <c r="G99" s="30" t="n"/>
      <c r="H99" s="30" t="n"/>
      <c r="I99" s="31" t="n"/>
      <c r="J99" s="30" t="n"/>
      <c r="K99" s="32" t="n"/>
      <c r="L99" s="31" t="n"/>
      <c r="M99" s="30" t="n"/>
      <c r="N99" s="31" t="n"/>
      <c r="O99" s="31" t="n"/>
      <c r="P99" s="32" t="n"/>
      <c r="Q99" s="30" t="n"/>
      <c r="R99" s="33">
        <f>IF($T99=0,"",IF($AF99=1,"△ The log can't read this line",IF($W99=1,"△ Needs one owner, written as Name (Role)",IF($X99=1,"△ Look-again date missing, passed or too far ahead",IF($Y99=1,"△ No response",IF($Z99=1,"△ Closed without a date or a reason",IF($AA99=1,"△ Needs Provided by and Needed by, and Who answers as Name (Role)",IF($AB99=1,"△ Past its Needed by date","○ Clear"))))))))</f>
        <v/>
      </c>
      <c r="T99" s="34">
        <f>IF(COUNTA($A99:$Q99)&gt;0,1,0)</f>
        <v/>
      </c>
      <c r="U99" s="34">
        <f>IF(AND($T99=1,$J99&lt;&gt;"Closed"),1,0)</f>
        <v/>
      </c>
      <c r="V99" s="34">
        <f>IF(AND($U99=1,$Q99&lt;&gt;"Program workbook"),1,0)</f>
        <v/>
      </c>
      <c r="W99" s="34">
        <f>IF($V99=0,0,IF(OR(ISERROR(SEARCH(" (",$D99)),RIGHT(TRIM($D99),1)&lt;&gt;")",ISNUMBER(SEARCH(",",$AH99)),ISNUMBER(SEARCH("/",$AH99)),ISNUMBER(SEARCH(" and ",$AH99)),ISNUMBER(SEARCH("&amp;",$AH99))),1,0))</f>
        <v/>
      </c>
      <c r="X99" s="34">
        <f>IF($V99=0,0,IF(NOT(ISNUMBER($F99)),1,IF(OR($F99&lt;Summary!$K$4,$F99&gt;Summary!$K$4+Summary!$K$5,AND(ISNUMBER($P99),$F99&gt;$P99)),1,0)))</f>
        <v/>
      </c>
      <c r="Y99" s="34">
        <f>IF(AND($V99=1,OR($B99="Risk",$B99="Issue"),LEN(TRIM($I99))=0),1,0)</f>
        <v/>
      </c>
      <c r="Z99" s="34">
        <f>IF(AND($T99=1,$J99="Closed",OR(NOT(ISNUMBER($K99)),LEN(TRIM($L99))=0)),1,0)</f>
        <v/>
      </c>
      <c r="AA99" s="34">
        <f>IF(AND($U99=1,$B99="Dependency"),IF(OR(LEN(TRIM($N99))=0,NOT(ISNUMBER($P99)),NOT(AND(ISNUMBER(SEARCH(" (",$O99)),RIGHT(TRIM($O99),1)=")"))),1,0),0)</f>
        <v/>
      </c>
      <c r="AB99" s="34">
        <f>IF(AND($V99=1,$B99="Dependency",ISNUMBER($P99)),IF($P99&lt;Summary!$K$4,1,0),0)</f>
        <v/>
      </c>
      <c r="AC99" s="34">
        <f>IF($T99=0,0,IF(OR($A99="",COUNTIF($A$4:$A$153,$A99)&gt;1,ISERROR(MATCH($B99,{"Risk","Assumption","Issue","Dependency"},0))),1,IF(INDEX({"R","A","I","X"},MATCH($B99,{"Risk","Assumption","Issue","Dependency"},0))&lt;&gt;LEFT($A99,1),1,0)))</f>
        <v/>
      </c>
      <c r="AD99" s="34">
        <f>IF($T99=0,0,IF(OR(ISERROR(MATCH($J99,{"Raised","Responding","Closed"},0)),ISERROR(MATCH($G99,{"Low","Medium","High"},0)),AND(OR($B99="Risk",$B99="Assumption"),ISERROR(MATCH($H99,{"Low","Medium","High"},0))),AND($Q99&lt;&gt;"",$Q99&lt;&gt;"This log",$Q99&lt;&gt;"Program workbook"),AND($J99&lt;&gt;"Closed",OR($K99&lt;&gt;"",LEN(TRIM($L99))&gt;0))),1,0))</f>
        <v/>
      </c>
      <c r="AE99" s="34">
        <f>IF($T99=0,0,IF(OR(NOT(ISNUMBER($E99)),AND($F99&lt;&gt;"",NOT(ISNUMBER($F99))),AND($K99&lt;&gt;"",NOT(ISNUMBER($K99))),AND($P99&lt;&gt;"",NOT(ISNUMBER($P99)))),1,0))</f>
        <v/>
      </c>
      <c r="AF99" s="34">
        <f>MAX($AC99,$AD99,$AE99)</f>
        <v/>
      </c>
      <c r="AG99" s="34">
        <f>IF($T99=0,0,IFERROR(--MID(TRIM($A99),2,9),0))</f>
        <v/>
      </c>
      <c r="AH99" s="22">
        <f>IFERROR(LEFT(TRIM($D99),SEARCH(" (",TRIM($D99))-1),TRIM($D99))</f>
        <v/>
      </c>
      <c r="AI99" s="34">
        <f>IF(AND($T99=1,$J99="Closed",$G99="High",ISNUMBER($K99)),IF($K99&gt;=Summary!$K$6,1,0),0)</f>
        <v/>
      </c>
      <c r="AJ99" s="34">
        <f>IF($AI99=1,SUM($AI$4:$AI99),0)</f>
        <v/>
      </c>
    </row>
    <row r="100" ht="18" customHeight="1">
      <c r="A100" s="30" t="n"/>
      <c r="B100" s="30" t="n"/>
      <c r="C100" s="31" t="n"/>
      <c r="D100" s="31" t="n"/>
      <c r="E100" s="32" t="n"/>
      <c r="F100" s="32" t="n"/>
      <c r="G100" s="30" t="n"/>
      <c r="H100" s="30" t="n"/>
      <c r="I100" s="31" t="n"/>
      <c r="J100" s="30" t="n"/>
      <c r="K100" s="32" t="n"/>
      <c r="L100" s="31" t="n"/>
      <c r="M100" s="30" t="n"/>
      <c r="N100" s="31" t="n"/>
      <c r="O100" s="31" t="n"/>
      <c r="P100" s="32" t="n"/>
      <c r="Q100" s="30" t="n"/>
      <c r="R100" s="33">
        <f>IF($T100=0,"",IF($AF100=1,"△ The log can't read this line",IF($W100=1,"△ Needs one owner, written as Name (Role)",IF($X100=1,"△ Look-again date missing, passed or too far ahead",IF($Y100=1,"△ No response",IF($Z100=1,"△ Closed without a date or a reason",IF($AA100=1,"△ Needs Provided by and Needed by, and Who answers as Name (Role)",IF($AB100=1,"△ Past its Needed by date","○ Clear"))))))))</f>
        <v/>
      </c>
      <c r="T100" s="34">
        <f>IF(COUNTA($A100:$Q100)&gt;0,1,0)</f>
        <v/>
      </c>
      <c r="U100" s="34">
        <f>IF(AND($T100=1,$J100&lt;&gt;"Closed"),1,0)</f>
        <v/>
      </c>
      <c r="V100" s="34">
        <f>IF(AND($U100=1,$Q100&lt;&gt;"Program workbook"),1,0)</f>
        <v/>
      </c>
      <c r="W100" s="34">
        <f>IF($V100=0,0,IF(OR(ISERROR(SEARCH(" (",$D100)),RIGHT(TRIM($D100),1)&lt;&gt;")",ISNUMBER(SEARCH(",",$AH100)),ISNUMBER(SEARCH("/",$AH100)),ISNUMBER(SEARCH(" and ",$AH100)),ISNUMBER(SEARCH("&amp;",$AH100))),1,0))</f>
        <v/>
      </c>
      <c r="X100" s="34">
        <f>IF($V100=0,0,IF(NOT(ISNUMBER($F100)),1,IF(OR($F100&lt;Summary!$K$4,$F100&gt;Summary!$K$4+Summary!$K$5,AND(ISNUMBER($P100),$F100&gt;$P100)),1,0)))</f>
        <v/>
      </c>
      <c r="Y100" s="34">
        <f>IF(AND($V100=1,OR($B100="Risk",$B100="Issue"),LEN(TRIM($I100))=0),1,0)</f>
        <v/>
      </c>
      <c r="Z100" s="34">
        <f>IF(AND($T100=1,$J100="Closed",OR(NOT(ISNUMBER($K100)),LEN(TRIM($L100))=0)),1,0)</f>
        <v/>
      </c>
      <c r="AA100" s="34">
        <f>IF(AND($U100=1,$B100="Dependency"),IF(OR(LEN(TRIM($N100))=0,NOT(ISNUMBER($P100)),NOT(AND(ISNUMBER(SEARCH(" (",$O100)),RIGHT(TRIM($O100),1)=")"))),1,0),0)</f>
        <v/>
      </c>
      <c r="AB100" s="34">
        <f>IF(AND($V100=1,$B100="Dependency",ISNUMBER($P100)),IF($P100&lt;Summary!$K$4,1,0),0)</f>
        <v/>
      </c>
      <c r="AC100" s="34">
        <f>IF($T100=0,0,IF(OR($A100="",COUNTIF($A$4:$A$153,$A100)&gt;1,ISERROR(MATCH($B100,{"Risk","Assumption","Issue","Dependency"},0))),1,IF(INDEX({"R","A","I","X"},MATCH($B100,{"Risk","Assumption","Issue","Dependency"},0))&lt;&gt;LEFT($A100,1),1,0)))</f>
        <v/>
      </c>
      <c r="AD100" s="34">
        <f>IF($T100=0,0,IF(OR(ISERROR(MATCH($J100,{"Raised","Responding","Closed"},0)),ISERROR(MATCH($G100,{"Low","Medium","High"},0)),AND(OR($B100="Risk",$B100="Assumption"),ISERROR(MATCH($H100,{"Low","Medium","High"},0))),AND($Q100&lt;&gt;"",$Q100&lt;&gt;"This log",$Q100&lt;&gt;"Program workbook"),AND($J100&lt;&gt;"Closed",OR($K100&lt;&gt;"",LEN(TRIM($L100))&gt;0))),1,0))</f>
        <v/>
      </c>
      <c r="AE100" s="34">
        <f>IF($T100=0,0,IF(OR(NOT(ISNUMBER($E100)),AND($F100&lt;&gt;"",NOT(ISNUMBER($F100))),AND($K100&lt;&gt;"",NOT(ISNUMBER($K100))),AND($P100&lt;&gt;"",NOT(ISNUMBER($P100)))),1,0))</f>
        <v/>
      </c>
      <c r="AF100" s="34">
        <f>MAX($AC100,$AD100,$AE100)</f>
        <v/>
      </c>
      <c r="AG100" s="34">
        <f>IF($T100=0,0,IFERROR(--MID(TRIM($A100),2,9),0))</f>
        <v/>
      </c>
      <c r="AH100" s="22">
        <f>IFERROR(LEFT(TRIM($D100),SEARCH(" (",TRIM($D100))-1),TRIM($D100))</f>
        <v/>
      </c>
      <c r="AI100" s="34">
        <f>IF(AND($T100=1,$J100="Closed",$G100="High",ISNUMBER($K100)),IF($K100&gt;=Summary!$K$6,1,0),0)</f>
        <v/>
      </c>
      <c r="AJ100" s="34">
        <f>IF($AI100=1,SUM($AI$4:$AI100),0)</f>
        <v/>
      </c>
    </row>
    <row r="101" ht="18" customHeight="1">
      <c r="A101" s="30" t="n"/>
      <c r="B101" s="30" t="n"/>
      <c r="C101" s="31" t="n"/>
      <c r="D101" s="31" t="n"/>
      <c r="E101" s="32" t="n"/>
      <c r="F101" s="32" t="n"/>
      <c r="G101" s="30" t="n"/>
      <c r="H101" s="30" t="n"/>
      <c r="I101" s="31" t="n"/>
      <c r="J101" s="30" t="n"/>
      <c r="K101" s="32" t="n"/>
      <c r="L101" s="31" t="n"/>
      <c r="M101" s="30" t="n"/>
      <c r="N101" s="31" t="n"/>
      <c r="O101" s="31" t="n"/>
      <c r="P101" s="32" t="n"/>
      <c r="Q101" s="30" t="n"/>
      <c r="R101" s="33">
        <f>IF($T101=0,"",IF($AF101=1,"△ The log can't read this line",IF($W101=1,"△ Needs one owner, written as Name (Role)",IF($X101=1,"△ Look-again date missing, passed or too far ahead",IF($Y101=1,"△ No response",IF($Z101=1,"△ Closed without a date or a reason",IF($AA101=1,"△ Needs Provided by and Needed by, and Who answers as Name (Role)",IF($AB101=1,"△ Past its Needed by date","○ Clear"))))))))</f>
        <v/>
      </c>
      <c r="T101" s="34">
        <f>IF(COUNTA($A101:$Q101)&gt;0,1,0)</f>
        <v/>
      </c>
      <c r="U101" s="34">
        <f>IF(AND($T101=1,$J101&lt;&gt;"Closed"),1,0)</f>
        <v/>
      </c>
      <c r="V101" s="34">
        <f>IF(AND($U101=1,$Q101&lt;&gt;"Program workbook"),1,0)</f>
        <v/>
      </c>
      <c r="W101" s="34">
        <f>IF($V101=0,0,IF(OR(ISERROR(SEARCH(" (",$D101)),RIGHT(TRIM($D101),1)&lt;&gt;")",ISNUMBER(SEARCH(",",$AH101)),ISNUMBER(SEARCH("/",$AH101)),ISNUMBER(SEARCH(" and ",$AH101)),ISNUMBER(SEARCH("&amp;",$AH101))),1,0))</f>
        <v/>
      </c>
      <c r="X101" s="34">
        <f>IF($V101=0,0,IF(NOT(ISNUMBER($F101)),1,IF(OR($F101&lt;Summary!$K$4,$F101&gt;Summary!$K$4+Summary!$K$5,AND(ISNUMBER($P101),$F101&gt;$P101)),1,0)))</f>
        <v/>
      </c>
      <c r="Y101" s="34">
        <f>IF(AND($V101=1,OR($B101="Risk",$B101="Issue"),LEN(TRIM($I101))=0),1,0)</f>
        <v/>
      </c>
      <c r="Z101" s="34">
        <f>IF(AND($T101=1,$J101="Closed",OR(NOT(ISNUMBER($K101)),LEN(TRIM($L101))=0)),1,0)</f>
        <v/>
      </c>
      <c r="AA101" s="34">
        <f>IF(AND($U101=1,$B101="Dependency"),IF(OR(LEN(TRIM($N101))=0,NOT(ISNUMBER($P101)),NOT(AND(ISNUMBER(SEARCH(" (",$O101)),RIGHT(TRIM($O101),1)=")"))),1,0),0)</f>
        <v/>
      </c>
      <c r="AB101" s="34">
        <f>IF(AND($V101=1,$B101="Dependency",ISNUMBER($P101)),IF($P101&lt;Summary!$K$4,1,0),0)</f>
        <v/>
      </c>
      <c r="AC101" s="34">
        <f>IF($T101=0,0,IF(OR($A101="",COUNTIF($A$4:$A$153,$A101)&gt;1,ISERROR(MATCH($B101,{"Risk","Assumption","Issue","Dependency"},0))),1,IF(INDEX({"R","A","I","X"},MATCH($B101,{"Risk","Assumption","Issue","Dependency"},0))&lt;&gt;LEFT($A101,1),1,0)))</f>
        <v/>
      </c>
      <c r="AD101" s="34">
        <f>IF($T101=0,0,IF(OR(ISERROR(MATCH($J101,{"Raised","Responding","Closed"},0)),ISERROR(MATCH($G101,{"Low","Medium","High"},0)),AND(OR($B101="Risk",$B101="Assumption"),ISERROR(MATCH($H101,{"Low","Medium","High"},0))),AND($Q101&lt;&gt;"",$Q101&lt;&gt;"This log",$Q101&lt;&gt;"Program workbook"),AND($J101&lt;&gt;"Closed",OR($K101&lt;&gt;"",LEN(TRIM($L101))&gt;0))),1,0))</f>
        <v/>
      </c>
      <c r="AE101" s="34">
        <f>IF($T101=0,0,IF(OR(NOT(ISNUMBER($E101)),AND($F101&lt;&gt;"",NOT(ISNUMBER($F101))),AND($K101&lt;&gt;"",NOT(ISNUMBER($K101))),AND($P101&lt;&gt;"",NOT(ISNUMBER($P101)))),1,0))</f>
        <v/>
      </c>
      <c r="AF101" s="34">
        <f>MAX($AC101,$AD101,$AE101)</f>
        <v/>
      </c>
      <c r="AG101" s="34">
        <f>IF($T101=0,0,IFERROR(--MID(TRIM($A101),2,9),0))</f>
        <v/>
      </c>
      <c r="AH101" s="22">
        <f>IFERROR(LEFT(TRIM($D101),SEARCH(" (",TRIM($D101))-1),TRIM($D101))</f>
        <v/>
      </c>
      <c r="AI101" s="34">
        <f>IF(AND($T101=1,$J101="Closed",$G101="High",ISNUMBER($K101)),IF($K101&gt;=Summary!$K$6,1,0),0)</f>
        <v/>
      </c>
      <c r="AJ101" s="34">
        <f>IF($AI101=1,SUM($AI$4:$AI101),0)</f>
        <v/>
      </c>
    </row>
    <row r="102" ht="18" customHeight="1">
      <c r="A102" s="30" t="n"/>
      <c r="B102" s="30" t="n"/>
      <c r="C102" s="31" t="n"/>
      <c r="D102" s="31" t="n"/>
      <c r="E102" s="32" t="n"/>
      <c r="F102" s="32" t="n"/>
      <c r="G102" s="30" t="n"/>
      <c r="H102" s="30" t="n"/>
      <c r="I102" s="31" t="n"/>
      <c r="J102" s="30" t="n"/>
      <c r="K102" s="32" t="n"/>
      <c r="L102" s="31" t="n"/>
      <c r="M102" s="30" t="n"/>
      <c r="N102" s="31" t="n"/>
      <c r="O102" s="31" t="n"/>
      <c r="P102" s="32" t="n"/>
      <c r="Q102" s="30" t="n"/>
      <c r="R102" s="33">
        <f>IF($T102=0,"",IF($AF102=1,"△ The log can't read this line",IF($W102=1,"△ Needs one owner, written as Name (Role)",IF($X102=1,"△ Look-again date missing, passed or too far ahead",IF($Y102=1,"△ No response",IF($Z102=1,"△ Closed without a date or a reason",IF($AA102=1,"△ Needs Provided by and Needed by, and Who answers as Name (Role)",IF($AB102=1,"△ Past its Needed by date","○ Clear"))))))))</f>
        <v/>
      </c>
      <c r="T102" s="34">
        <f>IF(COUNTA($A102:$Q102)&gt;0,1,0)</f>
        <v/>
      </c>
      <c r="U102" s="34">
        <f>IF(AND($T102=1,$J102&lt;&gt;"Closed"),1,0)</f>
        <v/>
      </c>
      <c r="V102" s="34">
        <f>IF(AND($U102=1,$Q102&lt;&gt;"Program workbook"),1,0)</f>
        <v/>
      </c>
      <c r="W102" s="34">
        <f>IF($V102=0,0,IF(OR(ISERROR(SEARCH(" (",$D102)),RIGHT(TRIM($D102),1)&lt;&gt;")",ISNUMBER(SEARCH(",",$AH102)),ISNUMBER(SEARCH("/",$AH102)),ISNUMBER(SEARCH(" and ",$AH102)),ISNUMBER(SEARCH("&amp;",$AH102))),1,0))</f>
        <v/>
      </c>
      <c r="X102" s="34">
        <f>IF($V102=0,0,IF(NOT(ISNUMBER($F102)),1,IF(OR($F102&lt;Summary!$K$4,$F102&gt;Summary!$K$4+Summary!$K$5,AND(ISNUMBER($P102),$F102&gt;$P102)),1,0)))</f>
        <v/>
      </c>
      <c r="Y102" s="34">
        <f>IF(AND($V102=1,OR($B102="Risk",$B102="Issue"),LEN(TRIM($I102))=0),1,0)</f>
        <v/>
      </c>
      <c r="Z102" s="34">
        <f>IF(AND($T102=1,$J102="Closed",OR(NOT(ISNUMBER($K102)),LEN(TRIM($L102))=0)),1,0)</f>
        <v/>
      </c>
      <c r="AA102" s="34">
        <f>IF(AND($U102=1,$B102="Dependency"),IF(OR(LEN(TRIM($N102))=0,NOT(ISNUMBER($P102)),NOT(AND(ISNUMBER(SEARCH(" (",$O102)),RIGHT(TRIM($O102),1)=")"))),1,0),0)</f>
        <v/>
      </c>
      <c r="AB102" s="34">
        <f>IF(AND($V102=1,$B102="Dependency",ISNUMBER($P102)),IF($P102&lt;Summary!$K$4,1,0),0)</f>
        <v/>
      </c>
      <c r="AC102" s="34">
        <f>IF($T102=0,0,IF(OR($A102="",COUNTIF($A$4:$A$153,$A102)&gt;1,ISERROR(MATCH($B102,{"Risk","Assumption","Issue","Dependency"},0))),1,IF(INDEX({"R","A","I","X"},MATCH($B102,{"Risk","Assumption","Issue","Dependency"},0))&lt;&gt;LEFT($A102,1),1,0)))</f>
        <v/>
      </c>
      <c r="AD102" s="34">
        <f>IF($T102=0,0,IF(OR(ISERROR(MATCH($J102,{"Raised","Responding","Closed"},0)),ISERROR(MATCH($G102,{"Low","Medium","High"},0)),AND(OR($B102="Risk",$B102="Assumption"),ISERROR(MATCH($H102,{"Low","Medium","High"},0))),AND($Q102&lt;&gt;"",$Q102&lt;&gt;"This log",$Q102&lt;&gt;"Program workbook"),AND($J102&lt;&gt;"Closed",OR($K102&lt;&gt;"",LEN(TRIM($L102))&gt;0))),1,0))</f>
        <v/>
      </c>
      <c r="AE102" s="34">
        <f>IF($T102=0,0,IF(OR(NOT(ISNUMBER($E102)),AND($F102&lt;&gt;"",NOT(ISNUMBER($F102))),AND($K102&lt;&gt;"",NOT(ISNUMBER($K102))),AND($P102&lt;&gt;"",NOT(ISNUMBER($P102)))),1,0))</f>
        <v/>
      </c>
      <c r="AF102" s="34">
        <f>MAX($AC102,$AD102,$AE102)</f>
        <v/>
      </c>
      <c r="AG102" s="34">
        <f>IF($T102=0,0,IFERROR(--MID(TRIM($A102),2,9),0))</f>
        <v/>
      </c>
      <c r="AH102" s="22">
        <f>IFERROR(LEFT(TRIM($D102),SEARCH(" (",TRIM($D102))-1),TRIM($D102))</f>
        <v/>
      </c>
      <c r="AI102" s="34">
        <f>IF(AND($T102=1,$J102="Closed",$G102="High",ISNUMBER($K102)),IF($K102&gt;=Summary!$K$6,1,0),0)</f>
        <v/>
      </c>
      <c r="AJ102" s="34">
        <f>IF($AI102=1,SUM($AI$4:$AI102),0)</f>
        <v/>
      </c>
    </row>
    <row r="103" ht="18" customHeight="1">
      <c r="A103" s="30" t="n"/>
      <c r="B103" s="30" t="n"/>
      <c r="C103" s="31" t="n"/>
      <c r="D103" s="31" t="n"/>
      <c r="E103" s="32" t="n"/>
      <c r="F103" s="32" t="n"/>
      <c r="G103" s="30" t="n"/>
      <c r="H103" s="30" t="n"/>
      <c r="I103" s="31" t="n"/>
      <c r="J103" s="30" t="n"/>
      <c r="K103" s="32" t="n"/>
      <c r="L103" s="31" t="n"/>
      <c r="M103" s="30" t="n"/>
      <c r="N103" s="31" t="n"/>
      <c r="O103" s="31" t="n"/>
      <c r="P103" s="32" t="n"/>
      <c r="Q103" s="30" t="n"/>
      <c r="R103" s="33">
        <f>IF($T103=0,"",IF($AF103=1,"△ The log can't read this line",IF($W103=1,"△ Needs one owner, written as Name (Role)",IF($X103=1,"△ Look-again date missing, passed or too far ahead",IF($Y103=1,"△ No response",IF($Z103=1,"△ Closed without a date or a reason",IF($AA103=1,"△ Needs Provided by and Needed by, and Who answers as Name (Role)",IF($AB103=1,"△ Past its Needed by date","○ Clear"))))))))</f>
        <v/>
      </c>
      <c r="T103" s="34">
        <f>IF(COUNTA($A103:$Q103)&gt;0,1,0)</f>
        <v/>
      </c>
      <c r="U103" s="34">
        <f>IF(AND($T103=1,$J103&lt;&gt;"Closed"),1,0)</f>
        <v/>
      </c>
      <c r="V103" s="34">
        <f>IF(AND($U103=1,$Q103&lt;&gt;"Program workbook"),1,0)</f>
        <v/>
      </c>
      <c r="W103" s="34">
        <f>IF($V103=0,0,IF(OR(ISERROR(SEARCH(" (",$D103)),RIGHT(TRIM($D103),1)&lt;&gt;")",ISNUMBER(SEARCH(",",$AH103)),ISNUMBER(SEARCH("/",$AH103)),ISNUMBER(SEARCH(" and ",$AH103)),ISNUMBER(SEARCH("&amp;",$AH103))),1,0))</f>
        <v/>
      </c>
      <c r="X103" s="34">
        <f>IF($V103=0,0,IF(NOT(ISNUMBER($F103)),1,IF(OR($F103&lt;Summary!$K$4,$F103&gt;Summary!$K$4+Summary!$K$5,AND(ISNUMBER($P103),$F103&gt;$P103)),1,0)))</f>
        <v/>
      </c>
      <c r="Y103" s="34">
        <f>IF(AND($V103=1,OR($B103="Risk",$B103="Issue"),LEN(TRIM($I103))=0),1,0)</f>
        <v/>
      </c>
      <c r="Z103" s="34">
        <f>IF(AND($T103=1,$J103="Closed",OR(NOT(ISNUMBER($K103)),LEN(TRIM($L103))=0)),1,0)</f>
        <v/>
      </c>
      <c r="AA103" s="34">
        <f>IF(AND($U103=1,$B103="Dependency"),IF(OR(LEN(TRIM($N103))=0,NOT(ISNUMBER($P103)),NOT(AND(ISNUMBER(SEARCH(" (",$O103)),RIGHT(TRIM($O103),1)=")"))),1,0),0)</f>
        <v/>
      </c>
      <c r="AB103" s="34">
        <f>IF(AND($V103=1,$B103="Dependency",ISNUMBER($P103)),IF($P103&lt;Summary!$K$4,1,0),0)</f>
        <v/>
      </c>
      <c r="AC103" s="34">
        <f>IF($T103=0,0,IF(OR($A103="",COUNTIF($A$4:$A$153,$A103)&gt;1,ISERROR(MATCH($B103,{"Risk","Assumption","Issue","Dependency"},0))),1,IF(INDEX({"R","A","I","X"},MATCH($B103,{"Risk","Assumption","Issue","Dependency"},0))&lt;&gt;LEFT($A103,1),1,0)))</f>
        <v/>
      </c>
      <c r="AD103" s="34">
        <f>IF($T103=0,0,IF(OR(ISERROR(MATCH($J103,{"Raised","Responding","Closed"},0)),ISERROR(MATCH($G103,{"Low","Medium","High"},0)),AND(OR($B103="Risk",$B103="Assumption"),ISERROR(MATCH($H103,{"Low","Medium","High"},0))),AND($Q103&lt;&gt;"",$Q103&lt;&gt;"This log",$Q103&lt;&gt;"Program workbook"),AND($J103&lt;&gt;"Closed",OR($K103&lt;&gt;"",LEN(TRIM($L103))&gt;0))),1,0))</f>
        <v/>
      </c>
      <c r="AE103" s="34">
        <f>IF($T103=0,0,IF(OR(NOT(ISNUMBER($E103)),AND($F103&lt;&gt;"",NOT(ISNUMBER($F103))),AND($K103&lt;&gt;"",NOT(ISNUMBER($K103))),AND($P103&lt;&gt;"",NOT(ISNUMBER($P103)))),1,0))</f>
        <v/>
      </c>
      <c r="AF103" s="34">
        <f>MAX($AC103,$AD103,$AE103)</f>
        <v/>
      </c>
      <c r="AG103" s="34">
        <f>IF($T103=0,0,IFERROR(--MID(TRIM($A103),2,9),0))</f>
        <v/>
      </c>
      <c r="AH103" s="22">
        <f>IFERROR(LEFT(TRIM($D103),SEARCH(" (",TRIM($D103))-1),TRIM($D103))</f>
        <v/>
      </c>
      <c r="AI103" s="34">
        <f>IF(AND($T103=1,$J103="Closed",$G103="High",ISNUMBER($K103)),IF($K103&gt;=Summary!$K$6,1,0),0)</f>
        <v/>
      </c>
      <c r="AJ103" s="34">
        <f>IF($AI103=1,SUM($AI$4:$AI103),0)</f>
        <v/>
      </c>
    </row>
    <row r="104" ht="18" customHeight="1">
      <c r="A104" s="30" t="n"/>
      <c r="B104" s="30" t="n"/>
      <c r="C104" s="31" t="n"/>
      <c r="D104" s="31" t="n"/>
      <c r="E104" s="32" t="n"/>
      <c r="F104" s="32" t="n"/>
      <c r="G104" s="30" t="n"/>
      <c r="H104" s="30" t="n"/>
      <c r="I104" s="31" t="n"/>
      <c r="J104" s="30" t="n"/>
      <c r="K104" s="32" t="n"/>
      <c r="L104" s="31" t="n"/>
      <c r="M104" s="30" t="n"/>
      <c r="N104" s="31" t="n"/>
      <c r="O104" s="31" t="n"/>
      <c r="P104" s="32" t="n"/>
      <c r="Q104" s="30" t="n"/>
      <c r="R104" s="33">
        <f>IF($T104=0,"",IF($AF104=1,"△ The log can't read this line",IF($W104=1,"△ Needs one owner, written as Name (Role)",IF($X104=1,"△ Look-again date missing, passed or too far ahead",IF($Y104=1,"△ No response",IF($Z104=1,"△ Closed without a date or a reason",IF($AA104=1,"△ Needs Provided by and Needed by, and Who answers as Name (Role)",IF($AB104=1,"△ Past its Needed by date","○ Clear"))))))))</f>
        <v/>
      </c>
      <c r="T104" s="34">
        <f>IF(COUNTA($A104:$Q104)&gt;0,1,0)</f>
        <v/>
      </c>
      <c r="U104" s="34">
        <f>IF(AND($T104=1,$J104&lt;&gt;"Closed"),1,0)</f>
        <v/>
      </c>
      <c r="V104" s="34">
        <f>IF(AND($U104=1,$Q104&lt;&gt;"Program workbook"),1,0)</f>
        <v/>
      </c>
      <c r="W104" s="34">
        <f>IF($V104=0,0,IF(OR(ISERROR(SEARCH(" (",$D104)),RIGHT(TRIM($D104),1)&lt;&gt;")",ISNUMBER(SEARCH(",",$AH104)),ISNUMBER(SEARCH("/",$AH104)),ISNUMBER(SEARCH(" and ",$AH104)),ISNUMBER(SEARCH("&amp;",$AH104))),1,0))</f>
        <v/>
      </c>
      <c r="X104" s="34">
        <f>IF($V104=0,0,IF(NOT(ISNUMBER($F104)),1,IF(OR($F104&lt;Summary!$K$4,$F104&gt;Summary!$K$4+Summary!$K$5,AND(ISNUMBER($P104),$F104&gt;$P104)),1,0)))</f>
        <v/>
      </c>
      <c r="Y104" s="34">
        <f>IF(AND($V104=1,OR($B104="Risk",$B104="Issue"),LEN(TRIM($I104))=0),1,0)</f>
        <v/>
      </c>
      <c r="Z104" s="34">
        <f>IF(AND($T104=1,$J104="Closed",OR(NOT(ISNUMBER($K104)),LEN(TRIM($L104))=0)),1,0)</f>
        <v/>
      </c>
      <c r="AA104" s="34">
        <f>IF(AND($U104=1,$B104="Dependency"),IF(OR(LEN(TRIM($N104))=0,NOT(ISNUMBER($P104)),NOT(AND(ISNUMBER(SEARCH(" (",$O104)),RIGHT(TRIM($O104),1)=")"))),1,0),0)</f>
        <v/>
      </c>
      <c r="AB104" s="34">
        <f>IF(AND($V104=1,$B104="Dependency",ISNUMBER($P104)),IF($P104&lt;Summary!$K$4,1,0),0)</f>
        <v/>
      </c>
      <c r="AC104" s="34">
        <f>IF($T104=0,0,IF(OR($A104="",COUNTIF($A$4:$A$153,$A104)&gt;1,ISERROR(MATCH($B104,{"Risk","Assumption","Issue","Dependency"},0))),1,IF(INDEX({"R","A","I","X"},MATCH($B104,{"Risk","Assumption","Issue","Dependency"},0))&lt;&gt;LEFT($A104,1),1,0)))</f>
        <v/>
      </c>
      <c r="AD104" s="34">
        <f>IF($T104=0,0,IF(OR(ISERROR(MATCH($J104,{"Raised","Responding","Closed"},0)),ISERROR(MATCH($G104,{"Low","Medium","High"},0)),AND(OR($B104="Risk",$B104="Assumption"),ISERROR(MATCH($H104,{"Low","Medium","High"},0))),AND($Q104&lt;&gt;"",$Q104&lt;&gt;"This log",$Q104&lt;&gt;"Program workbook"),AND($J104&lt;&gt;"Closed",OR($K104&lt;&gt;"",LEN(TRIM($L104))&gt;0))),1,0))</f>
        <v/>
      </c>
      <c r="AE104" s="34">
        <f>IF($T104=0,0,IF(OR(NOT(ISNUMBER($E104)),AND($F104&lt;&gt;"",NOT(ISNUMBER($F104))),AND($K104&lt;&gt;"",NOT(ISNUMBER($K104))),AND($P104&lt;&gt;"",NOT(ISNUMBER($P104)))),1,0))</f>
        <v/>
      </c>
      <c r="AF104" s="34">
        <f>MAX($AC104,$AD104,$AE104)</f>
        <v/>
      </c>
      <c r="AG104" s="34">
        <f>IF($T104=0,0,IFERROR(--MID(TRIM($A104),2,9),0))</f>
        <v/>
      </c>
      <c r="AH104" s="22">
        <f>IFERROR(LEFT(TRIM($D104),SEARCH(" (",TRIM($D104))-1),TRIM($D104))</f>
        <v/>
      </c>
      <c r="AI104" s="34">
        <f>IF(AND($T104=1,$J104="Closed",$G104="High",ISNUMBER($K104)),IF($K104&gt;=Summary!$K$6,1,0),0)</f>
        <v/>
      </c>
      <c r="AJ104" s="34">
        <f>IF($AI104=1,SUM($AI$4:$AI104),0)</f>
        <v/>
      </c>
    </row>
    <row r="105" ht="18" customHeight="1">
      <c r="A105" s="30" t="n"/>
      <c r="B105" s="30" t="n"/>
      <c r="C105" s="31" t="n"/>
      <c r="D105" s="31" t="n"/>
      <c r="E105" s="32" t="n"/>
      <c r="F105" s="32" t="n"/>
      <c r="G105" s="30" t="n"/>
      <c r="H105" s="30" t="n"/>
      <c r="I105" s="31" t="n"/>
      <c r="J105" s="30" t="n"/>
      <c r="K105" s="32" t="n"/>
      <c r="L105" s="31" t="n"/>
      <c r="M105" s="30" t="n"/>
      <c r="N105" s="31" t="n"/>
      <c r="O105" s="31" t="n"/>
      <c r="P105" s="32" t="n"/>
      <c r="Q105" s="30" t="n"/>
      <c r="R105" s="33">
        <f>IF($T105=0,"",IF($AF105=1,"△ The log can't read this line",IF($W105=1,"△ Needs one owner, written as Name (Role)",IF($X105=1,"△ Look-again date missing, passed or too far ahead",IF($Y105=1,"△ No response",IF($Z105=1,"△ Closed without a date or a reason",IF($AA105=1,"△ Needs Provided by and Needed by, and Who answers as Name (Role)",IF($AB105=1,"△ Past its Needed by date","○ Clear"))))))))</f>
        <v/>
      </c>
      <c r="T105" s="34">
        <f>IF(COUNTA($A105:$Q105)&gt;0,1,0)</f>
        <v/>
      </c>
      <c r="U105" s="34">
        <f>IF(AND($T105=1,$J105&lt;&gt;"Closed"),1,0)</f>
        <v/>
      </c>
      <c r="V105" s="34">
        <f>IF(AND($U105=1,$Q105&lt;&gt;"Program workbook"),1,0)</f>
        <v/>
      </c>
      <c r="W105" s="34">
        <f>IF($V105=0,0,IF(OR(ISERROR(SEARCH(" (",$D105)),RIGHT(TRIM($D105),1)&lt;&gt;")",ISNUMBER(SEARCH(",",$AH105)),ISNUMBER(SEARCH("/",$AH105)),ISNUMBER(SEARCH(" and ",$AH105)),ISNUMBER(SEARCH("&amp;",$AH105))),1,0))</f>
        <v/>
      </c>
      <c r="X105" s="34">
        <f>IF($V105=0,0,IF(NOT(ISNUMBER($F105)),1,IF(OR($F105&lt;Summary!$K$4,$F105&gt;Summary!$K$4+Summary!$K$5,AND(ISNUMBER($P105),$F105&gt;$P105)),1,0)))</f>
        <v/>
      </c>
      <c r="Y105" s="34">
        <f>IF(AND($V105=1,OR($B105="Risk",$B105="Issue"),LEN(TRIM($I105))=0),1,0)</f>
        <v/>
      </c>
      <c r="Z105" s="34">
        <f>IF(AND($T105=1,$J105="Closed",OR(NOT(ISNUMBER($K105)),LEN(TRIM($L105))=0)),1,0)</f>
        <v/>
      </c>
      <c r="AA105" s="34">
        <f>IF(AND($U105=1,$B105="Dependency"),IF(OR(LEN(TRIM($N105))=0,NOT(ISNUMBER($P105)),NOT(AND(ISNUMBER(SEARCH(" (",$O105)),RIGHT(TRIM($O105),1)=")"))),1,0),0)</f>
        <v/>
      </c>
      <c r="AB105" s="34">
        <f>IF(AND($V105=1,$B105="Dependency",ISNUMBER($P105)),IF($P105&lt;Summary!$K$4,1,0),0)</f>
        <v/>
      </c>
      <c r="AC105" s="34">
        <f>IF($T105=0,0,IF(OR($A105="",COUNTIF($A$4:$A$153,$A105)&gt;1,ISERROR(MATCH($B105,{"Risk","Assumption","Issue","Dependency"},0))),1,IF(INDEX({"R","A","I","X"},MATCH($B105,{"Risk","Assumption","Issue","Dependency"},0))&lt;&gt;LEFT($A105,1),1,0)))</f>
        <v/>
      </c>
      <c r="AD105" s="34">
        <f>IF($T105=0,0,IF(OR(ISERROR(MATCH($J105,{"Raised","Responding","Closed"},0)),ISERROR(MATCH($G105,{"Low","Medium","High"},0)),AND(OR($B105="Risk",$B105="Assumption"),ISERROR(MATCH($H105,{"Low","Medium","High"},0))),AND($Q105&lt;&gt;"",$Q105&lt;&gt;"This log",$Q105&lt;&gt;"Program workbook"),AND($J105&lt;&gt;"Closed",OR($K105&lt;&gt;"",LEN(TRIM($L105))&gt;0))),1,0))</f>
        <v/>
      </c>
      <c r="AE105" s="34">
        <f>IF($T105=0,0,IF(OR(NOT(ISNUMBER($E105)),AND($F105&lt;&gt;"",NOT(ISNUMBER($F105))),AND($K105&lt;&gt;"",NOT(ISNUMBER($K105))),AND($P105&lt;&gt;"",NOT(ISNUMBER($P105)))),1,0))</f>
        <v/>
      </c>
      <c r="AF105" s="34">
        <f>MAX($AC105,$AD105,$AE105)</f>
        <v/>
      </c>
      <c r="AG105" s="34">
        <f>IF($T105=0,0,IFERROR(--MID(TRIM($A105),2,9),0))</f>
        <v/>
      </c>
      <c r="AH105" s="22">
        <f>IFERROR(LEFT(TRIM($D105),SEARCH(" (",TRIM($D105))-1),TRIM($D105))</f>
        <v/>
      </c>
      <c r="AI105" s="34">
        <f>IF(AND($T105=1,$J105="Closed",$G105="High",ISNUMBER($K105)),IF($K105&gt;=Summary!$K$6,1,0),0)</f>
        <v/>
      </c>
      <c r="AJ105" s="34">
        <f>IF($AI105=1,SUM($AI$4:$AI105),0)</f>
        <v/>
      </c>
    </row>
    <row r="106" ht="18" customHeight="1">
      <c r="A106" s="30" t="n"/>
      <c r="B106" s="30" t="n"/>
      <c r="C106" s="31" t="n"/>
      <c r="D106" s="31" t="n"/>
      <c r="E106" s="32" t="n"/>
      <c r="F106" s="32" t="n"/>
      <c r="G106" s="30" t="n"/>
      <c r="H106" s="30" t="n"/>
      <c r="I106" s="31" t="n"/>
      <c r="J106" s="30" t="n"/>
      <c r="K106" s="32" t="n"/>
      <c r="L106" s="31" t="n"/>
      <c r="M106" s="30" t="n"/>
      <c r="N106" s="31" t="n"/>
      <c r="O106" s="31" t="n"/>
      <c r="P106" s="32" t="n"/>
      <c r="Q106" s="30" t="n"/>
      <c r="R106" s="33">
        <f>IF($T106=0,"",IF($AF106=1,"△ The log can't read this line",IF($W106=1,"△ Needs one owner, written as Name (Role)",IF($X106=1,"△ Look-again date missing, passed or too far ahead",IF($Y106=1,"△ No response",IF($Z106=1,"△ Closed without a date or a reason",IF($AA106=1,"△ Needs Provided by and Needed by, and Who answers as Name (Role)",IF($AB106=1,"△ Past its Needed by date","○ Clear"))))))))</f>
        <v/>
      </c>
      <c r="T106" s="34">
        <f>IF(COUNTA($A106:$Q106)&gt;0,1,0)</f>
        <v/>
      </c>
      <c r="U106" s="34">
        <f>IF(AND($T106=1,$J106&lt;&gt;"Closed"),1,0)</f>
        <v/>
      </c>
      <c r="V106" s="34">
        <f>IF(AND($U106=1,$Q106&lt;&gt;"Program workbook"),1,0)</f>
        <v/>
      </c>
      <c r="W106" s="34">
        <f>IF($V106=0,0,IF(OR(ISERROR(SEARCH(" (",$D106)),RIGHT(TRIM($D106),1)&lt;&gt;")",ISNUMBER(SEARCH(",",$AH106)),ISNUMBER(SEARCH("/",$AH106)),ISNUMBER(SEARCH(" and ",$AH106)),ISNUMBER(SEARCH("&amp;",$AH106))),1,0))</f>
        <v/>
      </c>
      <c r="X106" s="34">
        <f>IF($V106=0,0,IF(NOT(ISNUMBER($F106)),1,IF(OR($F106&lt;Summary!$K$4,$F106&gt;Summary!$K$4+Summary!$K$5,AND(ISNUMBER($P106),$F106&gt;$P106)),1,0)))</f>
        <v/>
      </c>
      <c r="Y106" s="34">
        <f>IF(AND($V106=1,OR($B106="Risk",$B106="Issue"),LEN(TRIM($I106))=0),1,0)</f>
        <v/>
      </c>
      <c r="Z106" s="34">
        <f>IF(AND($T106=1,$J106="Closed",OR(NOT(ISNUMBER($K106)),LEN(TRIM($L106))=0)),1,0)</f>
        <v/>
      </c>
      <c r="AA106" s="34">
        <f>IF(AND($U106=1,$B106="Dependency"),IF(OR(LEN(TRIM($N106))=0,NOT(ISNUMBER($P106)),NOT(AND(ISNUMBER(SEARCH(" (",$O106)),RIGHT(TRIM($O106),1)=")"))),1,0),0)</f>
        <v/>
      </c>
      <c r="AB106" s="34">
        <f>IF(AND($V106=1,$B106="Dependency",ISNUMBER($P106)),IF($P106&lt;Summary!$K$4,1,0),0)</f>
        <v/>
      </c>
      <c r="AC106" s="34">
        <f>IF($T106=0,0,IF(OR($A106="",COUNTIF($A$4:$A$153,$A106)&gt;1,ISERROR(MATCH($B106,{"Risk","Assumption","Issue","Dependency"},0))),1,IF(INDEX({"R","A","I","X"},MATCH($B106,{"Risk","Assumption","Issue","Dependency"},0))&lt;&gt;LEFT($A106,1),1,0)))</f>
        <v/>
      </c>
      <c r="AD106" s="34">
        <f>IF($T106=0,0,IF(OR(ISERROR(MATCH($J106,{"Raised","Responding","Closed"},0)),ISERROR(MATCH($G106,{"Low","Medium","High"},0)),AND(OR($B106="Risk",$B106="Assumption"),ISERROR(MATCH($H106,{"Low","Medium","High"},0))),AND($Q106&lt;&gt;"",$Q106&lt;&gt;"This log",$Q106&lt;&gt;"Program workbook"),AND($J106&lt;&gt;"Closed",OR($K106&lt;&gt;"",LEN(TRIM($L106))&gt;0))),1,0))</f>
        <v/>
      </c>
      <c r="AE106" s="34">
        <f>IF($T106=0,0,IF(OR(NOT(ISNUMBER($E106)),AND($F106&lt;&gt;"",NOT(ISNUMBER($F106))),AND($K106&lt;&gt;"",NOT(ISNUMBER($K106))),AND($P106&lt;&gt;"",NOT(ISNUMBER($P106)))),1,0))</f>
        <v/>
      </c>
      <c r="AF106" s="34">
        <f>MAX($AC106,$AD106,$AE106)</f>
        <v/>
      </c>
      <c r="AG106" s="34">
        <f>IF($T106=0,0,IFERROR(--MID(TRIM($A106),2,9),0))</f>
        <v/>
      </c>
      <c r="AH106" s="22">
        <f>IFERROR(LEFT(TRIM($D106),SEARCH(" (",TRIM($D106))-1),TRIM($D106))</f>
        <v/>
      </c>
      <c r="AI106" s="34">
        <f>IF(AND($T106=1,$J106="Closed",$G106="High",ISNUMBER($K106)),IF($K106&gt;=Summary!$K$6,1,0),0)</f>
        <v/>
      </c>
      <c r="AJ106" s="34">
        <f>IF($AI106=1,SUM($AI$4:$AI106),0)</f>
        <v/>
      </c>
    </row>
    <row r="107" ht="18" customHeight="1">
      <c r="A107" s="30" t="n"/>
      <c r="B107" s="30" t="n"/>
      <c r="C107" s="31" t="n"/>
      <c r="D107" s="31" t="n"/>
      <c r="E107" s="32" t="n"/>
      <c r="F107" s="32" t="n"/>
      <c r="G107" s="30" t="n"/>
      <c r="H107" s="30" t="n"/>
      <c r="I107" s="31" t="n"/>
      <c r="J107" s="30" t="n"/>
      <c r="K107" s="32" t="n"/>
      <c r="L107" s="31" t="n"/>
      <c r="M107" s="30" t="n"/>
      <c r="N107" s="31" t="n"/>
      <c r="O107" s="31" t="n"/>
      <c r="P107" s="32" t="n"/>
      <c r="Q107" s="30" t="n"/>
      <c r="R107" s="33">
        <f>IF($T107=0,"",IF($AF107=1,"△ The log can't read this line",IF($W107=1,"△ Needs one owner, written as Name (Role)",IF($X107=1,"△ Look-again date missing, passed or too far ahead",IF($Y107=1,"△ No response",IF($Z107=1,"△ Closed without a date or a reason",IF($AA107=1,"△ Needs Provided by and Needed by, and Who answers as Name (Role)",IF($AB107=1,"△ Past its Needed by date","○ Clear"))))))))</f>
        <v/>
      </c>
      <c r="T107" s="34">
        <f>IF(COUNTA($A107:$Q107)&gt;0,1,0)</f>
        <v/>
      </c>
      <c r="U107" s="34">
        <f>IF(AND($T107=1,$J107&lt;&gt;"Closed"),1,0)</f>
        <v/>
      </c>
      <c r="V107" s="34">
        <f>IF(AND($U107=1,$Q107&lt;&gt;"Program workbook"),1,0)</f>
        <v/>
      </c>
      <c r="W107" s="34">
        <f>IF($V107=0,0,IF(OR(ISERROR(SEARCH(" (",$D107)),RIGHT(TRIM($D107),1)&lt;&gt;")",ISNUMBER(SEARCH(",",$AH107)),ISNUMBER(SEARCH("/",$AH107)),ISNUMBER(SEARCH(" and ",$AH107)),ISNUMBER(SEARCH("&amp;",$AH107))),1,0))</f>
        <v/>
      </c>
      <c r="X107" s="34">
        <f>IF($V107=0,0,IF(NOT(ISNUMBER($F107)),1,IF(OR($F107&lt;Summary!$K$4,$F107&gt;Summary!$K$4+Summary!$K$5,AND(ISNUMBER($P107),$F107&gt;$P107)),1,0)))</f>
        <v/>
      </c>
      <c r="Y107" s="34">
        <f>IF(AND($V107=1,OR($B107="Risk",$B107="Issue"),LEN(TRIM($I107))=0),1,0)</f>
        <v/>
      </c>
      <c r="Z107" s="34">
        <f>IF(AND($T107=1,$J107="Closed",OR(NOT(ISNUMBER($K107)),LEN(TRIM($L107))=0)),1,0)</f>
        <v/>
      </c>
      <c r="AA107" s="34">
        <f>IF(AND($U107=1,$B107="Dependency"),IF(OR(LEN(TRIM($N107))=0,NOT(ISNUMBER($P107)),NOT(AND(ISNUMBER(SEARCH(" (",$O107)),RIGHT(TRIM($O107),1)=")"))),1,0),0)</f>
        <v/>
      </c>
      <c r="AB107" s="34">
        <f>IF(AND($V107=1,$B107="Dependency",ISNUMBER($P107)),IF($P107&lt;Summary!$K$4,1,0),0)</f>
        <v/>
      </c>
      <c r="AC107" s="34">
        <f>IF($T107=0,0,IF(OR($A107="",COUNTIF($A$4:$A$153,$A107)&gt;1,ISERROR(MATCH($B107,{"Risk","Assumption","Issue","Dependency"},0))),1,IF(INDEX({"R","A","I","X"},MATCH($B107,{"Risk","Assumption","Issue","Dependency"},0))&lt;&gt;LEFT($A107,1),1,0)))</f>
        <v/>
      </c>
      <c r="AD107" s="34">
        <f>IF($T107=0,0,IF(OR(ISERROR(MATCH($J107,{"Raised","Responding","Closed"},0)),ISERROR(MATCH($G107,{"Low","Medium","High"},0)),AND(OR($B107="Risk",$B107="Assumption"),ISERROR(MATCH($H107,{"Low","Medium","High"},0))),AND($Q107&lt;&gt;"",$Q107&lt;&gt;"This log",$Q107&lt;&gt;"Program workbook"),AND($J107&lt;&gt;"Closed",OR($K107&lt;&gt;"",LEN(TRIM($L107))&gt;0))),1,0))</f>
        <v/>
      </c>
      <c r="AE107" s="34">
        <f>IF($T107=0,0,IF(OR(NOT(ISNUMBER($E107)),AND($F107&lt;&gt;"",NOT(ISNUMBER($F107))),AND($K107&lt;&gt;"",NOT(ISNUMBER($K107))),AND($P107&lt;&gt;"",NOT(ISNUMBER($P107)))),1,0))</f>
        <v/>
      </c>
      <c r="AF107" s="34">
        <f>MAX($AC107,$AD107,$AE107)</f>
        <v/>
      </c>
      <c r="AG107" s="34">
        <f>IF($T107=0,0,IFERROR(--MID(TRIM($A107),2,9),0))</f>
        <v/>
      </c>
      <c r="AH107" s="22">
        <f>IFERROR(LEFT(TRIM($D107),SEARCH(" (",TRIM($D107))-1),TRIM($D107))</f>
        <v/>
      </c>
      <c r="AI107" s="34">
        <f>IF(AND($T107=1,$J107="Closed",$G107="High",ISNUMBER($K107)),IF($K107&gt;=Summary!$K$6,1,0),0)</f>
        <v/>
      </c>
      <c r="AJ107" s="34">
        <f>IF($AI107=1,SUM($AI$4:$AI107),0)</f>
        <v/>
      </c>
    </row>
    <row r="108" ht="18" customHeight="1">
      <c r="A108" s="30" t="n"/>
      <c r="B108" s="30" t="n"/>
      <c r="C108" s="31" t="n"/>
      <c r="D108" s="31" t="n"/>
      <c r="E108" s="32" t="n"/>
      <c r="F108" s="32" t="n"/>
      <c r="G108" s="30" t="n"/>
      <c r="H108" s="30" t="n"/>
      <c r="I108" s="31" t="n"/>
      <c r="J108" s="30" t="n"/>
      <c r="K108" s="32" t="n"/>
      <c r="L108" s="31" t="n"/>
      <c r="M108" s="30" t="n"/>
      <c r="N108" s="31" t="n"/>
      <c r="O108" s="31" t="n"/>
      <c r="P108" s="32" t="n"/>
      <c r="Q108" s="30" t="n"/>
      <c r="R108" s="33">
        <f>IF($T108=0,"",IF($AF108=1,"△ The log can't read this line",IF($W108=1,"△ Needs one owner, written as Name (Role)",IF($X108=1,"△ Look-again date missing, passed or too far ahead",IF($Y108=1,"△ No response",IF($Z108=1,"△ Closed without a date or a reason",IF($AA108=1,"△ Needs Provided by and Needed by, and Who answers as Name (Role)",IF($AB108=1,"△ Past its Needed by date","○ Clear"))))))))</f>
        <v/>
      </c>
      <c r="T108" s="34">
        <f>IF(COUNTA($A108:$Q108)&gt;0,1,0)</f>
        <v/>
      </c>
      <c r="U108" s="34">
        <f>IF(AND($T108=1,$J108&lt;&gt;"Closed"),1,0)</f>
        <v/>
      </c>
      <c r="V108" s="34">
        <f>IF(AND($U108=1,$Q108&lt;&gt;"Program workbook"),1,0)</f>
        <v/>
      </c>
      <c r="W108" s="34">
        <f>IF($V108=0,0,IF(OR(ISERROR(SEARCH(" (",$D108)),RIGHT(TRIM($D108),1)&lt;&gt;")",ISNUMBER(SEARCH(",",$AH108)),ISNUMBER(SEARCH("/",$AH108)),ISNUMBER(SEARCH(" and ",$AH108)),ISNUMBER(SEARCH("&amp;",$AH108))),1,0))</f>
        <v/>
      </c>
      <c r="X108" s="34">
        <f>IF($V108=0,0,IF(NOT(ISNUMBER($F108)),1,IF(OR($F108&lt;Summary!$K$4,$F108&gt;Summary!$K$4+Summary!$K$5,AND(ISNUMBER($P108),$F108&gt;$P108)),1,0)))</f>
        <v/>
      </c>
      <c r="Y108" s="34">
        <f>IF(AND($V108=1,OR($B108="Risk",$B108="Issue"),LEN(TRIM($I108))=0),1,0)</f>
        <v/>
      </c>
      <c r="Z108" s="34">
        <f>IF(AND($T108=1,$J108="Closed",OR(NOT(ISNUMBER($K108)),LEN(TRIM($L108))=0)),1,0)</f>
        <v/>
      </c>
      <c r="AA108" s="34">
        <f>IF(AND($U108=1,$B108="Dependency"),IF(OR(LEN(TRIM($N108))=0,NOT(ISNUMBER($P108)),NOT(AND(ISNUMBER(SEARCH(" (",$O108)),RIGHT(TRIM($O108),1)=")"))),1,0),0)</f>
        <v/>
      </c>
      <c r="AB108" s="34">
        <f>IF(AND($V108=1,$B108="Dependency",ISNUMBER($P108)),IF($P108&lt;Summary!$K$4,1,0),0)</f>
        <v/>
      </c>
      <c r="AC108" s="34">
        <f>IF($T108=0,0,IF(OR($A108="",COUNTIF($A$4:$A$153,$A108)&gt;1,ISERROR(MATCH($B108,{"Risk","Assumption","Issue","Dependency"},0))),1,IF(INDEX({"R","A","I","X"},MATCH($B108,{"Risk","Assumption","Issue","Dependency"},0))&lt;&gt;LEFT($A108,1),1,0)))</f>
        <v/>
      </c>
      <c r="AD108" s="34">
        <f>IF($T108=0,0,IF(OR(ISERROR(MATCH($J108,{"Raised","Responding","Closed"},0)),ISERROR(MATCH($G108,{"Low","Medium","High"},0)),AND(OR($B108="Risk",$B108="Assumption"),ISERROR(MATCH($H108,{"Low","Medium","High"},0))),AND($Q108&lt;&gt;"",$Q108&lt;&gt;"This log",$Q108&lt;&gt;"Program workbook"),AND($J108&lt;&gt;"Closed",OR($K108&lt;&gt;"",LEN(TRIM($L108))&gt;0))),1,0))</f>
        <v/>
      </c>
      <c r="AE108" s="34">
        <f>IF($T108=0,0,IF(OR(NOT(ISNUMBER($E108)),AND($F108&lt;&gt;"",NOT(ISNUMBER($F108))),AND($K108&lt;&gt;"",NOT(ISNUMBER($K108))),AND($P108&lt;&gt;"",NOT(ISNUMBER($P108)))),1,0))</f>
        <v/>
      </c>
      <c r="AF108" s="34">
        <f>MAX($AC108,$AD108,$AE108)</f>
        <v/>
      </c>
      <c r="AG108" s="34">
        <f>IF($T108=0,0,IFERROR(--MID(TRIM($A108),2,9),0))</f>
        <v/>
      </c>
      <c r="AH108" s="22">
        <f>IFERROR(LEFT(TRIM($D108),SEARCH(" (",TRIM($D108))-1),TRIM($D108))</f>
        <v/>
      </c>
      <c r="AI108" s="34">
        <f>IF(AND($T108=1,$J108="Closed",$G108="High",ISNUMBER($K108)),IF($K108&gt;=Summary!$K$6,1,0),0)</f>
        <v/>
      </c>
      <c r="AJ108" s="34">
        <f>IF($AI108=1,SUM($AI$4:$AI108),0)</f>
        <v/>
      </c>
    </row>
    <row r="109" ht="18" customHeight="1">
      <c r="A109" s="30" t="n"/>
      <c r="B109" s="30" t="n"/>
      <c r="C109" s="31" t="n"/>
      <c r="D109" s="31" t="n"/>
      <c r="E109" s="32" t="n"/>
      <c r="F109" s="32" t="n"/>
      <c r="G109" s="30" t="n"/>
      <c r="H109" s="30" t="n"/>
      <c r="I109" s="31" t="n"/>
      <c r="J109" s="30" t="n"/>
      <c r="K109" s="32" t="n"/>
      <c r="L109" s="31" t="n"/>
      <c r="M109" s="30" t="n"/>
      <c r="N109" s="31" t="n"/>
      <c r="O109" s="31" t="n"/>
      <c r="P109" s="32" t="n"/>
      <c r="Q109" s="30" t="n"/>
      <c r="R109" s="33">
        <f>IF($T109=0,"",IF($AF109=1,"△ The log can't read this line",IF($W109=1,"△ Needs one owner, written as Name (Role)",IF($X109=1,"△ Look-again date missing, passed or too far ahead",IF($Y109=1,"△ No response",IF($Z109=1,"△ Closed without a date or a reason",IF($AA109=1,"△ Needs Provided by and Needed by, and Who answers as Name (Role)",IF($AB109=1,"△ Past its Needed by date","○ Clear"))))))))</f>
        <v/>
      </c>
      <c r="T109" s="34">
        <f>IF(COUNTA($A109:$Q109)&gt;0,1,0)</f>
        <v/>
      </c>
      <c r="U109" s="34">
        <f>IF(AND($T109=1,$J109&lt;&gt;"Closed"),1,0)</f>
        <v/>
      </c>
      <c r="V109" s="34">
        <f>IF(AND($U109=1,$Q109&lt;&gt;"Program workbook"),1,0)</f>
        <v/>
      </c>
      <c r="W109" s="34">
        <f>IF($V109=0,0,IF(OR(ISERROR(SEARCH(" (",$D109)),RIGHT(TRIM($D109),1)&lt;&gt;")",ISNUMBER(SEARCH(",",$AH109)),ISNUMBER(SEARCH("/",$AH109)),ISNUMBER(SEARCH(" and ",$AH109)),ISNUMBER(SEARCH("&amp;",$AH109))),1,0))</f>
        <v/>
      </c>
      <c r="X109" s="34">
        <f>IF($V109=0,0,IF(NOT(ISNUMBER($F109)),1,IF(OR($F109&lt;Summary!$K$4,$F109&gt;Summary!$K$4+Summary!$K$5,AND(ISNUMBER($P109),$F109&gt;$P109)),1,0)))</f>
        <v/>
      </c>
      <c r="Y109" s="34">
        <f>IF(AND($V109=1,OR($B109="Risk",$B109="Issue"),LEN(TRIM($I109))=0),1,0)</f>
        <v/>
      </c>
      <c r="Z109" s="34">
        <f>IF(AND($T109=1,$J109="Closed",OR(NOT(ISNUMBER($K109)),LEN(TRIM($L109))=0)),1,0)</f>
        <v/>
      </c>
      <c r="AA109" s="34">
        <f>IF(AND($U109=1,$B109="Dependency"),IF(OR(LEN(TRIM($N109))=0,NOT(ISNUMBER($P109)),NOT(AND(ISNUMBER(SEARCH(" (",$O109)),RIGHT(TRIM($O109),1)=")"))),1,0),0)</f>
        <v/>
      </c>
      <c r="AB109" s="34">
        <f>IF(AND($V109=1,$B109="Dependency",ISNUMBER($P109)),IF($P109&lt;Summary!$K$4,1,0),0)</f>
        <v/>
      </c>
      <c r="AC109" s="34">
        <f>IF($T109=0,0,IF(OR($A109="",COUNTIF($A$4:$A$153,$A109)&gt;1,ISERROR(MATCH($B109,{"Risk","Assumption","Issue","Dependency"},0))),1,IF(INDEX({"R","A","I","X"},MATCH($B109,{"Risk","Assumption","Issue","Dependency"},0))&lt;&gt;LEFT($A109,1),1,0)))</f>
        <v/>
      </c>
      <c r="AD109" s="34">
        <f>IF($T109=0,0,IF(OR(ISERROR(MATCH($J109,{"Raised","Responding","Closed"},0)),ISERROR(MATCH($G109,{"Low","Medium","High"},0)),AND(OR($B109="Risk",$B109="Assumption"),ISERROR(MATCH($H109,{"Low","Medium","High"},0))),AND($Q109&lt;&gt;"",$Q109&lt;&gt;"This log",$Q109&lt;&gt;"Program workbook"),AND($J109&lt;&gt;"Closed",OR($K109&lt;&gt;"",LEN(TRIM($L109))&gt;0))),1,0))</f>
        <v/>
      </c>
      <c r="AE109" s="34">
        <f>IF($T109=0,0,IF(OR(NOT(ISNUMBER($E109)),AND($F109&lt;&gt;"",NOT(ISNUMBER($F109))),AND($K109&lt;&gt;"",NOT(ISNUMBER($K109))),AND($P109&lt;&gt;"",NOT(ISNUMBER($P109)))),1,0))</f>
        <v/>
      </c>
      <c r="AF109" s="34">
        <f>MAX($AC109,$AD109,$AE109)</f>
        <v/>
      </c>
      <c r="AG109" s="34">
        <f>IF($T109=0,0,IFERROR(--MID(TRIM($A109),2,9),0))</f>
        <v/>
      </c>
      <c r="AH109" s="22">
        <f>IFERROR(LEFT(TRIM($D109),SEARCH(" (",TRIM($D109))-1),TRIM($D109))</f>
        <v/>
      </c>
      <c r="AI109" s="34">
        <f>IF(AND($T109=1,$J109="Closed",$G109="High",ISNUMBER($K109)),IF($K109&gt;=Summary!$K$6,1,0),0)</f>
        <v/>
      </c>
      <c r="AJ109" s="34">
        <f>IF($AI109=1,SUM($AI$4:$AI109),0)</f>
        <v/>
      </c>
    </row>
    <row r="110" ht="18" customHeight="1">
      <c r="A110" s="30" t="n"/>
      <c r="B110" s="30" t="n"/>
      <c r="C110" s="31" t="n"/>
      <c r="D110" s="31" t="n"/>
      <c r="E110" s="32" t="n"/>
      <c r="F110" s="32" t="n"/>
      <c r="G110" s="30" t="n"/>
      <c r="H110" s="30" t="n"/>
      <c r="I110" s="31" t="n"/>
      <c r="J110" s="30" t="n"/>
      <c r="K110" s="32" t="n"/>
      <c r="L110" s="31" t="n"/>
      <c r="M110" s="30" t="n"/>
      <c r="N110" s="31" t="n"/>
      <c r="O110" s="31" t="n"/>
      <c r="P110" s="32" t="n"/>
      <c r="Q110" s="30" t="n"/>
      <c r="R110" s="33">
        <f>IF($T110=0,"",IF($AF110=1,"△ The log can't read this line",IF($W110=1,"△ Needs one owner, written as Name (Role)",IF($X110=1,"△ Look-again date missing, passed or too far ahead",IF($Y110=1,"△ No response",IF($Z110=1,"△ Closed without a date or a reason",IF($AA110=1,"△ Needs Provided by and Needed by, and Who answers as Name (Role)",IF($AB110=1,"△ Past its Needed by date","○ Clear"))))))))</f>
        <v/>
      </c>
      <c r="T110" s="34">
        <f>IF(COUNTA($A110:$Q110)&gt;0,1,0)</f>
        <v/>
      </c>
      <c r="U110" s="34">
        <f>IF(AND($T110=1,$J110&lt;&gt;"Closed"),1,0)</f>
        <v/>
      </c>
      <c r="V110" s="34">
        <f>IF(AND($U110=1,$Q110&lt;&gt;"Program workbook"),1,0)</f>
        <v/>
      </c>
      <c r="W110" s="34">
        <f>IF($V110=0,0,IF(OR(ISERROR(SEARCH(" (",$D110)),RIGHT(TRIM($D110),1)&lt;&gt;")",ISNUMBER(SEARCH(",",$AH110)),ISNUMBER(SEARCH("/",$AH110)),ISNUMBER(SEARCH(" and ",$AH110)),ISNUMBER(SEARCH("&amp;",$AH110))),1,0))</f>
        <v/>
      </c>
      <c r="X110" s="34">
        <f>IF($V110=0,0,IF(NOT(ISNUMBER($F110)),1,IF(OR($F110&lt;Summary!$K$4,$F110&gt;Summary!$K$4+Summary!$K$5,AND(ISNUMBER($P110),$F110&gt;$P110)),1,0)))</f>
        <v/>
      </c>
      <c r="Y110" s="34">
        <f>IF(AND($V110=1,OR($B110="Risk",$B110="Issue"),LEN(TRIM($I110))=0),1,0)</f>
        <v/>
      </c>
      <c r="Z110" s="34">
        <f>IF(AND($T110=1,$J110="Closed",OR(NOT(ISNUMBER($K110)),LEN(TRIM($L110))=0)),1,0)</f>
        <v/>
      </c>
      <c r="AA110" s="34">
        <f>IF(AND($U110=1,$B110="Dependency"),IF(OR(LEN(TRIM($N110))=0,NOT(ISNUMBER($P110)),NOT(AND(ISNUMBER(SEARCH(" (",$O110)),RIGHT(TRIM($O110),1)=")"))),1,0),0)</f>
        <v/>
      </c>
      <c r="AB110" s="34">
        <f>IF(AND($V110=1,$B110="Dependency",ISNUMBER($P110)),IF($P110&lt;Summary!$K$4,1,0),0)</f>
        <v/>
      </c>
      <c r="AC110" s="34">
        <f>IF($T110=0,0,IF(OR($A110="",COUNTIF($A$4:$A$153,$A110)&gt;1,ISERROR(MATCH($B110,{"Risk","Assumption","Issue","Dependency"},0))),1,IF(INDEX({"R","A","I","X"},MATCH($B110,{"Risk","Assumption","Issue","Dependency"},0))&lt;&gt;LEFT($A110,1),1,0)))</f>
        <v/>
      </c>
      <c r="AD110" s="34">
        <f>IF($T110=0,0,IF(OR(ISERROR(MATCH($J110,{"Raised","Responding","Closed"},0)),ISERROR(MATCH($G110,{"Low","Medium","High"},0)),AND(OR($B110="Risk",$B110="Assumption"),ISERROR(MATCH($H110,{"Low","Medium","High"},0))),AND($Q110&lt;&gt;"",$Q110&lt;&gt;"This log",$Q110&lt;&gt;"Program workbook"),AND($J110&lt;&gt;"Closed",OR($K110&lt;&gt;"",LEN(TRIM($L110))&gt;0))),1,0))</f>
        <v/>
      </c>
      <c r="AE110" s="34">
        <f>IF($T110=0,0,IF(OR(NOT(ISNUMBER($E110)),AND($F110&lt;&gt;"",NOT(ISNUMBER($F110))),AND($K110&lt;&gt;"",NOT(ISNUMBER($K110))),AND($P110&lt;&gt;"",NOT(ISNUMBER($P110)))),1,0))</f>
        <v/>
      </c>
      <c r="AF110" s="34">
        <f>MAX($AC110,$AD110,$AE110)</f>
        <v/>
      </c>
      <c r="AG110" s="34">
        <f>IF($T110=0,0,IFERROR(--MID(TRIM($A110),2,9),0))</f>
        <v/>
      </c>
      <c r="AH110" s="22">
        <f>IFERROR(LEFT(TRIM($D110),SEARCH(" (",TRIM($D110))-1),TRIM($D110))</f>
        <v/>
      </c>
      <c r="AI110" s="34">
        <f>IF(AND($T110=1,$J110="Closed",$G110="High",ISNUMBER($K110)),IF($K110&gt;=Summary!$K$6,1,0),0)</f>
        <v/>
      </c>
      <c r="AJ110" s="34">
        <f>IF($AI110=1,SUM($AI$4:$AI110),0)</f>
        <v/>
      </c>
    </row>
    <row r="111" ht="18" customHeight="1">
      <c r="A111" s="30" t="n"/>
      <c r="B111" s="30" t="n"/>
      <c r="C111" s="31" t="n"/>
      <c r="D111" s="31" t="n"/>
      <c r="E111" s="32" t="n"/>
      <c r="F111" s="32" t="n"/>
      <c r="G111" s="30" t="n"/>
      <c r="H111" s="30" t="n"/>
      <c r="I111" s="31" t="n"/>
      <c r="J111" s="30" t="n"/>
      <c r="K111" s="32" t="n"/>
      <c r="L111" s="31" t="n"/>
      <c r="M111" s="30" t="n"/>
      <c r="N111" s="31" t="n"/>
      <c r="O111" s="31" t="n"/>
      <c r="P111" s="32" t="n"/>
      <c r="Q111" s="30" t="n"/>
      <c r="R111" s="33">
        <f>IF($T111=0,"",IF($AF111=1,"△ The log can't read this line",IF($W111=1,"△ Needs one owner, written as Name (Role)",IF($X111=1,"△ Look-again date missing, passed or too far ahead",IF($Y111=1,"△ No response",IF($Z111=1,"△ Closed without a date or a reason",IF($AA111=1,"△ Needs Provided by and Needed by, and Who answers as Name (Role)",IF($AB111=1,"△ Past its Needed by date","○ Clear"))))))))</f>
        <v/>
      </c>
      <c r="T111" s="34">
        <f>IF(COUNTA($A111:$Q111)&gt;0,1,0)</f>
        <v/>
      </c>
      <c r="U111" s="34">
        <f>IF(AND($T111=1,$J111&lt;&gt;"Closed"),1,0)</f>
        <v/>
      </c>
      <c r="V111" s="34">
        <f>IF(AND($U111=1,$Q111&lt;&gt;"Program workbook"),1,0)</f>
        <v/>
      </c>
      <c r="W111" s="34">
        <f>IF($V111=0,0,IF(OR(ISERROR(SEARCH(" (",$D111)),RIGHT(TRIM($D111),1)&lt;&gt;")",ISNUMBER(SEARCH(",",$AH111)),ISNUMBER(SEARCH("/",$AH111)),ISNUMBER(SEARCH(" and ",$AH111)),ISNUMBER(SEARCH("&amp;",$AH111))),1,0))</f>
        <v/>
      </c>
      <c r="X111" s="34">
        <f>IF($V111=0,0,IF(NOT(ISNUMBER($F111)),1,IF(OR($F111&lt;Summary!$K$4,$F111&gt;Summary!$K$4+Summary!$K$5,AND(ISNUMBER($P111),$F111&gt;$P111)),1,0)))</f>
        <v/>
      </c>
      <c r="Y111" s="34">
        <f>IF(AND($V111=1,OR($B111="Risk",$B111="Issue"),LEN(TRIM($I111))=0),1,0)</f>
        <v/>
      </c>
      <c r="Z111" s="34">
        <f>IF(AND($T111=1,$J111="Closed",OR(NOT(ISNUMBER($K111)),LEN(TRIM($L111))=0)),1,0)</f>
        <v/>
      </c>
      <c r="AA111" s="34">
        <f>IF(AND($U111=1,$B111="Dependency"),IF(OR(LEN(TRIM($N111))=0,NOT(ISNUMBER($P111)),NOT(AND(ISNUMBER(SEARCH(" (",$O111)),RIGHT(TRIM($O111),1)=")"))),1,0),0)</f>
        <v/>
      </c>
      <c r="AB111" s="34">
        <f>IF(AND($V111=1,$B111="Dependency",ISNUMBER($P111)),IF($P111&lt;Summary!$K$4,1,0),0)</f>
        <v/>
      </c>
      <c r="AC111" s="34">
        <f>IF($T111=0,0,IF(OR($A111="",COUNTIF($A$4:$A$153,$A111)&gt;1,ISERROR(MATCH($B111,{"Risk","Assumption","Issue","Dependency"},0))),1,IF(INDEX({"R","A","I","X"},MATCH($B111,{"Risk","Assumption","Issue","Dependency"},0))&lt;&gt;LEFT($A111,1),1,0)))</f>
        <v/>
      </c>
      <c r="AD111" s="34">
        <f>IF($T111=0,0,IF(OR(ISERROR(MATCH($J111,{"Raised","Responding","Closed"},0)),ISERROR(MATCH($G111,{"Low","Medium","High"},0)),AND(OR($B111="Risk",$B111="Assumption"),ISERROR(MATCH($H111,{"Low","Medium","High"},0))),AND($Q111&lt;&gt;"",$Q111&lt;&gt;"This log",$Q111&lt;&gt;"Program workbook"),AND($J111&lt;&gt;"Closed",OR($K111&lt;&gt;"",LEN(TRIM($L111))&gt;0))),1,0))</f>
        <v/>
      </c>
      <c r="AE111" s="34">
        <f>IF($T111=0,0,IF(OR(NOT(ISNUMBER($E111)),AND($F111&lt;&gt;"",NOT(ISNUMBER($F111))),AND($K111&lt;&gt;"",NOT(ISNUMBER($K111))),AND($P111&lt;&gt;"",NOT(ISNUMBER($P111)))),1,0))</f>
        <v/>
      </c>
      <c r="AF111" s="34">
        <f>MAX($AC111,$AD111,$AE111)</f>
        <v/>
      </c>
      <c r="AG111" s="34">
        <f>IF($T111=0,0,IFERROR(--MID(TRIM($A111),2,9),0))</f>
        <v/>
      </c>
      <c r="AH111" s="22">
        <f>IFERROR(LEFT(TRIM($D111),SEARCH(" (",TRIM($D111))-1),TRIM($D111))</f>
        <v/>
      </c>
      <c r="AI111" s="34">
        <f>IF(AND($T111=1,$J111="Closed",$G111="High",ISNUMBER($K111)),IF($K111&gt;=Summary!$K$6,1,0),0)</f>
        <v/>
      </c>
      <c r="AJ111" s="34">
        <f>IF($AI111=1,SUM($AI$4:$AI111),0)</f>
        <v/>
      </c>
    </row>
    <row r="112" ht="18" customHeight="1">
      <c r="A112" s="30" t="n"/>
      <c r="B112" s="30" t="n"/>
      <c r="C112" s="31" t="n"/>
      <c r="D112" s="31" t="n"/>
      <c r="E112" s="32" t="n"/>
      <c r="F112" s="32" t="n"/>
      <c r="G112" s="30" t="n"/>
      <c r="H112" s="30" t="n"/>
      <c r="I112" s="31" t="n"/>
      <c r="J112" s="30" t="n"/>
      <c r="K112" s="32" t="n"/>
      <c r="L112" s="31" t="n"/>
      <c r="M112" s="30" t="n"/>
      <c r="N112" s="31" t="n"/>
      <c r="O112" s="31" t="n"/>
      <c r="P112" s="32" t="n"/>
      <c r="Q112" s="30" t="n"/>
      <c r="R112" s="33">
        <f>IF($T112=0,"",IF($AF112=1,"△ The log can't read this line",IF($W112=1,"△ Needs one owner, written as Name (Role)",IF($X112=1,"△ Look-again date missing, passed or too far ahead",IF($Y112=1,"△ No response",IF($Z112=1,"△ Closed without a date or a reason",IF($AA112=1,"△ Needs Provided by and Needed by, and Who answers as Name (Role)",IF($AB112=1,"△ Past its Needed by date","○ Clear"))))))))</f>
        <v/>
      </c>
      <c r="T112" s="34">
        <f>IF(COUNTA($A112:$Q112)&gt;0,1,0)</f>
        <v/>
      </c>
      <c r="U112" s="34">
        <f>IF(AND($T112=1,$J112&lt;&gt;"Closed"),1,0)</f>
        <v/>
      </c>
      <c r="V112" s="34">
        <f>IF(AND($U112=1,$Q112&lt;&gt;"Program workbook"),1,0)</f>
        <v/>
      </c>
      <c r="W112" s="34">
        <f>IF($V112=0,0,IF(OR(ISERROR(SEARCH(" (",$D112)),RIGHT(TRIM($D112),1)&lt;&gt;")",ISNUMBER(SEARCH(",",$AH112)),ISNUMBER(SEARCH("/",$AH112)),ISNUMBER(SEARCH(" and ",$AH112)),ISNUMBER(SEARCH("&amp;",$AH112))),1,0))</f>
        <v/>
      </c>
      <c r="X112" s="34">
        <f>IF($V112=0,0,IF(NOT(ISNUMBER($F112)),1,IF(OR($F112&lt;Summary!$K$4,$F112&gt;Summary!$K$4+Summary!$K$5,AND(ISNUMBER($P112),$F112&gt;$P112)),1,0)))</f>
        <v/>
      </c>
      <c r="Y112" s="34">
        <f>IF(AND($V112=1,OR($B112="Risk",$B112="Issue"),LEN(TRIM($I112))=0),1,0)</f>
        <v/>
      </c>
      <c r="Z112" s="34">
        <f>IF(AND($T112=1,$J112="Closed",OR(NOT(ISNUMBER($K112)),LEN(TRIM($L112))=0)),1,0)</f>
        <v/>
      </c>
      <c r="AA112" s="34">
        <f>IF(AND($U112=1,$B112="Dependency"),IF(OR(LEN(TRIM($N112))=0,NOT(ISNUMBER($P112)),NOT(AND(ISNUMBER(SEARCH(" (",$O112)),RIGHT(TRIM($O112),1)=")"))),1,0),0)</f>
        <v/>
      </c>
      <c r="AB112" s="34">
        <f>IF(AND($V112=1,$B112="Dependency",ISNUMBER($P112)),IF($P112&lt;Summary!$K$4,1,0),0)</f>
        <v/>
      </c>
      <c r="AC112" s="34">
        <f>IF($T112=0,0,IF(OR($A112="",COUNTIF($A$4:$A$153,$A112)&gt;1,ISERROR(MATCH($B112,{"Risk","Assumption","Issue","Dependency"},0))),1,IF(INDEX({"R","A","I","X"},MATCH($B112,{"Risk","Assumption","Issue","Dependency"},0))&lt;&gt;LEFT($A112,1),1,0)))</f>
        <v/>
      </c>
      <c r="AD112" s="34">
        <f>IF($T112=0,0,IF(OR(ISERROR(MATCH($J112,{"Raised","Responding","Closed"},0)),ISERROR(MATCH($G112,{"Low","Medium","High"},0)),AND(OR($B112="Risk",$B112="Assumption"),ISERROR(MATCH($H112,{"Low","Medium","High"},0))),AND($Q112&lt;&gt;"",$Q112&lt;&gt;"This log",$Q112&lt;&gt;"Program workbook"),AND($J112&lt;&gt;"Closed",OR($K112&lt;&gt;"",LEN(TRIM($L112))&gt;0))),1,0))</f>
        <v/>
      </c>
      <c r="AE112" s="34">
        <f>IF($T112=0,0,IF(OR(NOT(ISNUMBER($E112)),AND($F112&lt;&gt;"",NOT(ISNUMBER($F112))),AND($K112&lt;&gt;"",NOT(ISNUMBER($K112))),AND($P112&lt;&gt;"",NOT(ISNUMBER($P112)))),1,0))</f>
        <v/>
      </c>
      <c r="AF112" s="34">
        <f>MAX($AC112,$AD112,$AE112)</f>
        <v/>
      </c>
      <c r="AG112" s="34">
        <f>IF($T112=0,0,IFERROR(--MID(TRIM($A112),2,9),0))</f>
        <v/>
      </c>
      <c r="AH112" s="22">
        <f>IFERROR(LEFT(TRIM($D112),SEARCH(" (",TRIM($D112))-1),TRIM($D112))</f>
        <v/>
      </c>
      <c r="AI112" s="34">
        <f>IF(AND($T112=1,$J112="Closed",$G112="High",ISNUMBER($K112)),IF($K112&gt;=Summary!$K$6,1,0),0)</f>
        <v/>
      </c>
      <c r="AJ112" s="34">
        <f>IF($AI112=1,SUM($AI$4:$AI112),0)</f>
        <v/>
      </c>
    </row>
    <row r="113" ht="18" customHeight="1">
      <c r="A113" s="30" t="n"/>
      <c r="B113" s="30" t="n"/>
      <c r="C113" s="31" t="n"/>
      <c r="D113" s="31" t="n"/>
      <c r="E113" s="32" t="n"/>
      <c r="F113" s="32" t="n"/>
      <c r="G113" s="30" t="n"/>
      <c r="H113" s="30" t="n"/>
      <c r="I113" s="31" t="n"/>
      <c r="J113" s="30" t="n"/>
      <c r="K113" s="32" t="n"/>
      <c r="L113" s="31" t="n"/>
      <c r="M113" s="30" t="n"/>
      <c r="N113" s="31" t="n"/>
      <c r="O113" s="31" t="n"/>
      <c r="P113" s="32" t="n"/>
      <c r="Q113" s="30" t="n"/>
      <c r="R113" s="33">
        <f>IF($T113=0,"",IF($AF113=1,"△ The log can't read this line",IF($W113=1,"△ Needs one owner, written as Name (Role)",IF($X113=1,"△ Look-again date missing, passed or too far ahead",IF($Y113=1,"△ No response",IF($Z113=1,"△ Closed without a date or a reason",IF($AA113=1,"△ Needs Provided by and Needed by, and Who answers as Name (Role)",IF($AB113=1,"△ Past its Needed by date","○ Clear"))))))))</f>
        <v/>
      </c>
      <c r="T113" s="34">
        <f>IF(COUNTA($A113:$Q113)&gt;0,1,0)</f>
        <v/>
      </c>
      <c r="U113" s="34">
        <f>IF(AND($T113=1,$J113&lt;&gt;"Closed"),1,0)</f>
        <v/>
      </c>
      <c r="V113" s="34">
        <f>IF(AND($U113=1,$Q113&lt;&gt;"Program workbook"),1,0)</f>
        <v/>
      </c>
      <c r="W113" s="34">
        <f>IF($V113=0,0,IF(OR(ISERROR(SEARCH(" (",$D113)),RIGHT(TRIM($D113),1)&lt;&gt;")",ISNUMBER(SEARCH(",",$AH113)),ISNUMBER(SEARCH("/",$AH113)),ISNUMBER(SEARCH(" and ",$AH113)),ISNUMBER(SEARCH("&amp;",$AH113))),1,0))</f>
        <v/>
      </c>
      <c r="X113" s="34">
        <f>IF($V113=0,0,IF(NOT(ISNUMBER($F113)),1,IF(OR($F113&lt;Summary!$K$4,$F113&gt;Summary!$K$4+Summary!$K$5,AND(ISNUMBER($P113),$F113&gt;$P113)),1,0)))</f>
        <v/>
      </c>
      <c r="Y113" s="34">
        <f>IF(AND($V113=1,OR($B113="Risk",$B113="Issue"),LEN(TRIM($I113))=0),1,0)</f>
        <v/>
      </c>
      <c r="Z113" s="34">
        <f>IF(AND($T113=1,$J113="Closed",OR(NOT(ISNUMBER($K113)),LEN(TRIM($L113))=0)),1,0)</f>
        <v/>
      </c>
      <c r="AA113" s="34">
        <f>IF(AND($U113=1,$B113="Dependency"),IF(OR(LEN(TRIM($N113))=0,NOT(ISNUMBER($P113)),NOT(AND(ISNUMBER(SEARCH(" (",$O113)),RIGHT(TRIM($O113),1)=")"))),1,0),0)</f>
        <v/>
      </c>
      <c r="AB113" s="34">
        <f>IF(AND($V113=1,$B113="Dependency",ISNUMBER($P113)),IF($P113&lt;Summary!$K$4,1,0),0)</f>
        <v/>
      </c>
      <c r="AC113" s="34">
        <f>IF($T113=0,0,IF(OR($A113="",COUNTIF($A$4:$A$153,$A113)&gt;1,ISERROR(MATCH($B113,{"Risk","Assumption","Issue","Dependency"},0))),1,IF(INDEX({"R","A","I","X"},MATCH($B113,{"Risk","Assumption","Issue","Dependency"},0))&lt;&gt;LEFT($A113,1),1,0)))</f>
        <v/>
      </c>
      <c r="AD113" s="34">
        <f>IF($T113=0,0,IF(OR(ISERROR(MATCH($J113,{"Raised","Responding","Closed"},0)),ISERROR(MATCH($G113,{"Low","Medium","High"},0)),AND(OR($B113="Risk",$B113="Assumption"),ISERROR(MATCH($H113,{"Low","Medium","High"},0))),AND($Q113&lt;&gt;"",$Q113&lt;&gt;"This log",$Q113&lt;&gt;"Program workbook"),AND($J113&lt;&gt;"Closed",OR($K113&lt;&gt;"",LEN(TRIM($L113))&gt;0))),1,0))</f>
        <v/>
      </c>
      <c r="AE113" s="34">
        <f>IF($T113=0,0,IF(OR(NOT(ISNUMBER($E113)),AND($F113&lt;&gt;"",NOT(ISNUMBER($F113))),AND($K113&lt;&gt;"",NOT(ISNUMBER($K113))),AND($P113&lt;&gt;"",NOT(ISNUMBER($P113)))),1,0))</f>
        <v/>
      </c>
      <c r="AF113" s="34">
        <f>MAX($AC113,$AD113,$AE113)</f>
        <v/>
      </c>
      <c r="AG113" s="34">
        <f>IF($T113=0,0,IFERROR(--MID(TRIM($A113),2,9),0))</f>
        <v/>
      </c>
      <c r="AH113" s="22">
        <f>IFERROR(LEFT(TRIM($D113),SEARCH(" (",TRIM($D113))-1),TRIM($D113))</f>
        <v/>
      </c>
      <c r="AI113" s="34">
        <f>IF(AND($T113=1,$J113="Closed",$G113="High",ISNUMBER($K113)),IF($K113&gt;=Summary!$K$6,1,0),0)</f>
        <v/>
      </c>
      <c r="AJ113" s="34">
        <f>IF($AI113=1,SUM($AI$4:$AI113),0)</f>
        <v/>
      </c>
    </row>
    <row r="114" ht="18" customHeight="1">
      <c r="A114" s="30" t="n"/>
      <c r="B114" s="30" t="n"/>
      <c r="C114" s="31" t="n"/>
      <c r="D114" s="31" t="n"/>
      <c r="E114" s="32" t="n"/>
      <c r="F114" s="32" t="n"/>
      <c r="G114" s="30" t="n"/>
      <c r="H114" s="30" t="n"/>
      <c r="I114" s="31" t="n"/>
      <c r="J114" s="30" t="n"/>
      <c r="K114" s="32" t="n"/>
      <c r="L114" s="31" t="n"/>
      <c r="M114" s="30" t="n"/>
      <c r="N114" s="31" t="n"/>
      <c r="O114" s="31" t="n"/>
      <c r="P114" s="32" t="n"/>
      <c r="Q114" s="30" t="n"/>
      <c r="R114" s="33">
        <f>IF($T114=0,"",IF($AF114=1,"△ The log can't read this line",IF($W114=1,"△ Needs one owner, written as Name (Role)",IF($X114=1,"△ Look-again date missing, passed or too far ahead",IF($Y114=1,"△ No response",IF($Z114=1,"△ Closed without a date or a reason",IF($AA114=1,"△ Needs Provided by and Needed by, and Who answers as Name (Role)",IF($AB114=1,"△ Past its Needed by date","○ Clear"))))))))</f>
        <v/>
      </c>
      <c r="T114" s="34">
        <f>IF(COUNTA($A114:$Q114)&gt;0,1,0)</f>
        <v/>
      </c>
      <c r="U114" s="34">
        <f>IF(AND($T114=1,$J114&lt;&gt;"Closed"),1,0)</f>
        <v/>
      </c>
      <c r="V114" s="34">
        <f>IF(AND($U114=1,$Q114&lt;&gt;"Program workbook"),1,0)</f>
        <v/>
      </c>
      <c r="W114" s="34">
        <f>IF($V114=0,0,IF(OR(ISERROR(SEARCH(" (",$D114)),RIGHT(TRIM($D114),1)&lt;&gt;")",ISNUMBER(SEARCH(",",$AH114)),ISNUMBER(SEARCH("/",$AH114)),ISNUMBER(SEARCH(" and ",$AH114)),ISNUMBER(SEARCH("&amp;",$AH114))),1,0))</f>
        <v/>
      </c>
      <c r="X114" s="34">
        <f>IF($V114=0,0,IF(NOT(ISNUMBER($F114)),1,IF(OR($F114&lt;Summary!$K$4,$F114&gt;Summary!$K$4+Summary!$K$5,AND(ISNUMBER($P114),$F114&gt;$P114)),1,0)))</f>
        <v/>
      </c>
      <c r="Y114" s="34">
        <f>IF(AND($V114=1,OR($B114="Risk",$B114="Issue"),LEN(TRIM($I114))=0),1,0)</f>
        <v/>
      </c>
      <c r="Z114" s="34">
        <f>IF(AND($T114=1,$J114="Closed",OR(NOT(ISNUMBER($K114)),LEN(TRIM($L114))=0)),1,0)</f>
        <v/>
      </c>
      <c r="AA114" s="34">
        <f>IF(AND($U114=1,$B114="Dependency"),IF(OR(LEN(TRIM($N114))=0,NOT(ISNUMBER($P114)),NOT(AND(ISNUMBER(SEARCH(" (",$O114)),RIGHT(TRIM($O114),1)=")"))),1,0),0)</f>
        <v/>
      </c>
      <c r="AB114" s="34">
        <f>IF(AND($V114=1,$B114="Dependency",ISNUMBER($P114)),IF($P114&lt;Summary!$K$4,1,0),0)</f>
        <v/>
      </c>
      <c r="AC114" s="34">
        <f>IF($T114=0,0,IF(OR($A114="",COUNTIF($A$4:$A$153,$A114)&gt;1,ISERROR(MATCH($B114,{"Risk","Assumption","Issue","Dependency"},0))),1,IF(INDEX({"R","A","I","X"},MATCH($B114,{"Risk","Assumption","Issue","Dependency"},0))&lt;&gt;LEFT($A114,1),1,0)))</f>
        <v/>
      </c>
      <c r="AD114" s="34">
        <f>IF($T114=0,0,IF(OR(ISERROR(MATCH($J114,{"Raised","Responding","Closed"},0)),ISERROR(MATCH($G114,{"Low","Medium","High"},0)),AND(OR($B114="Risk",$B114="Assumption"),ISERROR(MATCH($H114,{"Low","Medium","High"},0))),AND($Q114&lt;&gt;"",$Q114&lt;&gt;"This log",$Q114&lt;&gt;"Program workbook"),AND($J114&lt;&gt;"Closed",OR($K114&lt;&gt;"",LEN(TRIM($L114))&gt;0))),1,0))</f>
        <v/>
      </c>
      <c r="AE114" s="34">
        <f>IF($T114=0,0,IF(OR(NOT(ISNUMBER($E114)),AND($F114&lt;&gt;"",NOT(ISNUMBER($F114))),AND($K114&lt;&gt;"",NOT(ISNUMBER($K114))),AND($P114&lt;&gt;"",NOT(ISNUMBER($P114)))),1,0))</f>
        <v/>
      </c>
      <c r="AF114" s="34">
        <f>MAX($AC114,$AD114,$AE114)</f>
        <v/>
      </c>
      <c r="AG114" s="34">
        <f>IF($T114=0,0,IFERROR(--MID(TRIM($A114),2,9),0))</f>
        <v/>
      </c>
      <c r="AH114" s="22">
        <f>IFERROR(LEFT(TRIM($D114),SEARCH(" (",TRIM($D114))-1),TRIM($D114))</f>
        <v/>
      </c>
      <c r="AI114" s="34">
        <f>IF(AND($T114=1,$J114="Closed",$G114="High",ISNUMBER($K114)),IF($K114&gt;=Summary!$K$6,1,0),0)</f>
        <v/>
      </c>
      <c r="AJ114" s="34">
        <f>IF($AI114=1,SUM($AI$4:$AI114),0)</f>
        <v/>
      </c>
    </row>
    <row r="115" ht="18" customHeight="1">
      <c r="A115" s="30" t="n"/>
      <c r="B115" s="30" t="n"/>
      <c r="C115" s="31" t="n"/>
      <c r="D115" s="31" t="n"/>
      <c r="E115" s="32" t="n"/>
      <c r="F115" s="32" t="n"/>
      <c r="G115" s="30" t="n"/>
      <c r="H115" s="30" t="n"/>
      <c r="I115" s="31" t="n"/>
      <c r="J115" s="30" t="n"/>
      <c r="K115" s="32" t="n"/>
      <c r="L115" s="31" t="n"/>
      <c r="M115" s="30" t="n"/>
      <c r="N115" s="31" t="n"/>
      <c r="O115" s="31" t="n"/>
      <c r="P115" s="32" t="n"/>
      <c r="Q115" s="30" t="n"/>
      <c r="R115" s="33">
        <f>IF($T115=0,"",IF($AF115=1,"△ The log can't read this line",IF($W115=1,"△ Needs one owner, written as Name (Role)",IF($X115=1,"△ Look-again date missing, passed or too far ahead",IF($Y115=1,"△ No response",IF($Z115=1,"△ Closed without a date or a reason",IF($AA115=1,"△ Needs Provided by and Needed by, and Who answers as Name (Role)",IF($AB115=1,"△ Past its Needed by date","○ Clear"))))))))</f>
        <v/>
      </c>
      <c r="T115" s="34">
        <f>IF(COUNTA($A115:$Q115)&gt;0,1,0)</f>
        <v/>
      </c>
      <c r="U115" s="34">
        <f>IF(AND($T115=1,$J115&lt;&gt;"Closed"),1,0)</f>
        <v/>
      </c>
      <c r="V115" s="34">
        <f>IF(AND($U115=1,$Q115&lt;&gt;"Program workbook"),1,0)</f>
        <v/>
      </c>
      <c r="W115" s="34">
        <f>IF($V115=0,0,IF(OR(ISERROR(SEARCH(" (",$D115)),RIGHT(TRIM($D115),1)&lt;&gt;")",ISNUMBER(SEARCH(",",$AH115)),ISNUMBER(SEARCH("/",$AH115)),ISNUMBER(SEARCH(" and ",$AH115)),ISNUMBER(SEARCH("&amp;",$AH115))),1,0))</f>
        <v/>
      </c>
      <c r="X115" s="34">
        <f>IF($V115=0,0,IF(NOT(ISNUMBER($F115)),1,IF(OR($F115&lt;Summary!$K$4,$F115&gt;Summary!$K$4+Summary!$K$5,AND(ISNUMBER($P115),$F115&gt;$P115)),1,0)))</f>
        <v/>
      </c>
      <c r="Y115" s="34">
        <f>IF(AND($V115=1,OR($B115="Risk",$B115="Issue"),LEN(TRIM($I115))=0),1,0)</f>
        <v/>
      </c>
      <c r="Z115" s="34">
        <f>IF(AND($T115=1,$J115="Closed",OR(NOT(ISNUMBER($K115)),LEN(TRIM($L115))=0)),1,0)</f>
        <v/>
      </c>
      <c r="AA115" s="34">
        <f>IF(AND($U115=1,$B115="Dependency"),IF(OR(LEN(TRIM($N115))=0,NOT(ISNUMBER($P115)),NOT(AND(ISNUMBER(SEARCH(" (",$O115)),RIGHT(TRIM($O115),1)=")"))),1,0),0)</f>
        <v/>
      </c>
      <c r="AB115" s="34">
        <f>IF(AND($V115=1,$B115="Dependency",ISNUMBER($P115)),IF($P115&lt;Summary!$K$4,1,0),0)</f>
        <v/>
      </c>
      <c r="AC115" s="34">
        <f>IF($T115=0,0,IF(OR($A115="",COUNTIF($A$4:$A$153,$A115)&gt;1,ISERROR(MATCH($B115,{"Risk","Assumption","Issue","Dependency"},0))),1,IF(INDEX({"R","A","I","X"},MATCH($B115,{"Risk","Assumption","Issue","Dependency"},0))&lt;&gt;LEFT($A115,1),1,0)))</f>
        <v/>
      </c>
      <c r="AD115" s="34">
        <f>IF($T115=0,0,IF(OR(ISERROR(MATCH($J115,{"Raised","Responding","Closed"},0)),ISERROR(MATCH($G115,{"Low","Medium","High"},0)),AND(OR($B115="Risk",$B115="Assumption"),ISERROR(MATCH($H115,{"Low","Medium","High"},0))),AND($Q115&lt;&gt;"",$Q115&lt;&gt;"This log",$Q115&lt;&gt;"Program workbook"),AND($J115&lt;&gt;"Closed",OR($K115&lt;&gt;"",LEN(TRIM($L115))&gt;0))),1,0))</f>
        <v/>
      </c>
      <c r="AE115" s="34">
        <f>IF($T115=0,0,IF(OR(NOT(ISNUMBER($E115)),AND($F115&lt;&gt;"",NOT(ISNUMBER($F115))),AND($K115&lt;&gt;"",NOT(ISNUMBER($K115))),AND($P115&lt;&gt;"",NOT(ISNUMBER($P115)))),1,0))</f>
        <v/>
      </c>
      <c r="AF115" s="34">
        <f>MAX($AC115,$AD115,$AE115)</f>
        <v/>
      </c>
      <c r="AG115" s="34">
        <f>IF($T115=0,0,IFERROR(--MID(TRIM($A115),2,9),0))</f>
        <v/>
      </c>
      <c r="AH115" s="22">
        <f>IFERROR(LEFT(TRIM($D115),SEARCH(" (",TRIM($D115))-1),TRIM($D115))</f>
        <v/>
      </c>
      <c r="AI115" s="34">
        <f>IF(AND($T115=1,$J115="Closed",$G115="High",ISNUMBER($K115)),IF($K115&gt;=Summary!$K$6,1,0),0)</f>
        <v/>
      </c>
      <c r="AJ115" s="34">
        <f>IF($AI115=1,SUM($AI$4:$AI115),0)</f>
        <v/>
      </c>
    </row>
    <row r="116" ht="18" customHeight="1">
      <c r="A116" s="30" t="n"/>
      <c r="B116" s="30" t="n"/>
      <c r="C116" s="31" t="n"/>
      <c r="D116" s="31" t="n"/>
      <c r="E116" s="32" t="n"/>
      <c r="F116" s="32" t="n"/>
      <c r="G116" s="30" t="n"/>
      <c r="H116" s="30" t="n"/>
      <c r="I116" s="31" t="n"/>
      <c r="J116" s="30" t="n"/>
      <c r="K116" s="32" t="n"/>
      <c r="L116" s="31" t="n"/>
      <c r="M116" s="30" t="n"/>
      <c r="N116" s="31" t="n"/>
      <c r="O116" s="31" t="n"/>
      <c r="P116" s="32" t="n"/>
      <c r="Q116" s="30" t="n"/>
      <c r="R116" s="33">
        <f>IF($T116=0,"",IF($AF116=1,"△ The log can't read this line",IF($W116=1,"△ Needs one owner, written as Name (Role)",IF($X116=1,"△ Look-again date missing, passed or too far ahead",IF($Y116=1,"△ No response",IF($Z116=1,"△ Closed without a date or a reason",IF($AA116=1,"△ Needs Provided by and Needed by, and Who answers as Name (Role)",IF($AB116=1,"△ Past its Needed by date","○ Clear"))))))))</f>
        <v/>
      </c>
      <c r="T116" s="34">
        <f>IF(COUNTA($A116:$Q116)&gt;0,1,0)</f>
        <v/>
      </c>
      <c r="U116" s="34">
        <f>IF(AND($T116=1,$J116&lt;&gt;"Closed"),1,0)</f>
        <v/>
      </c>
      <c r="V116" s="34">
        <f>IF(AND($U116=1,$Q116&lt;&gt;"Program workbook"),1,0)</f>
        <v/>
      </c>
      <c r="W116" s="34">
        <f>IF($V116=0,0,IF(OR(ISERROR(SEARCH(" (",$D116)),RIGHT(TRIM($D116),1)&lt;&gt;")",ISNUMBER(SEARCH(",",$AH116)),ISNUMBER(SEARCH("/",$AH116)),ISNUMBER(SEARCH(" and ",$AH116)),ISNUMBER(SEARCH("&amp;",$AH116))),1,0))</f>
        <v/>
      </c>
      <c r="X116" s="34">
        <f>IF($V116=0,0,IF(NOT(ISNUMBER($F116)),1,IF(OR($F116&lt;Summary!$K$4,$F116&gt;Summary!$K$4+Summary!$K$5,AND(ISNUMBER($P116),$F116&gt;$P116)),1,0)))</f>
        <v/>
      </c>
      <c r="Y116" s="34">
        <f>IF(AND($V116=1,OR($B116="Risk",$B116="Issue"),LEN(TRIM($I116))=0),1,0)</f>
        <v/>
      </c>
      <c r="Z116" s="34">
        <f>IF(AND($T116=1,$J116="Closed",OR(NOT(ISNUMBER($K116)),LEN(TRIM($L116))=0)),1,0)</f>
        <v/>
      </c>
      <c r="AA116" s="34">
        <f>IF(AND($U116=1,$B116="Dependency"),IF(OR(LEN(TRIM($N116))=0,NOT(ISNUMBER($P116)),NOT(AND(ISNUMBER(SEARCH(" (",$O116)),RIGHT(TRIM($O116),1)=")"))),1,0),0)</f>
        <v/>
      </c>
      <c r="AB116" s="34">
        <f>IF(AND($V116=1,$B116="Dependency",ISNUMBER($P116)),IF($P116&lt;Summary!$K$4,1,0),0)</f>
        <v/>
      </c>
      <c r="AC116" s="34">
        <f>IF($T116=0,0,IF(OR($A116="",COUNTIF($A$4:$A$153,$A116)&gt;1,ISERROR(MATCH($B116,{"Risk","Assumption","Issue","Dependency"},0))),1,IF(INDEX({"R","A","I","X"},MATCH($B116,{"Risk","Assumption","Issue","Dependency"},0))&lt;&gt;LEFT($A116,1),1,0)))</f>
        <v/>
      </c>
      <c r="AD116" s="34">
        <f>IF($T116=0,0,IF(OR(ISERROR(MATCH($J116,{"Raised","Responding","Closed"},0)),ISERROR(MATCH($G116,{"Low","Medium","High"},0)),AND(OR($B116="Risk",$B116="Assumption"),ISERROR(MATCH($H116,{"Low","Medium","High"},0))),AND($Q116&lt;&gt;"",$Q116&lt;&gt;"This log",$Q116&lt;&gt;"Program workbook"),AND($J116&lt;&gt;"Closed",OR($K116&lt;&gt;"",LEN(TRIM($L116))&gt;0))),1,0))</f>
        <v/>
      </c>
      <c r="AE116" s="34">
        <f>IF($T116=0,0,IF(OR(NOT(ISNUMBER($E116)),AND($F116&lt;&gt;"",NOT(ISNUMBER($F116))),AND($K116&lt;&gt;"",NOT(ISNUMBER($K116))),AND($P116&lt;&gt;"",NOT(ISNUMBER($P116)))),1,0))</f>
        <v/>
      </c>
      <c r="AF116" s="34">
        <f>MAX($AC116,$AD116,$AE116)</f>
        <v/>
      </c>
      <c r="AG116" s="34">
        <f>IF($T116=0,0,IFERROR(--MID(TRIM($A116),2,9),0))</f>
        <v/>
      </c>
      <c r="AH116" s="22">
        <f>IFERROR(LEFT(TRIM($D116),SEARCH(" (",TRIM($D116))-1),TRIM($D116))</f>
        <v/>
      </c>
      <c r="AI116" s="34">
        <f>IF(AND($T116=1,$J116="Closed",$G116="High",ISNUMBER($K116)),IF($K116&gt;=Summary!$K$6,1,0),0)</f>
        <v/>
      </c>
      <c r="AJ116" s="34">
        <f>IF($AI116=1,SUM($AI$4:$AI116),0)</f>
        <v/>
      </c>
    </row>
    <row r="117" ht="18" customHeight="1">
      <c r="A117" s="30" t="n"/>
      <c r="B117" s="30" t="n"/>
      <c r="C117" s="31" t="n"/>
      <c r="D117" s="31" t="n"/>
      <c r="E117" s="32" t="n"/>
      <c r="F117" s="32" t="n"/>
      <c r="G117" s="30" t="n"/>
      <c r="H117" s="30" t="n"/>
      <c r="I117" s="31" t="n"/>
      <c r="J117" s="30" t="n"/>
      <c r="K117" s="32" t="n"/>
      <c r="L117" s="31" t="n"/>
      <c r="M117" s="30" t="n"/>
      <c r="N117" s="31" t="n"/>
      <c r="O117" s="31" t="n"/>
      <c r="P117" s="32" t="n"/>
      <c r="Q117" s="30" t="n"/>
      <c r="R117" s="33">
        <f>IF($T117=0,"",IF($AF117=1,"△ The log can't read this line",IF($W117=1,"△ Needs one owner, written as Name (Role)",IF($X117=1,"△ Look-again date missing, passed or too far ahead",IF($Y117=1,"△ No response",IF($Z117=1,"△ Closed without a date or a reason",IF($AA117=1,"△ Needs Provided by and Needed by, and Who answers as Name (Role)",IF($AB117=1,"△ Past its Needed by date","○ Clear"))))))))</f>
        <v/>
      </c>
      <c r="T117" s="34">
        <f>IF(COUNTA($A117:$Q117)&gt;0,1,0)</f>
        <v/>
      </c>
      <c r="U117" s="34">
        <f>IF(AND($T117=1,$J117&lt;&gt;"Closed"),1,0)</f>
        <v/>
      </c>
      <c r="V117" s="34">
        <f>IF(AND($U117=1,$Q117&lt;&gt;"Program workbook"),1,0)</f>
        <v/>
      </c>
      <c r="W117" s="34">
        <f>IF($V117=0,0,IF(OR(ISERROR(SEARCH(" (",$D117)),RIGHT(TRIM($D117),1)&lt;&gt;")",ISNUMBER(SEARCH(",",$AH117)),ISNUMBER(SEARCH("/",$AH117)),ISNUMBER(SEARCH(" and ",$AH117)),ISNUMBER(SEARCH("&amp;",$AH117))),1,0))</f>
        <v/>
      </c>
      <c r="X117" s="34">
        <f>IF($V117=0,0,IF(NOT(ISNUMBER($F117)),1,IF(OR($F117&lt;Summary!$K$4,$F117&gt;Summary!$K$4+Summary!$K$5,AND(ISNUMBER($P117),$F117&gt;$P117)),1,0)))</f>
        <v/>
      </c>
      <c r="Y117" s="34">
        <f>IF(AND($V117=1,OR($B117="Risk",$B117="Issue"),LEN(TRIM($I117))=0),1,0)</f>
        <v/>
      </c>
      <c r="Z117" s="34">
        <f>IF(AND($T117=1,$J117="Closed",OR(NOT(ISNUMBER($K117)),LEN(TRIM($L117))=0)),1,0)</f>
        <v/>
      </c>
      <c r="AA117" s="34">
        <f>IF(AND($U117=1,$B117="Dependency"),IF(OR(LEN(TRIM($N117))=0,NOT(ISNUMBER($P117)),NOT(AND(ISNUMBER(SEARCH(" (",$O117)),RIGHT(TRIM($O117),1)=")"))),1,0),0)</f>
        <v/>
      </c>
      <c r="AB117" s="34">
        <f>IF(AND($V117=1,$B117="Dependency",ISNUMBER($P117)),IF($P117&lt;Summary!$K$4,1,0),0)</f>
        <v/>
      </c>
      <c r="AC117" s="34">
        <f>IF($T117=0,0,IF(OR($A117="",COUNTIF($A$4:$A$153,$A117)&gt;1,ISERROR(MATCH($B117,{"Risk","Assumption","Issue","Dependency"},0))),1,IF(INDEX({"R","A","I","X"},MATCH($B117,{"Risk","Assumption","Issue","Dependency"},0))&lt;&gt;LEFT($A117,1),1,0)))</f>
        <v/>
      </c>
      <c r="AD117" s="34">
        <f>IF($T117=0,0,IF(OR(ISERROR(MATCH($J117,{"Raised","Responding","Closed"},0)),ISERROR(MATCH($G117,{"Low","Medium","High"},0)),AND(OR($B117="Risk",$B117="Assumption"),ISERROR(MATCH($H117,{"Low","Medium","High"},0))),AND($Q117&lt;&gt;"",$Q117&lt;&gt;"This log",$Q117&lt;&gt;"Program workbook"),AND($J117&lt;&gt;"Closed",OR($K117&lt;&gt;"",LEN(TRIM($L117))&gt;0))),1,0))</f>
        <v/>
      </c>
      <c r="AE117" s="34">
        <f>IF($T117=0,0,IF(OR(NOT(ISNUMBER($E117)),AND($F117&lt;&gt;"",NOT(ISNUMBER($F117))),AND($K117&lt;&gt;"",NOT(ISNUMBER($K117))),AND($P117&lt;&gt;"",NOT(ISNUMBER($P117)))),1,0))</f>
        <v/>
      </c>
      <c r="AF117" s="34">
        <f>MAX($AC117,$AD117,$AE117)</f>
        <v/>
      </c>
      <c r="AG117" s="34">
        <f>IF($T117=0,0,IFERROR(--MID(TRIM($A117),2,9),0))</f>
        <v/>
      </c>
      <c r="AH117" s="22">
        <f>IFERROR(LEFT(TRIM($D117),SEARCH(" (",TRIM($D117))-1),TRIM($D117))</f>
        <v/>
      </c>
      <c r="AI117" s="34">
        <f>IF(AND($T117=1,$J117="Closed",$G117="High",ISNUMBER($K117)),IF($K117&gt;=Summary!$K$6,1,0),0)</f>
        <v/>
      </c>
      <c r="AJ117" s="34">
        <f>IF($AI117=1,SUM($AI$4:$AI117),0)</f>
        <v/>
      </c>
    </row>
    <row r="118" ht="18" customHeight="1">
      <c r="A118" s="30" t="n"/>
      <c r="B118" s="30" t="n"/>
      <c r="C118" s="31" t="n"/>
      <c r="D118" s="31" t="n"/>
      <c r="E118" s="32" t="n"/>
      <c r="F118" s="32" t="n"/>
      <c r="G118" s="30" t="n"/>
      <c r="H118" s="30" t="n"/>
      <c r="I118" s="31" t="n"/>
      <c r="J118" s="30" t="n"/>
      <c r="K118" s="32" t="n"/>
      <c r="L118" s="31" t="n"/>
      <c r="M118" s="30" t="n"/>
      <c r="N118" s="31" t="n"/>
      <c r="O118" s="31" t="n"/>
      <c r="P118" s="32" t="n"/>
      <c r="Q118" s="30" t="n"/>
      <c r="R118" s="33">
        <f>IF($T118=0,"",IF($AF118=1,"△ The log can't read this line",IF($W118=1,"△ Needs one owner, written as Name (Role)",IF($X118=1,"△ Look-again date missing, passed or too far ahead",IF($Y118=1,"△ No response",IF($Z118=1,"△ Closed without a date or a reason",IF($AA118=1,"△ Needs Provided by and Needed by, and Who answers as Name (Role)",IF($AB118=1,"△ Past its Needed by date","○ Clear"))))))))</f>
        <v/>
      </c>
      <c r="T118" s="34">
        <f>IF(COUNTA($A118:$Q118)&gt;0,1,0)</f>
        <v/>
      </c>
      <c r="U118" s="34">
        <f>IF(AND($T118=1,$J118&lt;&gt;"Closed"),1,0)</f>
        <v/>
      </c>
      <c r="V118" s="34">
        <f>IF(AND($U118=1,$Q118&lt;&gt;"Program workbook"),1,0)</f>
        <v/>
      </c>
      <c r="W118" s="34">
        <f>IF($V118=0,0,IF(OR(ISERROR(SEARCH(" (",$D118)),RIGHT(TRIM($D118),1)&lt;&gt;")",ISNUMBER(SEARCH(",",$AH118)),ISNUMBER(SEARCH("/",$AH118)),ISNUMBER(SEARCH(" and ",$AH118)),ISNUMBER(SEARCH("&amp;",$AH118))),1,0))</f>
        <v/>
      </c>
      <c r="X118" s="34">
        <f>IF($V118=0,0,IF(NOT(ISNUMBER($F118)),1,IF(OR($F118&lt;Summary!$K$4,$F118&gt;Summary!$K$4+Summary!$K$5,AND(ISNUMBER($P118),$F118&gt;$P118)),1,0)))</f>
        <v/>
      </c>
      <c r="Y118" s="34">
        <f>IF(AND($V118=1,OR($B118="Risk",$B118="Issue"),LEN(TRIM($I118))=0),1,0)</f>
        <v/>
      </c>
      <c r="Z118" s="34">
        <f>IF(AND($T118=1,$J118="Closed",OR(NOT(ISNUMBER($K118)),LEN(TRIM($L118))=0)),1,0)</f>
        <v/>
      </c>
      <c r="AA118" s="34">
        <f>IF(AND($U118=1,$B118="Dependency"),IF(OR(LEN(TRIM($N118))=0,NOT(ISNUMBER($P118)),NOT(AND(ISNUMBER(SEARCH(" (",$O118)),RIGHT(TRIM($O118),1)=")"))),1,0),0)</f>
        <v/>
      </c>
      <c r="AB118" s="34">
        <f>IF(AND($V118=1,$B118="Dependency",ISNUMBER($P118)),IF($P118&lt;Summary!$K$4,1,0),0)</f>
        <v/>
      </c>
      <c r="AC118" s="34">
        <f>IF($T118=0,0,IF(OR($A118="",COUNTIF($A$4:$A$153,$A118)&gt;1,ISERROR(MATCH($B118,{"Risk","Assumption","Issue","Dependency"},0))),1,IF(INDEX({"R","A","I","X"},MATCH($B118,{"Risk","Assumption","Issue","Dependency"},0))&lt;&gt;LEFT($A118,1),1,0)))</f>
        <v/>
      </c>
      <c r="AD118" s="34">
        <f>IF($T118=0,0,IF(OR(ISERROR(MATCH($J118,{"Raised","Responding","Closed"},0)),ISERROR(MATCH($G118,{"Low","Medium","High"},0)),AND(OR($B118="Risk",$B118="Assumption"),ISERROR(MATCH($H118,{"Low","Medium","High"},0))),AND($Q118&lt;&gt;"",$Q118&lt;&gt;"This log",$Q118&lt;&gt;"Program workbook"),AND($J118&lt;&gt;"Closed",OR($K118&lt;&gt;"",LEN(TRIM($L118))&gt;0))),1,0))</f>
        <v/>
      </c>
      <c r="AE118" s="34">
        <f>IF($T118=0,0,IF(OR(NOT(ISNUMBER($E118)),AND($F118&lt;&gt;"",NOT(ISNUMBER($F118))),AND($K118&lt;&gt;"",NOT(ISNUMBER($K118))),AND($P118&lt;&gt;"",NOT(ISNUMBER($P118)))),1,0))</f>
        <v/>
      </c>
      <c r="AF118" s="34">
        <f>MAX($AC118,$AD118,$AE118)</f>
        <v/>
      </c>
      <c r="AG118" s="34">
        <f>IF($T118=0,0,IFERROR(--MID(TRIM($A118),2,9),0))</f>
        <v/>
      </c>
      <c r="AH118" s="22">
        <f>IFERROR(LEFT(TRIM($D118),SEARCH(" (",TRIM($D118))-1),TRIM($D118))</f>
        <v/>
      </c>
      <c r="AI118" s="34">
        <f>IF(AND($T118=1,$J118="Closed",$G118="High",ISNUMBER($K118)),IF($K118&gt;=Summary!$K$6,1,0),0)</f>
        <v/>
      </c>
      <c r="AJ118" s="34">
        <f>IF($AI118=1,SUM($AI$4:$AI118),0)</f>
        <v/>
      </c>
    </row>
    <row r="119" ht="18" customHeight="1">
      <c r="A119" s="30" t="n"/>
      <c r="B119" s="30" t="n"/>
      <c r="C119" s="31" t="n"/>
      <c r="D119" s="31" t="n"/>
      <c r="E119" s="32" t="n"/>
      <c r="F119" s="32" t="n"/>
      <c r="G119" s="30" t="n"/>
      <c r="H119" s="30" t="n"/>
      <c r="I119" s="31" t="n"/>
      <c r="J119" s="30" t="n"/>
      <c r="K119" s="32" t="n"/>
      <c r="L119" s="31" t="n"/>
      <c r="M119" s="30" t="n"/>
      <c r="N119" s="31" t="n"/>
      <c r="O119" s="31" t="n"/>
      <c r="P119" s="32" t="n"/>
      <c r="Q119" s="30" t="n"/>
      <c r="R119" s="33">
        <f>IF($T119=0,"",IF($AF119=1,"△ The log can't read this line",IF($W119=1,"△ Needs one owner, written as Name (Role)",IF($X119=1,"△ Look-again date missing, passed or too far ahead",IF($Y119=1,"△ No response",IF($Z119=1,"△ Closed without a date or a reason",IF($AA119=1,"△ Needs Provided by and Needed by, and Who answers as Name (Role)",IF($AB119=1,"△ Past its Needed by date","○ Clear"))))))))</f>
        <v/>
      </c>
      <c r="T119" s="34">
        <f>IF(COUNTA($A119:$Q119)&gt;0,1,0)</f>
        <v/>
      </c>
      <c r="U119" s="34">
        <f>IF(AND($T119=1,$J119&lt;&gt;"Closed"),1,0)</f>
        <v/>
      </c>
      <c r="V119" s="34">
        <f>IF(AND($U119=1,$Q119&lt;&gt;"Program workbook"),1,0)</f>
        <v/>
      </c>
      <c r="W119" s="34">
        <f>IF($V119=0,0,IF(OR(ISERROR(SEARCH(" (",$D119)),RIGHT(TRIM($D119),1)&lt;&gt;")",ISNUMBER(SEARCH(",",$AH119)),ISNUMBER(SEARCH("/",$AH119)),ISNUMBER(SEARCH(" and ",$AH119)),ISNUMBER(SEARCH("&amp;",$AH119))),1,0))</f>
        <v/>
      </c>
      <c r="X119" s="34">
        <f>IF($V119=0,0,IF(NOT(ISNUMBER($F119)),1,IF(OR($F119&lt;Summary!$K$4,$F119&gt;Summary!$K$4+Summary!$K$5,AND(ISNUMBER($P119),$F119&gt;$P119)),1,0)))</f>
        <v/>
      </c>
      <c r="Y119" s="34">
        <f>IF(AND($V119=1,OR($B119="Risk",$B119="Issue"),LEN(TRIM($I119))=0),1,0)</f>
        <v/>
      </c>
      <c r="Z119" s="34">
        <f>IF(AND($T119=1,$J119="Closed",OR(NOT(ISNUMBER($K119)),LEN(TRIM($L119))=0)),1,0)</f>
        <v/>
      </c>
      <c r="AA119" s="34">
        <f>IF(AND($U119=1,$B119="Dependency"),IF(OR(LEN(TRIM($N119))=0,NOT(ISNUMBER($P119)),NOT(AND(ISNUMBER(SEARCH(" (",$O119)),RIGHT(TRIM($O119),1)=")"))),1,0),0)</f>
        <v/>
      </c>
      <c r="AB119" s="34">
        <f>IF(AND($V119=1,$B119="Dependency",ISNUMBER($P119)),IF($P119&lt;Summary!$K$4,1,0),0)</f>
        <v/>
      </c>
      <c r="AC119" s="34">
        <f>IF($T119=0,0,IF(OR($A119="",COUNTIF($A$4:$A$153,$A119)&gt;1,ISERROR(MATCH($B119,{"Risk","Assumption","Issue","Dependency"},0))),1,IF(INDEX({"R","A","I","X"},MATCH($B119,{"Risk","Assumption","Issue","Dependency"},0))&lt;&gt;LEFT($A119,1),1,0)))</f>
        <v/>
      </c>
      <c r="AD119" s="34">
        <f>IF($T119=0,0,IF(OR(ISERROR(MATCH($J119,{"Raised","Responding","Closed"},0)),ISERROR(MATCH($G119,{"Low","Medium","High"},0)),AND(OR($B119="Risk",$B119="Assumption"),ISERROR(MATCH($H119,{"Low","Medium","High"},0))),AND($Q119&lt;&gt;"",$Q119&lt;&gt;"This log",$Q119&lt;&gt;"Program workbook"),AND($J119&lt;&gt;"Closed",OR($K119&lt;&gt;"",LEN(TRIM($L119))&gt;0))),1,0))</f>
        <v/>
      </c>
      <c r="AE119" s="34">
        <f>IF($T119=0,0,IF(OR(NOT(ISNUMBER($E119)),AND($F119&lt;&gt;"",NOT(ISNUMBER($F119))),AND($K119&lt;&gt;"",NOT(ISNUMBER($K119))),AND($P119&lt;&gt;"",NOT(ISNUMBER($P119)))),1,0))</f>
        <v/>
      </c>
      <c r="AF119" s="34">
        <f>MAX($AC119,$AD119,$AE119)</f>
        <v/>
      </c>
      <c r="AG119" s="34">
        <f>IF($T119=0,0,IFERROR(--MID(TRIM($A119),2,9),0))</f>
        <v/>
      </c>
      <c r="AH119" s="22">
        <f>IFERROR(LEFT(TRIM($D119),SEARCH(" (",TRIM($D119))-1),TRIM($D119))</f>
        <v/>
      </c>
      <c r="AI119" s="34">
        <f>IF(AND($T119=1,$J119="Closed",$G119="High",ISNUMBER($K119)),IF($K119&gt;=Summary!$K$6,1,0),0)</f>
        <v/>
      </c>
      <c r="AJ119" s="34">
        <f>IF($AI119=1,SUM($AI$4:$AI119),0)</f>
        <v/>
      </c>
    </row>
    <row r="120" ht="18" customHeight="1">
      <c r="A120" s="30" t="n"/>
      <c r="B120" s="30" t="n"/>
      <c r="C120" s="31" t="n"/>
      <c r="D120" s="31" t="n"/>
      <c r="E120" s="32" t="n"/>
      <c r="F120" s="32" t="n"/>
      <c r="G120" s="30" t="n"/>
      <c r="H120" s="30" t="n"/>
      <c r="I120" s="31" t="n"/>
      <c r="J120" s="30" t="n"/>
      <c r="K120" s="32" t="n"/>
      <c r="L120" s="31" t="n"/>
      <c r="M120" s="30" t="n"/>
      <c r="N120" s="31" t="n"/>
      <c r="O120" s="31" t="n"/>
      <c r="P120" s="32" t="n"/>
      <c r="Q120" s="30" t="n"/>
      <c r="R120" s="33">
        <f>IF($T120=0,"",IF($AF120=1,"△ The log can't read this line",IF($W120=1,"△ Needs one owner, written as Name (Role)",IF($X120=1,"△ Look-again date missing, passed or too far ahead",IF($Y120=1,"△ No response",IF($Z120=1,"△ Closed without a date or a reason",IF($AA120=1,"△ Needs Provided by and Needed by, and Who answers as Name (Role)",IF($AB120=1,"△ Past its Needed by date","○ Clear"))))))))</f>
        <v/>
      </c>
      <c r="T120" s="34">
        <f>IF(COUNTA($A120:$Q120)&gt;0,1,0)</f>
        <v/>
      </c>
      <c r="U120" s="34">
        <f>IF(AND($T120=1,$J120&lt;&gt;"Closed"),1,0)</f>
        <v/>
      </c>
      <c r="V120" s="34">
        <f>IF(AND($U120=1,$Q120&lt;&gt;"Program workbook"),1,0)</f>
        <v/>
      </c>
      <c r="W120" s="34">
        <f>IF($V120=0,0,IF(OR(ISERROR(SEARCH(" (",$D120)),RIGHT(TRIM($D120),1)&lt;&gt;")",ISNUMBER(SEARCH(",",$AH120)),ISNUMBER(SEARCH("/",$AH120)),ISNUMBER(SEARCH(" and ",$AH120)),ISNUMBER(SEARCH("&amp;",$AH120))),1,0))</f>
        <v/>
      </c>
      <c r="X120" s="34">
        <f>IF($V120=0,0,IF(NOT(ISNUMBER($F120)),1,IF(OR($F120&lt;Summary!$K$4,$F120&gt;Summary!$K$4+Summary!$K$5,AND(ISNUMBER($P120),$F120&gt;$P120)),1,0)))</f>
        <v/>
      </c>
      <c r="Y120" s="34">
        <f>IF(AND($V120=1,OR($B120="Risk",$B120="Issue"),LEN(TRIM($I120))=0),1,0)</f>
        <v/>
      </c>
      <c r="Z120" s="34">
        <f>IF(AND($T120=1,$J120="Closed",OR(NOT(ISNUMBER($K120)),LEN(TRIM($L120))=0)),1,0)</f>
        <v/>
      </c>
      <c r="AA120" s="34">
        <f>IF(AND($U120=1,$B120="Dependency"),IF(OR(LEN(TRIM($N120))=0,NOT(ISNUMBER($P120)),NOT(AND(ISNUMBER(SEARCH(" (",$O120)),RIGHT(TRIM($O120),1)=")"))),1,0),0)</f>
        <v/>
      </c>
      <c r="AB120" s="34">
        <f>IF(AND($V120=1,$B120="Dependency",ISNUMBER($P120)),IF($P120&lt;Summary!$K$4,1,0),0)</f>
        <v/>
      </c>
      <c r="AC120" s="34">
        <f>IF($T120=0,0,IF(OR($A120="",COUNTIF($A$4:$A$153,$A120)&gt;1,ISERROR(MATCH($B120,{"Risk","Assumption","Issue","Dependency"},0))),1,IF(INDEX({"R","A","I","X"},MATCH($B120,{"Risk","Assumption","Issue","Dependency"},0))&lt;&gt;LEFT($A120,1),1,0)))</f>
        <v/>
      </c>
      <c r="AD120" s="34">
        <f>IF($T120=0,0,IF(OR(ISERROR(MATCH($J120,{"Raised","Responding","Closed"},0)),ISERROR(MATCH($G120,{"Low","Medium","High"},0)),AND(OR($B120="Risk",$B120="Assumption"),ISERROR(MATCH($H120,{"Low","Medium","High"},0))),AND($Q120&lt;&gt;"",$Q120&lt;&gt;"This log",$Q120&lt;&gt;"Program workbook"),AND($J120&lt;&gt;"Closed",OR($K120&lt;&gt;"",LEN(TRIM($L120))&gt;0))),1,0))</f>
        <v/>
      </c>
      <c r="AE120" s="34">
        <f>IF($T120=0,0,IF(OR(NOT(ISNUMBER($E120)),AND($F120&lt;&gt;"",NOT(ISNUMBER($F120))),AND($K120&lt;&gt;"",NOT(ISNUMBER($K120))),AND($P120&lt;&gt;"",NOT(ISNUMBER($P120)))),1,0))</f>
        <v/>
      </c>
      <c r="AF120" s="34">
        <f>MAX($AC120,$AD120,$AE120)</f>
        <v/>
      </c>
      <c r="AG120" s="34">
        <f>IF($T120=0,0,IFERROR(--MID(TRIM($A120),2,9),0))</f>
        <v/>
      </c>
      <c r="AH120" s="22">
        <f>IFERROR(LEFT(TRIM($D120),SEARCH(" (",TRIM($D120))-1),TRIM($D120))</f>
        <v/>
      </c>
      <c r="AI120" s="34">
        <f>IF(AND($T120=1,$J120="Closed",$G120="High",ISNUMBER($K120)),IF($K120&gt;=Summary!$K$6,1,0),0)</f>
        <v/>
      </c>
      <c r="AJ120" s="34">
        <f>IF($AI120=1,SUM($AI$4:$AI120),0)</f>
        <v/>
      </c>
    </row>
    <row r="121" ht="18" customHeight="1">
      <c r="A121" s="30" t="n"/>
      <c r="B121" s="30" t="n"/>
      <c r="C121" s="31" t="n"/>
      <c r="D121" s="31" t="n"/>
      <c r="E121" s="32" t="n"/>
      <c r="F121" s="32" t="n"/>
      <c r="G121" s="30" t="n"/>
      <c r="H121" s="30" t="n"/>
      <c r="I121" s="31" t="n"/>
      <c r="J121" s="30" t="n"/>
      <c r="K121" s="32" t="n"/>
      <c r="L121" s="31" t="n"/>
      <c r="M121" s="30" t="n"/>
      <c r="N121" s="31" t="n"/>
      <c r="O121" s="31" t="n"/>
      <c r="P121" s="32" t="n"/>
      <c r="Q121" s="30" t="n"/>
      <c r="R121" s="33">
        <f>IF($T121=0,"",IF($AF121=1,"△ The log can't read this line",IF($W121=1,"△ Needs one owner, written as Name (Role)",IF($X121=1,"△ Look-again date missing, passed or too far ahead",IF($Y121=1,"△ No response",IF($Z121=1,"△ Closed without a date or a reason",IF($AA121=1,"△ Needs Provided by and Needed by, and Who answers as Name (Role)",IF($AB121=1,"△ Past its Needed by date","○ Clear"))))))))</f>
        <v/>
      </c>
      <c r="T121" s="34">
        <f>IF(COUNTA($A121:$Q121)&gt;0,1,0)</f>
        <v/>
      </c>
      <c r="U121" s="34">
        <f>IF(AND($T121=1,$J121&lt;&gt;"Closed"),1,0)</f>
        <v/>
      </c>
      <c r="V121" s="34">
        <f>IF(AND($U121=1,$Q121&lt;&gt;"Program workbook"),1,0)</f>
        <v/>
      </c>
      <c r="W121" s="34">
        <f>IF($V121=0,0,IF(OR(ISERROR(SEARCH(" (",$D121)),RIGHT(TRIM($D121),1)&lt;&gt;")",ISNUMBER(SEARCH(",",$AH121)),ISNUMBER(SEARCH("/",$AH121)),ISNUMBER(SEARCH(" and ",$AH121)),ISNUMBER(SEARCH("&amp;",$AH121))),1,0))</f>
        <v/>
      </c>
      <c r="X121" s="34">
        <f>IF($V121=0,0,IF(NOT(ISNUMBER($F121)),1,IF(OR($F121&lt;Summary!$K$4,$F121&gt;Summary!$K$4+Summary!$K$5,AND(ISNUMBER($P121),$F121&gt;$P121)),1,0)))</f>
        <v/>
      </c>
      <c r="Y121" s="34">
        <f>IF(AND($V121=1,OR($B121="Risk",$B121="Issue"),LEN(TRIM($I121))=0),1,0)</f>
        <v/>
      </c>
      <c r="Z121" s="34">
        <f>IF(AND($T121=1,$J121="Closed",OR(NOT(ISNUMBER($K121)),LEN(TRIM($L121))=0)),1,0)</f>
        <v/>
      </c>
      <c r="AA121" s="34">
        <f>IF(AND($U121=1,$B121="Dependency"),IF(OR(LEN(TRIM($N121))=0,NOT(ISNUMBER($P121)),NOT(AND(ISNUMBER(SEARCH(" (",$O121)),RIGHT(TRIM($O121),1)=")"))),1,0),0)</f>
        <v/>
      </c>
      <c r="AB121" s="34">
        <f>IF(AND($V121=1,$B121="Dependency",ISNUMBER($P121)),IF($P121&lt;Summary!$K$4,1,0),0)</f>
        <v/>
      </c>
      <c r="AC121" s="34">
        <f>IF($T121=0,0,IF(OR($A121="",COUNTIF($A$4:$A$153,$A121)&gt;1,ISERROR(MATCH($B121,{"Risk","Assumption","Issue","Dependency"},0))),1,IF(INDEX({"R","A","I","X"},MATCH($B121,{"Risk","Assumption","Issue","Dependency"},0))&lt;&gt;LEFT($A121,1),1,0)))</f>
        <v/>
      </c>
      <c r="AD121" s="34">
        <f>IF($T121=0,0,IF(OR(ISERROR(MATCH($J121,{"Raised","Responding","Closed"},0)),ISERROR(MATCH($G121,{"Low","Medium","High"},0)),AND(OR($B121="Risk",$B121="Assumption"),ISERROR(MATCH($H121,{"Low","Medium","High"},0))),AND($Q121&lt;&gt;"",$Q121&lt;&gt;"This log",$Q121&lt;&gt;"Program workbook"),AND($J121&lt;&gt;"Closed",OR($K121&lt;&gt;"",LEN(TRIM($L121))&gt;0))),1,0))</f>
        <v/>
      </c>
      <c r="AE121" s="34">
        <f>IF($T121=0,0,IF(OR(NOT(ISNUMBER($E121)),AND($F121&lt;&gt;"",NOT(ISNUMBER($F121))),AND($K121&lt;&gt;"",NOT(ISNUMBER($K121))),AND($P121&lt;&gt;"",NOT(ISNUMBER($P121)))),1,0))</f>
        <v/>
      </c>
      <c r="AF121" s="34">
        <f>MAX($AC121,$AD121,$AE121)</f>
        <v/>
      </c>
      <c r="AG121" s="34">
        <f>IF($T121=0,0,IFERROR(--MID(TRIM($A121),2,9),0))</f>
        <v/>
      </c>
      <c r="AH121" s="22">
        <f>IFERROR(LEFT(TRIM($D121),SEARCH(" (",TRIM($D121))-1),TRIM($D121))</f>
        <v/>
      </c>
      <c r="AI121" s="34">
        <f>IF(AND($T121=1,$J121="Closed",$G121="High",ISNUMBER($K121)),IF($K121&gt;=Summary!$K$6,1,0),0)</f>
        <v/>
      </c>
      <c r="AJ121" s="34">
        <f>IF($AI121=1,SUM($AI$4:$AI121),0)</f>
        <v/>
      </c>
    </row>
    <row r="122" ht="18" customHeight="1">
      <c r="A122" s="30" t="n"/>
      <c r="B122" s="30" t="n"/>
      <c r="C122" s="31" t="n"/>
      <c r="D122" s="31" t="n"/>
      <c r="E122" s="32" t="n"/>
      <c r="F122" s="32" t="n"/>
      <c r="G122" s="30" t="n"/>
      <c r="H122" s="30" t="n"/>
      <c r="I122" s="31" t="n"/>
      <c r="J122" s="30" t="n"/>
      <c r="K122" s="32" t="n"/>
      <c r="L122" s="31" t="n"/>
      <c r="M122" s="30" t="n"/>
      <c r="N122" s="31" t="n"/>
      <c r="O122" s="31" t="n"/>
      <c r="P122" s="32" t="n"/>
      <c r="Q122" s="30" t="n"/>
      <c r="R122" s="33">
        <f>IF($T122=0,"",IF($AF122=1,"△ The log can't read this line",IF($W122=1,"△ Needs one owner, written as Name (Role)",IF($X122=1,"△ Look-again date missing, passed or too far ahead",IF($Y122=1,"△ No response",IF($Z122=1,"△ Closed without a date or a reason",IF($AA122=1,"△ Needs Provided by and Needed by, and Who answers as Name (Role)",IF($AB122=1,"△ Past its Needed by date","○ Clear"))))))))</f>
        <v/>
      </c>
      <c r="T122" s="34">
        <f>IF(COUNTA($A122:$Q122)&gt;0,1,0)</f>
        <v/>
      </c>
      <c r="U122" s="34">
        <f>IF(AND($T122=1,$J122&lt;&gt;"Closed"),1,0)</f>
        <v/>
      </c>
      <c r="V122" s="34">
        <f>IF(AND($U122=1,$Q122&lt;&gt;"Program workbook"),1,0)</f>
        <v/>
      </c>
      <c r="W122" s="34">
        <f>IF($V122=0,0,IF(OR(ISERROR(SEARCH(" (",$D122)),RIGHT(TRIM($D122),1)&lt;&gt;")",ISNUMBER(SEARCH(",",$AH122)),ISNUMBER(SEARCH("/",$AH122)),ISNUMBER(SEARCH(" and ",$AH122)),ISNUMBER(SEARCH("&amp;",$AH122))),1,0))</f>
        <v/>
      </c>
      <c r="X122" s="34">
        <f>IF($V122=0,0,IF(NOT(ISNUMBER($F122)),1,IF(OR($F122&lt;Summary!$K$4,$F122&gt;Summary!$K$4+Summary!$K$5,AND(ISNUMBER($P122),$F122&gt;$P122)),1,0)))</f>
        <v/>
      </c>
      <c r="Y122" s="34">
        <f>IF(AND($V122=1,OR($B122="Risk",$B122="Issue"),LEN(TRIM($I122))=0),1,0)</f>
        <v/>
      </c>
      <c r="Z122" s="34">
        <f>IF(AND($T122=1,$J122="Closed",OR(NOT(ISNUMBER($K122)),LEN(TRIM($L122))=0)),1,0)</f>
        <v/>
      </c>
      <c r="AA122" s="34">
        <f>IF(AND($U122=1,$B122="Dependency"),IF(OR(LEN(TRIM($N122))=0,NOT(ISNUMBER($P122)),NOT(AND(ISNUMBER(SEARCH(" (",$O122)),RIGHT(TRIM($O122),1)=")"))),1,0),0)</f>
        <v/>
      </c>
      <c r="AB122" s="34">
        <f>IF(AND($V122=1,$B122="Dependency",ISNUMBER($P122)),IF($P122&lt;Summary!$K$4,1,0),0)</f>
        <v/>
      </c>
      <c r="AC122" s="34">
        <f>IF($T122=0,0,IF(OR($A122="",COUNTIF($A$4:$A$153,$A122)&gt;1,ISERROR(MATCH($B122,{"Risk","Assumption","Issue","Dependency"},0))),1,IF(INDEX({"R","A","I","X"},MATCH($B122,{"Risk","Assumption","Issue","Dependency"},0))&lt;&gt;LEFT($A122,1),1,0)))</f>
        <v/>
      </c>
      <c r="AD122" s="34">
        <f>IF($T122=0,0,IF(OR(ISERROR(MATCH($J122,{"Raised","Responding","Closed"},0)),ISERROR(MATCH($G122,{"Low","Medium","High"},0)),AND(OR($B122="Risk",$B122="Assumption"),ISERROR(MATCH($H122,{"Low","Medium","High"},0))),AND($Q122&lt;&gt;"",$Q122&lt;&gt;"This log",$Q122&lt;&gt;"Program workbook"),AND($J122&lt;&gt;"Closed",OR($K122&lt;&gt;"",LEN(TRIM($L122))&gt;0))),1,0))</f>
        <v/>
      </c>
      <c r="AE122" s="34">
        <f>IF($T122=0,0,IF(OR(NOT(ISNUMBER($E122)),AND($F122&lt;&gt;"",NOT(ISNUMBER($F122))),AND($K122&lt;&gt;"",NOT(ISNUMBER($K122))),AND($P122&lt;&gt;"",NOT(ISNUMBER($P122)))),1,0))</f>
        <v/>
      </c>
      <c r="AF122" s="34">
        <f>MAX($AC122,$AD122,$AE122)</f>
        <v/>
      </c>
      <c r="AG122" s="34">
        <f>IF($T122=0,0,IFERROR(--MID(TRIM($A122),2,9),0))</f>
        <v/>
      </c>
      <c r="AH122" s="22">
        <f>IFERROR(LEFT(TRIM($D122),SEARCH(" (",TRIM($D122))-1),TRIM($D122))</f>
        <v/>
      </c>
      <c r="AI122" s="34">
        <f>IF(AND($T122=1,$J122="Closed",$G122="High",ISNUMBER($K122)),IF($K122&gt;=Summary!$K$6,1,0),0)</f>
        <v/>
      </c>
      <c r="AJ122" s="34">
        <f>IF($AI122=1,SUM($AI$4:$AI122),0)</f>
        <v/>
      </c>
    </row>
    <row r="123" ht="18" customHeight="1">
      <c r="A123" s="30" t="n"/>
      <c r="B123" s="30" t="n"/>
      <c r="C123" s="31" t="n"/>
      <c r="D123" s="31" t="n"/>
      <c r="E123" s="32" t="n"/>
      <c r="F123" s="32" t="n"/>
      <c r="G123" s="30" t="n"/>
      <c r="H123" s="30" t="n"/>
      <c r="I123" s="31" t="n"/>
      <c r="J123" s="30" t="n"/>
      <c r="K123" s="32" t="n"/>
      <c r="L123" s="31" t="n"/>
      <c r="M123" s="30" t="n"/>
      <c r="N123" s="31" t="n"/>
      <c r="O123" s="31" t="n"/>
      <c r="P123" s="32" t="n"/>
      <c r="Q123" s="30" t="n"/>
      <c r="R123" s="33">
        <f>IF($T123=0,"",IF($AF123=1,"△ The log can't read this line",IF($W123=1,"△ Needs one owner, written as Name (Role)",IF($X123=1,"△ Look-again date missing, passed or too far ahead",IF($Y123=1,"△ No response",IF($Z123=1,"△ Closed without a date or a reason",IF($AA123=1,"△ Needs Provided by and Needed by, and Who answers as Name (Role)",IF($AB123=1,"△ Past its Needed by date","○ Clear"))))))))</f>
        <v/>
      </c>
      <c r="T123" s="34">
        <f>IF(COUNTA($A123:$Q123)&gt;0,1,0)</f>
        <v/>
      </c>
      <c r="U123" s="34">
        <f>IF(AND($T123=1,$J123&lt;&gt;"Closed"),1,0)</f>
        <v/>
      </c>
      <c r="V123" s="34">
        <f>IF(AND($U123=1,$Q123&lt;&gt;"Program workbook"),1,0)</f>
        <v/>
      </c>
      <c r="W123" s="34">
        <f>IF($V123=0,0,IF(OR(ISERROR(SEARCH(" (",$D123)),RIGHT(TRIM($D123),1)&lt;&gt;")",ISNUMBER(SEARCH(",",$AH123)),ISNUMBER(SEARCH("/",$AH123)),ISNUMBER(SEARCH(" and ",$AH123)),ISNUMBER(SEARCH("&amp;",$AH123))),1,0))</f>
        <v/>
      </c>
      <c r="X123" s="34">
        <f>IF($V123=0,0,IF(NOT(ISNUMBER($F123)),1,IF(OR($F123&lt;Summary!$K$4,$F123&gt;Summary!$K$4+Summary!$K$5,AND(ISNUMBER($P123),$F123&gt;$P123)),1,0)))</f>
        <v/>
      </c>
      <c r="Y123" s="34">
        <f>IF(AND($V123=1,OR($B123="Risk",$B123="Issue"),LEN(TRIM($I123))=0),1,0)</f>
        <v/>
      </c>
      <c r="Z123" s="34">
        <f>IF(AND($T123=1,$J123="Closed",OR(NOT(ISNUMBER($K123)),LEN(TRIM($L123))=0)),1,0)</f>
        <v/>
      </c>
      <c r="AA123" s="34">
        <f>IF(AND($U123=1,$B123="Dependency"),IF(OR(LEN(TRIM($N123))=0,NOT(ISNUMBER($P123)),NOT(AND(ISNUMBER(SEARCH(" (",$O123)),RIGHT(TRIM($O123),1)=")"))),1,0),0)</f>
        <v/>
      </c>
      <c r="AB123" s="34">
        <f>IF(AND($V123=1,$B123="Dependency",ISNUMBER($P123)),IF($P123&lt;Summary!$K$4,1,0),0)</f>
        <v/>
      </c>
      <c r="AC123" s="34">
        <f>IF($T123=0,0,IF(OR($A123="",COUNTIF($A$4:$A$153,$A123)&gt;1,ISERROR(MATCH($B123,{"Risk","Assumption","Issue","Dependency"},0))),1,IF(INDEX({"R","A","I","X"},MATCH($B123,{"Risk","Assumption","Issue","Dependency"},0))&lt;&gt;LEFT($A123,1),1,0)))</f>
        <v/>
      </c>
      <c r="AD123" s="34">
        <f>IF($T123=0,0,IF(OR(ISERROR(MATCH($J123,{"Raised","Responding","Closed"},0)),ISERROR(MATCH($G123,{"Low","Medium","High"},0)),AND(OR($B123="Risk",$B123="Assumption"),ISERROR(MATCH($H123,{"Low","Medium","High"},0))),AND($Q123&lt;&gt;"",$Q123&lt;&gt;"This log",$Q123&lt;&gt;"Program workbook"),AND($J123&lt;&gt;"Closed",OR($K123&lt;&gt;"",LEN(TRIM($L123))&gt;0))),1,0))</f>
        <v/>
      </c>
      <c r="AE123" s="34">
        <f>IF($T123=0,0,IF(OR(NOT(ISNUMBER($E123)),AND($F123&lt;&gt;"",NOT(ISNUMBER($F123))),AND($K123&lt;&gt;"",NOT(ISNUMBER($K123))),AND($P123&lt;&gt;"",NOT(ISNUMBER($P123)))),1,0))</f>
        <v/>
      </c>
      <c r="AF123" s="34">
        <f>MAX($AC123,$AD123,$AE123)</f>
        <v/>
      </c>
      <c r="AG123" s="34">
        <f>IF($T123=0,0,IFERROR(--MID(TRIM($A123),2,9),0))</f>
        <v/>
      </c>
      <c r="AH123" s="22">
        <f>IFERROR(LEFT(TRIM($D123),SEARCH(" (",TRIM($D123))-1),TRIM($D123))</f>
        <v/>
      </c>
      <c r="AI123" s="34">
        <f>IF(AND($T123=1,$J123="Closed",$G123="High",ISNUMBER($K123)),IF($K123&gt;=Summary!$K$6,1,0),0)</f>
        <v/>
      </c>
      <c r="AJ123" s="34">
        <f>IF($AI123=1,SUM($AI$4:$AI123),0)</f>
        <v/>
      </c>
    </row>
    <row r="124" ht="18" customHeight="1">
      <c r="A124" s="30" t="n"/>
      <c r="B124" s="30" t="n"/>
      <c r="C124" s="31" t="n"/>
      <c r="D124" s="31" t="n"/>
      <c r="E124" s="32" t="n"/>
      <c r="F124" s="32" t="n"/>
      <c r="G124" s="30" t="n"/>
      <c r="H124" s="30" t="n"/>
      <c r="I124" s="31" t="n"/>
      <c r="J124" s="30" t="n"/>
      <c r="K124" s="32" t="n"/>
      <c r="L124" s="31" t="n"/>
      <c r="M124" s="30" t="n"/>
      <c r="N124" s="31" t="n"/>
      <c r="O124" s="31" t="n"/>
      <c r="P124" s="32" t="n"/>
      <c r="Q124" s="30" t="n"/>
      <c r="R124" s="33">
        <f>IF($T124=0,"",IF($AF124=1,"△ The log can't read this line",IF($W124=1,"△ Needs one owner, written as Name (Role)",IF($X124=1,"△ Look-again date missing, passed or too far ahead",IF($Y124=1,"△ No response",IF($Z124=1,"△ Closed without a date or a reason",IF($AA124=1,"△ Needs Provided by and Needed by, and Who answers as Name (Role)",IF($AB124=1,"△ Past its Needed by date","○ Clear"))))))))</f>
        <v/>
      </c>
      <c r="T124" s="34">
        <f>IF(COUNTA($A124:$Q124)&gt;0,1,0)</f>
        <v/>
      </c>
      <c r="U124" s="34">
        <f>IF(AND($T124=1,$J124&lt;&gt;"Closed"),1,0)</f>
        <v/>
      </c>
      <c r="V124" s="34">
        <f>IF(AND($U124=1,$Q124&lt;&gt;"Program workbook"),1,0)</f>
        <v/>
      </c>
      <c r="W124" s="34">
        <f>IF($V124=0,0,IF(OR(ISERROR(SEARCH(" (",$D124)),RIGHT(TRIM($D124),1)&lt;&gt;")",ISNUMBER(SEARCH(",",$AH124)),ISNUMBER(SEARCH("/",$AH124)),ISNUMBER(SEARCH(" and ",$AH124)),ISNUMBER(SEARCH("&amp;",$AH124))),1,0))</f>
        <v/>
      </c>
      <c r="X124" s="34">
        <f>IF($V124=0,0,IF(NOT(ISNUMBER($F124)),1,IF(OR($F124&lt;Summary!$K$4,$F124&gt;Summary!$K$4+Summary!$K$5,AND(ISNUMBER($P124),$F124&gt;$P124)),1,0)))</f>
        <v/>
      </c>
      <c r="Y124" s="34">
        <f>IF(AND($V124=1,OR($B124="Risk",$B124="Issue"),LEN(TRIM($I124))=0),1,0)</f>
        <v/>
      </c>
      <c r="Z124" s="34">
        <f>IF(AND($T124=1,$J124="Closed",OR(NOT(ISNUMBER($K124)),LEN(TRIM($L124))=0)),1,0)</f>
        <v/>
      </c>
      <c r="AA124" s="34">
        <f>IF(AND($U124=1,$B124="Dependency"),IF(OR(LEN(TRIM($N124))=0,NOT(ISNUMBER($P124)),NOT(AND(ISNUMBER(SEARCH(" (",$O124)),RIGHT(TRIM($O124),1)=")"))),1,0),0)</f>
        <v/>
      </c>
      <c r="AB124" s="34">
        <f>IF(AND($V124=1,$B124="Dependency",ISNUMBER($P124)),IF($P124&lt;Summary!$K$4,1,0),0)</f>
        <v/>
      </c>
      <c r="AC124" s="34">
        <f>IF($T124=0,0,IF(OR($A124="",COUNTIF($A$4:$A$153,$A124)&gt;1,ISERROR(MATCH($B124,{"Risk","Assumption","Issue","Dependency"},0))),1,IF(INDEX({"R","A","I","X"},MATCH($B124,{"Risk","Assumption","Issue","Dependency"},0))&lt;&gt;LEFT($A124,1),1,0)))</f>
        <v/>
      </c>
      <c r="AD124" s="34">
        <f>IF($T124=0,0,IF(OR(ISERROR(MATCH($J124,{"Raised","Responding","Closed"},0)),ISERROR(MATCH($G124,{"Low","Medium","High"},0)),AND(OR($B124="Risk",$B124="Assumption"),ISERROR(MATCH($H124,{"Low","Medium","High"},0))),AND($Q124&lt;&gt;"",$Q124&lt;&gt;"This log",$Q124&lt;&gt;"Program workbook"),AND($J124&lt;&gt;"Closed",OR($K124&lt;&gt;"",LEN(TRIM($L124))&gt;0))),1,0))</f>
        <v/>
      </c>
      <c r="AE124" s="34">
        <f>IF($T124=0,0,IF(OR(NOT(ISNUMBER($E124)),AND($F124&lt;&gt;"",NOT(ISNUMBER($F124))),AND($K124&lt;&gt;"",NOT(ISNUMBER($K124))),AND($P124&lt;&gt;"",NOT(ISNUMBER($P124)))),1,0))</f>
        <v/>
      </c>
      <c r="AF124" s="34">
        <f>MAX($AC124,$AD124,$AE124)</f>
        <v/>
      </c>
      <c r="AG124" s="34">
        <f>IF($T124=0,0,IFERROR(--MID(TRIM($A124),2,9),0))</f>
        <v/>
      </c>
      <c r="AH124" s="22">
        <f>IFERROR(LEFT(TRIM($D124),SEARCH(" (",TRIM($D124))-1),TRIM($D124))</f>
        <v/>
      </c>
      <c r="AI124" s="34">
        <f>IF(AND($T124=1,$J124="Closed",$G124="High",ISNUMBER($K124)),IF($K124&gt;=Summary!$K$6,1,0),0)</f>
        <v/>
      </c>
      <c r="AJ124" s="34">
        <f>IF($AI124=1,SUM($AI$4:$AI124),0)</f>
        <v/>
      </c>
    </row>
    <row r="125" ht="18" customHeight="1">
      <c r="A125" s="30" t="n"/>
      <c r="B125" s="30" t="n"/>
      <c r="C125" s="31" t="n"/>
      <c r="D125" s="31" t="n"/>
      <c r="E125" s="32" t="n"/>
      <c r="F125" s="32" t="n"/>
      <c r="G125" s="30" t="n"/>
      <c r="H125" s="30" t="n"/>
      <c r="I125" s="31" t="n"/>
      <c r="J125" s="30" t="n"/>
      <c r="K125" s="32" t="n"/>
      <c r="L125" s="31" t="n"/>
      <c r="M125" s="30" t="n"/>
      <c r="N125" s="31" t="n"/>
      <c r="O125" s="31" t="n"/>
      <c r="P125" s="32" t="n"/>
      <c r="Q125" s="30" t="n"/>
      <c r="R125" s="33">
        <f>IF($T125=0,"",IF($AF125=1,"△ The log can't read this line",IF($W125=1,"△ Needs one owner, written as Name (Role)",IF($X125=1,"△ Look-again date missing, passed or too far ahead",IF($Y125=1,"△ No response",IF($Z125=1,"△ Closed without a date or a reason",IF($AA125=1,"△ Needs Provided by and Needed by, and Who answers as Name (Role)",IF($AB125=1,"△ Past its Needed by date","○ Clear"))))))))</f>
        <v/>
      </c>
      <c r="T125" s="34">
        <f>IF(COUNTA($A125:$Q125)&gt;0,1,0)</f>
        <v/>
      </c>
      <c r="U125" s="34">
        <f>IF(AND($T125=1,$J125&lt;&gt;"Closed"),1,0)</f>
        <v/>
      </c>
      <c r="V125" s="34">
        <f>IF(AND($U125=1,$Q125&lt;&gt;"Program workbook"),1,0)</f>
        <v/>
      </c>
      <c r="W125" s="34">
        <f>IF($V125=0,0,IF(OR(ISERROR(SEARCH(" (",$D125)),RIGHT(TRIM($D125),1)&lt;&gt;")",ISNUMBER(SEARCH(",",$AH125)),ISNUMBER(SEARCH("/",$AH125)),ISNUMBER(SEARCH(" and ",$AH125)),ISNUMBER(SEARCH("&amp;",$AH125))),1,0))</f>
        <v/>
      </c>
      <c r="X125" s="34">
        <f>IF($V125=0,0,IF(NOT(ISNUMBER($F125)),1,IF(OR($F125&lt;Summary!$K$4,$F125&gt;Summary!$K$4+Summary!$K$5,AND(ISNUMBER($P125),$F125&gt;$P125)),1,0)))</f>
        <v/>
      </c>
      <c r="Y125" s="34">
        <f>IF(AND($V125=1,OR($B125="Risk",$B125="Issue"),LEN(TRIM($I125))=0),1,0)</f>
        <v/>
      </c>
      <c r="Z125" s="34">
        <f>IF(AND($T125=1,$J125="Closed",OR(NOT(ISNUMBER($K125)),LEN(TRIM($L125))=0)),1,0)</f>
        <v/>
      </c>
      <c r="AA125" s="34">
        <f>IF(AND($U125=1,$B125="Dependency"),IF(OR(LEN(TRIM($N125))=0,NOT(ISNUMBER($P125)),NOT(AND(ISNUMBER(SEARCH(" (",$O125)),RIGHT(TRIM($O125),1)=")"))),1,0),0)</f>
        <v/>
      </c>
      <c r="AB125" s="34">
        <f>IF(AND($V125=1,$B125="Dependency",ISNUMBER($P125)),IF($P125&lt;Summary!$K$4,1,0),0)</f>
        <v/>
      </c>
      <c r="AC125" s="34">
        <f>IF($T125=0,0,IF(OR($A125="",COUNTIF($A$4:$A$153,$A125)&gt;1,ISERROR(MATCH($B125,{"Risk","Assumption","Issue","Dependency"},0))),1,IF(INDEX({"R","A","I","X"},MATCH($B125,{"Risk","Assumption","Issue","Dependency"},0))&lt;&gt;LEFT($A125,1),1,0)))</f>
        <v/>
      </c>
      <c r="AD125" s="34">
        <f>IF($T125=0,0,IF(OR(ISERROR(MATCH($J125,{"Raised","Responding","Closed"},0)),ISERROR(MATCH($G125,{"Low","Medium","High"},0)),AND(OR($B125="Risk",$B125="Assumption"),ISERROR(MATCH($H125,{"Low","Medium","High"},0))),AND($Q125&lt;&gt;"",$Q125&lt;&gt;"This log",$Q125&lt;&gt;"Program workbook"),AND($J125&lt;&gt;"Closed",OR($K125&lt;&gt;"",LEN(TRIM($L125))&gt;0))),1,0))</f>
        <v/>
      </c>
      <c r="AE125" s="34">
        <f>IF($T125=0,0,IF(OR(NOT(ISNUMBER($E125)),AND($F125&lt;&gt;"",NOT(ISNUMBER($F125))),AND($K125&lt;&gt;"",NOT(ISNUMBER($K125))),AND($P125&lt;&gt;"",NOT(ISNUMBER($P125)))),1,0))</f>
        <v/>
      </c>
      <c r="AF125" s="34">
        <f>MAX($AC125,$AD125,$AE125)</f>
        <v/>
      </c>
      <c r="AG125" s="34">
        <f>IF($T125=0,0,IFERROR(--MID(TRIM($A125),2,9),0))</f>
        <v/>
      </c>
      <c r="AH125" s="22">
        <f>IFERROR(LEFT(TRIM($D125),SEARCH(" (",TRIM($D125))-1),TRIM($D125))</f>
        <v/>
      </c>
      <c r="AI125" s="34">
        <f>IF(AND($T125=1,$J125="Closed",$G125="High",ISNUMBER($K125)),IF($K125&gt;=Summary!$K$6,1,0),0)</f>
        <v/>
      </c>
      <c r="AJ125" s="34">
        <f>IF($AI125=1,SUM($AI$4:$AI125),0)</f>
        <v/>
      </c>
    </row>
    <row r="126" ht="18" customHeight="1">
      <c r="A126" s="30" t="n"/>
      <c r="B126" s="30" t="n"/>
      <c r="C126" s="31" t="n"/>
      <c r="D126" s="31" t="n"/>
      <c r="E126" s="32" t="n"/>
      <c r="F126" s="32" t="n"/>
      <c r="G126" s="30" t="n"/>
      <c r="H126" s="30" t="n"/>
      <c r="I126" s="31" t="n"/>
      <c r="J126" s="30" t="n"/>
      <c r="K126" s="32" t="n"/>
      <c r="L126" s="31" t="n"/>
      <c r="M126" s="30" t="n"/>
      <c r="N126" s="31" t="n"/>
      <c r="O126" s="31" t="n"/>
      <c r="P126" s="32" t="n"/>
      <c r="Q126" s="30" t="n"/>
      <c r="R126" s="33">
        <f>IF($T126=0,"",IF($AF126=1,"△ The log can't read this line",IF($W126=1,"△ Needs one owner, written as Name (Role)",IF($X126=1,"△ Look-again date missing, passed or too far ahead",IF($Y126=1,"△ No response",IF($Z126=1,"△ Closed without a date or a reason",IF($AA126=1,"△ Needs Provided by and Needed by, and Who answers as Name (Role)",IF($AB126=1,"△ Past its Needed by date","○ Clear"))))))))</f>
        <v/>
      </c>
      <c r="T126" s="34">
        <f>IF(COUNTA($A126:$Q126)&gt;0,1,0)</f>
        <v/>
      </c>
      <c r="U126" s="34">
        <f>IF(AND($T126=1,$J126&lt;&gt;"Closed"),1,0)</f>
        <v/>
      </c>
      <c r="V126" s="34">
        <f>IF(AND($U126=1,$Q126&lt;&gt;"Program workbook"),1,0)</f>
        <v/>
      </c>
      <c r="W126" s="34">
        <f>IF($V126=0,0,IF(OR(ISERROR(SEARCH(" (",$D126)),RIGHT(TRIM($D126),1)&lt;&gt;")",ISNUMBER(SEARCH(",",$AH126)),ISNUMBER(SEARCH("/",$AH126)),ISNUMBER(SEARCH(" and ",$AH126)),ISNUMBER(SEARCH("&amp;",$AH126))),1,0))</f>
        <v/>
      </c>
      <c r="X126" s="34">
        <f>IF($V126=0,0,IF(NOT(ISNUMBER($F126)),1,IF(OR($F126&lt;Summary!$K$4,$F126&gt;Summary!$K$4+Summary!$K$5,AND(ISNUMBER($P126),$F126&gt;$P126)),1,0)))</f>
        <v/>
      </c>
      <c r="Y126" s="34">
        <f>IF(AND($V126=1,OR($B126="Risk",$B126="Issue"),LEN(TRIM($I126))=0),1,0)</f>
        <v/>
      </c>
      <c r="Z126" s="34">
        <f>IF(AND($T126=1,$J126="Closed",OR(NOT(ISNUMBER($K126)),LEN(TRIM($L126))=0)),1,0)</f>
        <v/>
      </c>
      <c r="AA126" s="34">
        <f>IF(AND($U126=1,$B126="Dependency"),IF(OR(LEN(TRIM($N126))=0,NOT(ISNUMBER($P126)),NOT(AND(ISNUMBER(SEARCH(" (",$O126)),RIGHT(TRIM($O126),1)=")"))),1,0),0)</f>
        <v/>
      </c>
      <c r="AB126" s="34">
        <f>IF(AND($V126=1,$B126="Dependency",ISNUMBER($P126)),IF($P126&lt;Summary!$K$4,1,0),0)</f>
        <v/>
      </c>
      <c r="AC126" s="34">
        <f>IF($T126=0,0,IF(OR($A126="",COUNTIF($A$4:$A$153,$A126)&gt;1,ISERROR(MATCH($B126,{"Risk","Assumption","Issue","Dependency"},0))),1,IF(INDEX({"R","A","I","X"},MATCH($B126,{"Risk","Assumption","Issue","Dependency"},0))&lt;&gt;LEFT($A126,1),1,0)))</f>
        <v/>
      </c>
      <c r="AD126" s="34">
        <f>IF($T126=0,0,IF(OR(ISERROR(MATCH($J126,{"Raised","Responding","Closed"},0)),ISERROR(MATCH($G126,{"Low","Medium","High"},0)),AND(OR($B126="Risk",$B126="Assumption"),ISERROR(MATCH($H126,{"Low","Medium","High"},0))),AND($Q126&lt;&gt;"",$Q126&lt;&gt;"This log",$Q126&lt;&gt;"Program workbook"),AND($J126&lt;&gt;"Closed",OR($K126&lt;&gt;"",LEN(TRIM($L126))&gt;0))),1,0))</f>
        <v/>
      </c>
      <c r="AE126" s="34">
        <f>IF($T126=0,0,IF(OR(NOT(ISNUMBER($E126)),AND($F126&lt;&gt;"",NOT(ISNUMBER($F126))),AND($K126&lt;&gt;"",NOT(ISNUMBER($K126))),AND($P126&lt;&gt;"",NOT(ISNUMBER($P126)))),1,0))</f>
        <v/>
      </c>
      <c r="AF126" s="34">
        <f>MAX($AC126,$AD126,$AE126)</f>
        <v/>
      </c>
      <c r="AG126" s="34">
        <f>IF($T126=0,0,IFERROR(--MID(TRIM($A126),2,9),0))</f>
        <v/>
      </c>
      <c r="AH126" s="22">
        <f>IFERROR(LEFT(TRIM($D126),SEARCH(" (",TRIM($D126))-1),TRIM($D126))</f>
        <v/>
      </c>
      <c r="AI126" s="34">
        <f>IF(AND($T126=1,$J126="Closed",$G126="High",ISNUMBER($K126)),IF($K126&gt;=Summary!$K$6,1,0),0)</f>
        <v/>
      </c>
      <c r="AJ126" s="34">
        <f>IF($AI126=1,SUM($AI$4:$AI126),0)</f>
        <v/>
      </c>
    </row>
    <row r="127" ht="18" customHeight="1">
      <c r="A127" s="30" t="n"/>
      <c r="B127" s="30" t="n"/>
      <c r="C127" s="31" t="n"/>
      <c r="D127" s="31" t="n"/>
      <c r="E127" s="32" t="n"/>
      <c r="F127" s="32" t="n"/>
      <c r="G127" s="30" t="n"/>
      <c r="H127" s="30" t="n"/>
      <c r="I127" s="31" t="n"/>
      <c r="J127" s="30" t="n"/>
      <c r="K127" s="32" t="n"/>
      <c r="L127" s="31" t="n"/>
      <c r="M127" s="30" t="n"/>
      <c r="N127" s="31" t="n"/>
      <c r="O127" s="31" t="n"/>
      <c r="P127" s="32" t="n"/>
      <c r="Q127" s="30" t="n"/>
      <c r="R127" s="33">
        <f>IF($T127=0,"",IF($AF127=1,"△ The log can't read this line",IF($W127=1,"△ Needs one owner, written as Name (Role)",IF($X127=1,"△ Look-again date missing, passed or too far ahead",IF($Y127=1,"△ No response",IF($Z127=1,"△ Closed without a date or a reason",IF($AA127=1,"△ Needs Provided by and Needed by, and Who answers as Name (Role)",IF($AB127=1,"△ Past its Needed by date","○ Clear"))))))))</f>
        <v/>
      </c>
      <c r="T127" s="34">
        <f>IF(COUNTA($A127:$Q127)&gt;0,1,0)</f>
        <v/>
      </c>
      <c r="U127" s="34">
        <f>IF(AND($T127=1,$J127&lt;&gt;"Closed"),1,0)</f>
        <v/>
      </c>
      <c r="V127" s="34">
        <f>IF(AND($U127=1,$Q127&lt;&gt;"Program workbook"),1,0)</f>
        <v/>
      </c>
      <c r="W127" s="34">
        <f>IF($V127=0,0,IF(OR(ISERROR(SEARCH(" (",$D127)),RIGHT(TRIM($D127),1)&lt;&gt;")",ISNUMBER(SEARCH(",",$AH127)),ISNUMBER(SEARCH("/",$AH127)),ISNUMBER(SEARCH(" and ",$AH127)),ISNUMBER(SEARCH("&amp;",$AH127))),1,0))</f>
        <v/>
      </c>
      <c r="X127" s="34">
        <f>IF($V127=0,0,IF(NOT(ISNUMBER($F127)),1,IF(OR($F127&lt;Summary!$K$4,$F127&gt;Summary!$K$4+Summary!$K$5,AND(ISNUMBER($P127),$F127&gt;$P127)),1,0)))</f>
        <v/>
      </c>
      <c r="Y127" s="34">
        <f>IF(AND($V127=1,OR($B127="Risk",$B127="Issue"),LEN(TRIM($I127))=0),1,0)</f>
        <v/>
      </c>
      <c r="Z127" s="34">
        <f>IF(AND($T127=1,$J127="Closed",OR(NOT(ISNUMBER($K127)),LEN(TRIM($L127))=0)),1,0)</f>
        <v/>
      </c>
      <c r="AA127" s="34">
        <f>IF(AND($U127=1,$B127="Dependency"),IF(OR(LEN(TRIM($N127))=0,NOT(ISNUMBER($P127)),NOT(AND(ISNUMBER(SEARCH(" (",$O127)),RIGHT(TRIM($O127),1)=")"))),1,0),0)</f>
        <v/>
      </c>
      <c r="AB127" s="34">
        <f>IF(AND($V127=1,$B127="Dependency",ISNUMBER($P127)),IF($P127&lt;Summary!$K$4,1,0),0)</f>
        <v/>
      </c>
      <c r="AC127" s="34">
        <f>IF($T127=0,0,IF(OR($A127="",COUNTIF($A$4:$A$153,$A127)&gt;1,ISERROR(MATCH($B127,{"Risk","Assumption","Issue","Dependency"},0))),1,IF(INDEX({"R","A","I","X"},MATCH($B127,{"Risk","Assumption","Issue","Dependency"},0))&lt;&gt;LEFT($A127,1),1,0)))</f>
        <v/>
      </c>
      <c r="AD127" s="34">
        <f>IF($T127=0,0,IF(OR(ISERROR(MATCH($J127,{"Raised","Responding","Closed"},0)),ISERROR(MATCH($G127,{"Low","Medium","High"},0)),AND(OR($B127="Risk",$B127="Assumption"),ISERROR(MATCH($H127,{"Low","Medium","High"},0))),AND($Q127&lt;&gt;"",$Q127&lt;&gt;"This log",$Q127&lt;&gt;"Program workbook"),AND($J127&lt;&gt;"Closed",OR($K127&lt;&gt;"",LEN(TRIM($L127))&gt;0))),1,0))</f>
        <v/>
      </c>
      <c r="AE127" s="34">
        <f>IF($T127=0,0,IF(OR(NOT(ISNUMBER($E127)),AND($F127&lt;&gt;"",NOT(ISNUMBER($F127))),AND($K127&lt;&gt;"",NOT(ISNUMBER($K127))),AND($P127&lt;&gt;"",NOT(ISNUMBER($P127)))),1,0))</f>
        <v/>
      </c>
      <c r="AF127" s="34">
        <f>MAX($AC127,$AD127,$AE127)</f>
        <v/>
      </c>
      <c r="AG127" s="34">
        <f>IF($T127=0,0,IFERROR(--MID(TRIM($A127),2,9),0))</f>
        <v/>
      </c>
      <c r="AH127" s="22">
        <f>IFERROR(LEFT(TRIM($D127),SEARCH(" (",TRIM($D127))-1),TRIM($D127))</f>
        <v/>
      </c>
      <c r="AI127" s="34">
        <f>IF(AND($T127=1,$J127="Closed",$G127="High",ISNUMBER($K127)),IF($K127&gt;=Summary!$K$6,1,0),0)</f>
        <v/>
      </c>
      <c r="AJ127" s="34">
        <f>IF($AI127=1,SUM($AI$4:$AI127),0)</f>
        <v/>
      </c>
    </row>
    <row r="128" ht="18" customHeight="1">
      <c r="A128" s="30" t="n"/>
      <c r="B128" s="30" t="n"/>
      <c r="C128" s="31" t="n"/>
      <c r="D128" s="31" t="n"/>
      <c r="E128" s="32" t="n"/>
      <c r="F128" s="32" t="n"/>
      <c r="G128" s="30" t="n"/>
      <c r="H128" s="30" t="n"/>
      <c r="I128" s="31" t="n"/>
      <c r="J128" s="30" t="n"/>
      <c r="K128" s="32" t="n"/>
      <c r="L128" s="31" t="n"/>
      <c r="M128" s="30" t="n"/>
      <c r="N128" s="31" t="n"/>
      <c r="O128" s="31" t="n"/>
      <c r="P128" s="32" t="n"/>
      <c r="Q128" s="30" t="n"/>
      <c r="R128" s="33">
        <f>IF($T128=0,"",IF($AF128=1,"△ The log can't read this line",IF($W128=1,"△ Needs one owner, written as Name (Role)",IF($X128=1,"△ Look-again date missing, passed or too far ahead",IF($Y128=1,"△ No response",IF($Z128=1,"△ Closed without a date or a reason",IF($AA128=1,"△ Needs Provided by and Needed by, and Who answers as Name (Role)",IF($AB128=1,"△ Past its Needed by date","○ Clear"))))))))</f>
        <v/>
      </c>
      <c r="T128" s="34">
        <f>IF(COUNTA($A128:$Q128)&gt;0,1,0)</f>
        <v/>
      </c>
      <c r="U128" s="34">
        <f>IF(AND($T128=1,$J128&lt;&gt;"Closed"),1,0)</f>
        <v/>
      </c>
      <c r="V128" s="34">
        <f>IF(AND($U128=1,$Q128&lt;&gt;"Program workbook"),1,0)</f>
        <v/>
      </c>
      <c r="W128" s="34">
        <f>IF($V128=0,0,IF(OR(ISERROR(SEARCH(" (",$D128)),RIGHT(TRIM($D128),1)&lt;&gt;")",ISNUMBER(SEARCH(",",$AH128)),ISNUMBER(SEARCH("/",$AH128)),ISNUMBER(SEARCH(" and ",$AH128)),ISNUMBER(SEARCH("&amp;",$AH128))),1,0))</f>
        <v/>
      </c>
      <c r="X128" s="34">
        <f>IF($V128=0,0,IF(NOT(ISNUMBER($F128)),1,IF(OR($F128&lt;Summary!$K$4,$F128&gt;Summary!$K$4+Summary!$K$5,AND(ISNUMBER($P128),$F128&gt;$P128)),1,0)))</f>
        <v/>
      </c>
      <c r="Y128" s="34">
        <f>IF(AND($V128=1,OR($B128="Risk",$B128="Issue"),LEN(TRIM($I128))=0),1,0)</f>
        <v/>
      </c>
      <c r="Z128" s="34">
        <f>IF(AND($T128=1,$J128="Closed",OR(NOT(ISNUMBER($K128)),LEN(TRIM($L128))=0)),1,0)</f>
        <v/>
      </c>
      <c r="AA128" s="34">
        <f>IF(AND($U128=1,$B128="Dependency"),IF(OR(LEN(TRIM($N128))=0,NOT(ISNUMBER($P128)),NOT(AND(ISNUMBER(SEARCH(" (",$O128)),RIGHT(TRIM($O128),1)=")"))),1,0),0)</f>
        <v/>
      </c>
      <c r="AB128" s="34">
        <f>IF(AND($V128=1,$B128="Dependency",ISNUMBER($P128)),IF($P128&lt;Summary!$K$4,1,0),0)</f>
        <v/>
      </c>
      <c r="AC128" s="34">
        <f>IF($T128=0,0,IF(OR($A128="",COUNTIF($A$4:$A$153,$A128)&gt;1,ISERROR(MATCH($B128,{"Risk","Assumption","Issue","Dependency"},0))),1,IF(INDEX({"R","A","I","X"},MATCH($B128,{"Risk","Assumption","Issue","Dependency"},0))&lt;&gt;LEFT($A128,1),1,0)))</f>
        <v/>
      </c>
      <c r="AD128" s="34">
        <f>IF($T128=0,0,IF(OR(ISERROR(MATCH($J128,{"Raised","Responding","Closed"},0)),ISERROR(MATCH($G128,{"Low","Medium","High"},0)),AND(OR($B128="Risk",$B128="Assumption"),ISERROR(MATCH($H128,{"Low","Medium","High"},0))),AND($Q128&lt;&gt;"",$Q128&lt;&gt;"This log",$Q128&lt;&gt;"Program workbook"),AND($J128&lt;&gt;"Closed",OR($K128&lt;&gt;"",LEN(TRIM($L128))&gt;0))),1,0))</f>
        <v/>
      </c>
      <c r="AE128" s="34">
        <f>IF($T128=0,0,IF(OR(NOT(ISNUMBER($E128)),AND($F128&lt;&gt;"",NOT(ISNUMBER($F128))),AND($K128&lt;&gt;"",NOT(ISNUMBER($K128))),AND($P128&lt;&gt;"",NOT(ISNUMBER($P128)))),1,0))</f>
        <v/>
      </c>
      <c r="AF128" s="34">
        <f>MAX($AC128,$AD128,$AE128)</f>
        <v/>
      </c>
      <c r="AG128" s="34">
        <f>IF($T128=0,0,IFERROR(--MID(TRIM($A128),2,9),0))</f>
        <v/>
      </c>
      <c r="AH128" s="22">
        <f>IFERROR(LEFT(TRIM($D128),SEARCH(" (",TRIM($D128))-1),TRIM($D128))</f>
        <v/>
      </c>
      <c r="AI128" s="34">
        <f>IF(AND($T128=1,$J128="Closed",$G128="High",ISNUMBER($K128)),IF($K128&gt;=Summary!$K$6,1,0),0)</f>
        <v/>
      </c>
      <c r="AJ128" s="34">
        <f>IF($AI128=1,SUM($AI$4:$AI128),0)</f>
        <v/>
      </c>
    </row>
    <row r="129" ht="18" customHeight="1">
      <c r="A129" s="30" t="n"/>
      <c r="B129" s="30" t="n"/>
      <c r="C129" s="31" t="n"/>
      <c r="D129" s="31" t="n"/>
      <c r="E129" s="32" t="n"/>
      <c r="F129" s="32" t="n"/>
      <c r="G129" s="30" t="n"/>
      <c r="H129" s="30" t="n"/>
      <c r="I129" s="31" t="n"/>
      <c r="J129" s="30" t="n"/>
      <c r="K129" s="32" t="n"/>
      <c r="L129" s="31" t="n"/>
      <c r="M129" s="30" t="n"/>
      <c r="N129" s="31" t="n"/>
      <c r="O129" s="31" t="n"/>
      <c r="P129" s="32" t="n"/>
      <c r="Q129" s="30" t="n"/>
      <c r="R129" s="33">
        <f>IF($T129=0,"",IF($AF129=1,"△ The log can't read this line",IF($W129=1,"△ Needs one owner, written as Name (Role)",IF($X129=1,"△ Look-again date missing, passed or too far ahead",IF($Y129=1,"△ No response",IF($Z129=1,"△ Closed without a date or a reason",IF($AA129=1,"△ Needs Provided by and Needed by, and Who answers as Name (Role)",IF($AB129=1,"△ Past its Needed by date","○ Clear"))))))))</f>
        <v/>
      </c>
      <c r="T129" s="34">
        <f>IF(COUNTA($A129:$Q129)&gt;0,1,0)</f>
        <v/>
      </c>
      <c r="U129" s="34">
        <f>IF(AND($T129=1,$J129&lt;&gt;"Closed"),1,0)</f>
        <v/>
      </c>
      <c r="V129" s="34">
        <f>IF(AND($U129=1,$Q129&lt;&gt;"Program workbook"),1,0)</f>
        <v/>
      </c>
      <c r="W129" s="34">
        <f>IF($V129=0,0,IF(OR(ISERROR(SEARCH(" (",$D129)),RIGHT(TRIM($D129),1)&lt;&gt;")",ISNUMBER(SEARCH(",",$AH129)),ISNUMBER(SEARCH("/",$AH129)),ISNUMBER(SEARCH(" and ",$AH129)),ISNUMBER(SEARCH("&amp;",$AH129))),1,0))</f>
        <v/>
      </c>
      <c r="X129" s="34">
        <f>IF($V129=0,0,IF(NOT(ISNUMBER($F129)),1,IF(OR($F129&lt;Summary!$K$4,$F129&gt;Summary!$K$4+Summary!$K$5,AND(ISNUMBER($P129),$F129&gt;$P129)),1,0)))</f>
        <v/>
      </c>
      <c r="Y129" s="34">
        <f>IF(AND($V129=1,OR($B129="Risk",$B129="Issue"),LEN(TRIM($I129))=0),1,0)</f>
        <v/>
      </c>
      <c r="Z129" s="34">
        <f>IF(AND($T129=1,$J129="Closed",OR(NOT(ISNUMBER($K129)),LEN(TRIM($L129))=0)),1,0)</f>
        <v/>
      </c>
      <c r="AA129" s="34">
        <f>IF(AND($U129=1,$B129="Dependency"),IF(OR(LEN(TRIM($N129))=0,NOT(ISNUMBER($P129)),NOT(AND(ISNUMBER(SEARCH(" (",$O129)),RIGHT(TRIM($O129),1)=")"))),1,0),0)</f>
        <v/>
      </c>
      <c r="AB129" s="34">
        <f>IF(AND($V129=1,$B129="Dependency",ISNUMBER($P129)),IF($P129&lt;Summary!$K$4,1,0),0)</f>
        <v/>
      </c>
      <c r="AC129" s="34">
        <f>IF($T129=0,0,IF(OR($A129="",COUNTIF($A$4:$A$153,$A129)&gt;1,ISERROR(MATCH($B129,{"Risk","Assumption","Issue","Dependency"},0))),1,IF(INDEX({"R","A","I","X"},MATCH($B129,{"Risk","Assumption","Issue","Dependency"},0))&lt;&gt;LEFT($A129,1),1,0)))</f>
        <v/>
      </c>
      <c r="AD129" s="34">
        <f>IF($T129=0,0,IF(OR(ISERROR(MATCH($J129,{"Raised","Responding","Closed"},0)),ISERROR(MATCH($G129,{"Low","Medium","High"},0)),AND(OR($B129="Risk",$B129="Assumption"),ISERROR(MATCH($H129,{"Low","Medium","High"},0))),AND($Q129&lt;&gt;"",$Q129&lt;&gt;"This log",$Q129&lt;&gt;"Program workbook"),AND($J129&lt;&gt;"Closed",OR($K129&lt;&gt;"",LEN(TRIM($L129))&gt;0))),1,0))</f>
        <v/>
      </c>
      <c r="AE129" s="34">
        <f>IF($T129=0,0,IF(OR(NOT(ISNUMBER($E129)),AND($F129&lt;&gt;"",NOT(ISNUMBER($F129))),AND($K129&lt;&gt;"",NOT(ISNUMBER($K129))),AND($P129&lt;&gt;"",NOT(ISNUMBER($P129)))),1,0))</f>
        <v/>
      </c>
      <c r="AF129" s="34">
        <f>MAX($AC129,$AD129,$AE129)</f>
        <v/>
      </c>
      <c r="AG129" s="34">
        <f>IF($T129=0,0,IFERROR(--MID(TRIM($A129),2,9),0))</f>
        <v/>
      </c>
      <c r="AH129" s="22">
        <f>IFERROR(LEFT(TRIM($D129),SEARCH(" (",TRIM($D129))-1),TRIM($D129))</f>
        <v/>
      </c>
      <c r="AI129" s="34">
        <f>IF(AND($T129=1,$J129="Closed",$G129="High",ISNUMBER($K129)),IF($K129&gt;=Summary!$K$6,1,0),0)</f>
        <v/>
      </c>
      <c r="AJ129" s="34">
        <f>IF($AI129=1,SUM($AI$4:$AI129),0)</f>
        <v/>
      </c>
    </row>
    <row r="130" ht="18" customHeight="1">
      <c r="A130" s="30" t="n"/>
      <c r="B130" s="30" t="n"/>
      <c r="C130" s="31" t="n"/>
      <c r="D130" s="31" t="n"/>
      <c r="E130" s="32" t="n"/>
      <c r="F130" s="32" t="n"/>
      <c r="G130" s="30" t="n"/>
      <c r="H130" s="30" t="n"/>
      <c r="I130" s="31" t="n"/>
      <c r="J130" s="30" t="n"/>
      <c r="K130" s="32" t="n"/>
      <c r="L130" s="31" t="n"/>
      <c r="M130" s="30" t="n"/>
      <c r="N130" s="31" t="n"/>
      <c r="O130" s="31" t="n"/>
      <c r="P130" s="32" t="n"/>
      <c r="Q130" s="30" t="n"/>
      <c r="R130" s="33">
        <f>IF($T130=0,"",IF($AF130=1,"△ The log can't read this line",IF($W130=1,"△ Needs one owner, written as Name (Role)",IF($X130=1,"△ Look-again date missing, passed or too far ahead",IF($Y130=1,"△ No response",IF($Z130=1,"△ Closed without a date or a reason",IF($AA130=1,"△ Needs Provided by and Needed by, and Who answers as Name (Role)",IF($AB130=1,"△ Past its Needed by date","○ Clear"))))))))</f>
        <v/>
      </c>
      <c r="T130" s="34">
        <f>IF(COUNTA($A130:$Q130)&gt;0,1,0)</f>
        <v/>
      </c>
      <c r="U130" s="34">
        <f>IF(AND($T130=1,$J130&lt;&gt;"Closed"),1,0)</f>
        <v/>
      </c>
      <c r="V130" s="34">
        <f>IF(AND($U130=1,$Q130&lt;&gt;"Program workbook"),1,0)</f>
        <v/>
      </c>
      <c r="W130" s="34">
        <f>IF($V130=0,0,IF(OR(ISERROR(SEARCH(" (",$D130)),RIGHT(TRIM($D130),1)&lt;&gt;")",ISNUMBER(SEARCH(",",$AH130)),ISNUMBER(SEARCH("/",$AH130)),ISNUMBER(SEARCH(" and ",$AH130)),ISNUMBER(SEARCH("&amp;",$AH130))),1,0))</f>
        <v/>
      </c>
      <c r="X130" s="34">
        <f>IF($V130=0,0,IF(NOT(ISNUMBER($F130)),1,IF(OR($F130&lt;Summary!$K$4,$F130&gt;Summary!$K$4+Summary!$K$5,AND(ISNUMBER($P130),$F130&gt;$P130)),1,0)))</f>
        <v/>
      </c>
      <c r="Y130" s="34">
        <f>IF(AND($V130=1,OR($B130="Risk",$B130="Issue"),LEN(TRIM($I130))=0),1,0)</f>
        <v/>
      </c>
      <c r="Z130" s="34">
        <f>IF(AND($T130=1,$J130="Closed",OR(NOT(ISNUMBER($K130)),LEN(TRIM($L130))=0)),1,0)</f>
        <v/>
      </c>
      <c r="AA130" s="34">
        <f>IF(AND($U130=1,$B130="Dependency"),IF(OR(LEN(TRIM($N130))=0,NOT(ISNUMBER($P130)),NOT(AND(ISNUMBER(SEARCH(" (",$O130)),RIGHT(TRIM($O130),1)=")"))),1,0),0)</f>
        <v/>
      </c>
      <c r="AB130" s="34">
        <f>IF(AND($V130=1,$B130="Dependency",ISNUMBER($P130)),IF($P130&lt;Summary!$K$4,1,0),0)</f>
        <v/>
      </c>
      <c r="AC130" s="34">
        <f>IF($T130=0,0,IF(OR($A130="",COUNTIF($A$4:$A$153,$A130)&gt;1,ISERROR(MATCH($B130,{"Risk","Assumption","Issue","Dependency"},0))),1,IF(INDEX({"R","A","I","X"},MATCH($B130,{"Risk","Assumption","Issue","Dependency"},0))&lt;&gt;LEFT($A130,1),1,0)))</f>
        <v/>
      </c>
      <c r="AD130" s="34">
        <f>IF($T130=0,0,IF(OR(ISERROR(MATCH($J130,{"Raised","Responding","Closed"},0)),ISERROR(MATCH($G130,{"Low","Medium","High"},0)),AND(OR($B130="Risk",$B130="Assumption"),ISERROR(MATCH($H130,{"Low","Medium","High"},0))),AND($Q130&lt;&gt;"",$Q130&lt;&gt;"This log",$Q130&lt;&gt;"Program workbook"),AND($J130&lt;&gt;"Closed",OR($K130&lt;&gt;"",LEN(TRIM($L130))&gt;0))),1,0))</f>
        <v/>
      </c>
      <c r="AE130" s="34">
        <f>IF($T130=0,0,IF(OR(NOT(ISNUMBER($E130)),AND($F130&lt;&gt;"",NOT(ISNUMBER($F130))),AND($K130&lt;&gt;"",NOT(ISNUMBER($K130))),AND($P130&lt;&gt;"",NOT(ISNUMBER($P130)))),1,0))</f>
        <v/>
      </c>
      <c r="AF130" s="34">
        <f>MAX($AC130,$AD130,$AE130)</f>
        <v/>
      </c>
      <c r="AG130" s="34">
        <f>IF($T130=0,0,IFERROR(--MID(TRIM($A130),2,9),0))</f>
        <v/>
      </c>
      <c r="AH130" s="22">
        <f>IFERROR(LEFT(TRIM($D130),SEARCH(" (",TRIM($D130))-1),TRIM($D130))</f>
        <v/>
      </c>
      <c r="AI130" s="34">
        <f>IF(AND($T130=1,$J130="Closed",$G130="High",ISNUMBER($K130)),IF($K130&gt;=Summary!$K$6,1,0),0)</f>
        <v/>
      </c>
      <c r="AJ130" s="34">
        <f>IF($AI130=1,SUM($AI$4:$AI130),0)</f>
        <v/>
      </c>
    </row>
    <row r="131" ht="18" customHeight="1">
      <c r="A131" s="30" t="n"/>
      <c r="B131" s="30" t="n"/>
      <c r="C131" s="31" t="n"/>
      <c r="D131" s="31" t="n"/>
      <c r="E131" s="32" t="n"/>
      <c r="F131" s="32" t="n"/>
      <c r="G131" s="30" t="n"/>
      <c r="H131" s="30" t="n"/>
      <c r="I131" s="31" t="n"/>
      <c r="J131" s="30" t="n"/>
      <c r="K131" s="32" t="n"/>
      <c r="L131" s="31" t="n"/>
      <c r="M131" s="30" t="n"/>
      <c r="N131" s="31" t="n"/>
      <c r="O131" s="31" t="n"/>
      <c r="P131" s="32" t="n"/>
      <c r="Q131" s="30" t="n"/>
      <c r="R131" s="33">
        <f>IF($T131=0,"",IF($AF131=1,"△ The log can't read this line",IF($W131=1,"△ Needs one owner, written as Name (Role)",IF($X131=1,"△ Look-again date missing, passed or too far ahead",IF($Y131=1,"△ No response",IF($Z131=1,"△ Closed without a date or a reason",IF($AA131=1,"△ Needs Provided by and Needed by, and Who answers as Name (Role)",IF($AB131=1,"△ Past its Needed by date","○ Clear"))))))))</f>
        <v/>
      </c>
      <c r="T131" s="34">
        <f>IF(COUNTA($A131:$Q131)&gt;0,1,0)</f>
        <v/>
      </c>
      <c r="U131" s="34">
        <f>IF(AND($T131=1,$J131&lt;&gt;"Closed"),1,0)</f>
        <v/>
      </c>
      <c r="V131" s="34">
        <f>IF(AND($U131=1,$Q131&lt;&gt;"Program workbook"),1,0)</f>
        <v/>
      </c>
      <c r="W131" s="34">
        <f>IF($V131=0,0,IF(OR(ISERROR(SEARCH(" (",$D131)),RIGHT(TRIM($D131),1)&lt;&gt;")",ISNUMBER(SEARCH(",",$AH131)),ISNUMBER(SEARCH("/",$AH131)),ISNUMBER(SEARCH(" and ",$AH131)),ISNUMBER(SEARCH("&amp;",$AH131))),1,0))</f>
        <v/>
      </c>
      <c r="X131" s="34">
        <f>IF($V131=0,0,IF(NOT(ISNUMBER($F131)),1,IF(OR($F131&lt;Summary!$K$4,$F131&gt;Summary!$K$4+Summary!$K$5,AND(ISNUMBER($P131),$F131&gt;$P131)),1,0)))</f>
        <v/>
      </c>
      <c r="Y131" s="34">
        <f>IF(AND($V131=1,OR($B131="Risk",$B131="Issue"),LEN(TRIM($I131))=0),1,0)</f>
        <v/>
      </c>
      <c r="Z131" s="34">
        <f>IF(AND($T131=1,$J131="Closed",OR(NOT(ISNUMBER($K131)),LEN(TRIM($L131))=0)),1,0)</f>
        <v/>
      </c>
      <c r="AA131" s="34">
        <f>IF(AND($U131=1,$B131="Dependency"),IF(OR(LEN(TRIM($N131))=0,NOT(ISNUMBER($P131)),NOT(AND(ISNUMBER(SEARCH(" (",$O131)),RIGHT(TRIM($O131),1)=")"))),1,0),0)</f>
        <v/>
      </c>
      <c r="AB131" s="34">
        <f>IF(AND($V131=1,$B131="Dependency",ISNUMBER($P131)),IF($P131&lt;Summary!$K$4,1,0),0)</f>
        <v/>
      </c>
      <c r="AC131" s="34">
        <f>IF($T131=0,0,IF(OR($A131="",COUNTIF($A$4:$A$153,$A131)&gt;1,ISERROR(MATCH($B131,{"Risk","Assumption","Issue","Dependency"},0))),1,IF(INDEX({"R","A","I","X"},MATCH($B131,{"Risk","Assumption","Issue","Dependency"},0))&lt;&gt;LEFT($A131,1),1,0)))</f>
        <v/>
      </c>
      <c r="AD131" s="34">
        <f>IF($T131=0,0,IF(OR(ISERROR(MATCH($J131,{"Raised","Responding","Closed"},0)),ISERROR(MATCH($G131,{"Low","Medium","High"},0)),AND(OR($B131="Risk",$B131="Assumption"),ISERROR(MATCH($H131,{"Low","Medium","High"},0))),AND($Q131&lt;&gt;"",$Q131&lt;&gt;"This log",$Q131&lt;&gt;"Program workbook"),AND($J131&lt;&gt;"Closed",OR($K131&lt;&gt;"",LEN(TRIM($L131))&gt;0))),1,0))</f>
        <v/>
      </c>
      <c r="AE131" s="34">
        <f>IF($T131=0,0,IF(OR(NOT(ISNUMBER($E131)),AND($F131&lt;&gt;"",NOT(ISNUMBER($F131))),AND($K131&lt;&gt;"",NOT(ISNUMBER($K131))),AND($P131&lt;&gt;"",NOT(ISNUMBER($P131)))),1,0))</f>
        <v/>
      </c>
      <c r="AF131" s="34">
        <f>MAX($AC131,$AD131,$AE131)</f>
        <v/>
      </c>
      <c r="AG131" s="34">
        <f>IF($T131=0,0,IFERROR(--MID(TRIM($A131),2,9),0))</f>
        <v/>
      </c>
      <c r="AH131" s="22">
        <f>IFERROR(LEFT(TRIM($D131),SEARCH(" (",TRIM($D131))-1),TRIM($D131))</f>
        <v/>
      </c>
      <c r="AI131" s="34">
        <f>IF(AND($T131=1,$J131="Closed",$G131="High",ISNUMBER($K131)),IF($K131&gt;=Summary!$K$6,1,0),0)</f>
        <v/>
      </c>
      <c r="AJ131" s="34">
        <f>IF($AI131=1,SUM($AI$4:$AI131),0)</f>
        <v/>
      </c>
    </row>
    <row r="132" ht="18" customHeight="1">
      <c r="A132" s="30" t="n"/>
      <c r="B132" s="30" t="n"/>
      <c r="C132" s="31" t="n"/>
      <c r="D132" s="31" t="n"/>
      <c r="E132" s="32" t="n"/>
      <c r="F132" s="32" t="n"/>
      <c r="G132" s="30" t="n"/>
      <c r="H132" s="30" t="n"/>
      <c r="I132" s="31" t="n"/>
      <c r="J132" s="30" t="n"/>
      <c r="K132" s="32" t="n"/>
      <c r="L132" s="31" t="n"/>
      <c r="M132" s="30" t="n"/>
      <c r="N132" s="31" t="n"/>
      <c r="O132" s="31" t="n"/>
      <c r="P132" s="32" t="n"/>
      <c r="Q132" s="30" t="n"/>
      <c r="R132" s="33">
        <f>IF($T132=0,"",IF($AF132=1,"△ The log can't read this line",IF($W132=1,"△ Needs one owner, written as Name (Role)",IF($X132=1,"△ Look-again date missing, passed or too far ahead",IF($Y132=1,"△ No response",IF($Z132=1,"△ Closed without a date or a reason",IF($AA132=1,"△ Needs Provided by and Needed by, and Who answers as Name (Role)",IF($AB132=1,"△ Past its Needed by date","○ Clear"))))))))</f>
        <v/>
      </c>
      <c r="T132" s="34">
        <f>IF(COUNTA($A132:$Q132)&gt;0,1,0)</f>
        <v/>
      </c>
      <c r="U132" s="34">
        <f>IF(AND($T132=1,$J132&lt;&gt;"Closed"),1,0)</f>
        <v/>
      </c>
      <c r="V132" s="34">
        <f>IF(AND($U132=1,$Q132&lt;&gt;"Program workbook"),1,0)</f>
        <v/>
      </c>
      <c r="W132" s="34">
        <f>IF($V132=0,0,IF(OR(ISERROR(SEARCH(" (",$D132)),RIGHT(TRIM($D132),1)&lt;&gt;")",ISNUMBER(SEARCH(",",$AH132)),ISNUMBER(SEARCH("/",$AH132)),ISNUMBER(SEARCH(" and ",$AH132)),ISNUMBER(SEARCH("&amp;",$AH132))),1,0))</f>
        <v/>
      </c>
      <c r="X132" s="34">
        <f>IF($V132=0,0,IF(NOT(ISNUMBER($F132)),1,IF(OR($F132&lt;Summary!$K$4,$F132&gt;Summary!$K$4+Summary!$K$5,AND(ISNUMBER($P132),$F132&gt;$P132)),1,0)))</f>
        <v/>
      </c>
      <c r="Y132" s="34">
        <f>IF(AND($V132=1,OR($B132="Risk",$B132="Issue"),LEN(TRIM($I132))=0),1,0)</f>
        <v/>
      </c>
      <c r="Z132" s="34">
        <f>IF(AND($T132=1,$J132="Closed",OR(NOT(ISNUMBER($K132)),LEN(TRIM($L132))=0)),1,0)</f>
        <v/>
      </c>
      <c r="AA132" s="34">
        <f>IF(AND($U132=1,$B132="Dependency"),IF(OR(LEN(TRIM($N132))=0,NOT(ISNUMBER($P132)),NOT(AND(ISNUMBER(SEARCH(" (",$O132)),RIGHT(TRIM($O132),1)=")"))),1,0),0)</f>
        <v/>
      </c>
      <c r="AB132" s="34">
        <f>IF(AND($V132=1,$B132="Dependency",ISNUMBER($P132)),IF($P132&lt;Summary!$K$4,1,0),0)</f>
        <v/>
      </c>
      <c r="AC132" s="34">
        <f>IF($T132=0,0,IF(OR($A132="",COUNTIF($A$4:$A$153,$A132)&gt;1,ISERROR(MATCH($B132,{"Risk","Assumption","Issue","Dependency"},0))),1,IF(INDEX({"R","A","I","X"},MATCH($B132,{"Risk","Assumption","Issue","Dependency"},0))&lt;&gt;LEFT($A132,1),1,0)))</f>
        <v/>
      </c>
      <c r="AD132" s="34">
        <f>IF($T132=0,0,IF(OR(ISERROR(MATCH($J132,{"Raised","Responding","Closed"},0)),ISERROR(MATCH($G132,{"Low","Medium","High"},0)),AND(OR($B132="Risk",$B132="Assumption"),ISERROR(MATCH($H132,{"Low","Medium","High"},0))),AND($Q132&lt;&gt;"",$Q132&lt;&gt;"This log",$Q132&lt;&gt;"Program workbook"),AND($J132&lt;&gt;"Closed",OR($K132&lt;&gt;"",LEN(TRIM($L132))&gt;0))),1,0))</f>
        <v/>
      </c>
      <c r="AE132" s="34">
        <f>IF($T132=0,0,IF(OR(NOT(ISNUMBER($E132)),AND($F132&lt;&gt;"",NOT(ISNUMBER($F132))),AND($K132&lt;&gt;"",NOT(ISNUMBER($K132))),AND($P132&lt;&gt;"",NOT(ISNUMBER($P132)))),1,0))</f>
        <v/>
      </c>
      <c r="AF132" s="34">
        <f>MAX($AC132,$AD132,$AE132)</f>
        <v/>
      </c>
      <c r="AG132" s="34">
        <f>IF($T132=0,0,IFERROR(--MID(TRIM($A132),2,9),0))</f>
        <v/>
      </c>
      <c r="AH132" s="22">
        <f>IFERROR(LEFT(TRIM($D132),SEARCH(" (",TRIM($D132))-1),TRIM($D132))</f>
        <v/>
      </c>
      <c r="AI132" s="34">
        <f>IF(AND($T132=1,$J132="Closed",$G132="High",ISNUMBER($K132)),IF($K132&gt;=Summary!$K$6,1,0),0)</f>
        <v/>
      </c>
      <c r="AJ132" s="34">
        <f>IF($AI132=1,SUM($AI$4:$AI132),0)</f>
        <v/>
      </c>
    </row>
    <row r="133" ht="18" customHeight="1">
      <c r="A133" s="30" t="n"/>
      <c r="B133" s="30" t="n"/>
      <c r="C133" s="31" t="n"/>
      <c r="D133" s="31" t="n"/>
      <c r="E133" s="32" t="n"/>
      <c r="F133" s="32" t="n"/>
      <c r="G133" s="30" t="n"/>
      <c r="H133" s="30" t="n"/>
      <c r="I133" s="31" t="n"/>
      <c r="J133" s="30" t="n"/>
      <c r="K133" s="32" t="n"/>
      <c r="L133" s="31" t="n"/>
      <c r="M133" s="30" t="n"/>
      <c r="N133" s="31" t="n"/>
      <c r="O133" s="31" t="n"/>
      <c r="P133" s="32" t="n"/>
      <c r="Q133" s="30" t="n"/>
      <c r="R133" s="33">
        <f>IF($T133=0,"",IF($AF133=1,"△ The log can't read this line",IF($W133=1,"△ Needs one owner, written as Name (Role)",IF($X133=1,"△ Look-again date missing, passed or too far ahead",IF($Y133=1,"△ No response",IF($Z133=1,"△ Closed without a date or a reason",IF($AA133=1,"△ Needs Provided by and Needed by, and Who answers as Name (Role)",IF($AB133=1,"△ Past its Needed by date","○ Clear"))))))))</f>
        <v/>
      </c>
      <c r="T133" s="34">
        <f>IF(COUNTA($A133:$Q133)&gt;0,1,0)</f>
        <v/>
      </c>
      <c r="U133" s="34">
        <f>IF(AND($T133=1,$J133&lt;&gt;"Closed"),1,0)</f>
        <v/>
      </c>
      <c r="V133" s="34">
        <f>IF(AND($U133=1,$Q133&lt;&gt;"Program workbook"),1,0)</f>
        <v/>
      </c>
      <c r="W133" s="34">
        <f>IF($V133=0,0,IF(OR(ISERROR(SEARCH(" (",$D133)),RIGHT(TRIM($D133),1)&lt;&gt;")",ISNUMBER(SEARCH(",",$AH133)),ISNUMBER(SEARCH("/",$AH133)),ISNUMBER(SEARCH(" and ",$AH133)),ISNUMBER(SEARCH("&amp;",$AH133))),1,0))</f>
        <v/>
      </c>
      <c r="X133" s="34">
        <f>IF($V133=0,0,IF(NOT(ISNUMBER($F133)),1,IF(OR($F133&lt;Summary!$K$4,$F133&gt;Summary!$K$4+Summary!$K$5,AND(ISNUMBER($P133),$F133&gt;$P133)),1,0)))</f>
        <v/>
      </c>
      <c r="Y133" s="34">
        <f>IF(AND($V133=1,OR($B133="Risk",$B133="Issue"),LEN(TRIM($I133))=0),1,0)</f>
        <v/>
      </c>
      <c r="Z133" s="34">
        <f>IF(AND($T133=1,$J133="Closed",OR(NOT(ISNUMBER($K133)),LEN(TRIM($L133))=0)),1,0)</f>
        <v/>
      </c>
      <c r="AA133" s="34">
        <f>IF(AND($U133=1,$B133="Dependency"),IF(OR(LEN(TRIM($N133))=0,NOT(ISNUMBER($P133)),NOT(AND(ISNUMBER(SEARCH(" (",$O133)),RIGHT(TRIM($O133),1)=")"))),1,0),0)</f>
        <v/>
      </c>
      <c r="AB133" s="34">
        <f>IF(AND($V133=1,$B133="Dependency",ISNUMBER($P133)),IF($P133&lt;Summary!$K$4,1,0),0)</f>
        <v/>
      </c>
      <c r="AC133" s="34">
        <f>IF($T133=0,0,IF(OR($A133="",COUNTIF($A$4:$A$153,$A133)&gt;1,ISERROR(MATCH($B133,{"Risk","Assumption","Issue","Dependency"},0))),1,IF(INDEX({"R","A","I","X"},MATCH($B133,{"Risk","Assumption","Issue","Dependency"},0))&lt;&gt;LEFT($A133,1),1,0)))</f>
        <v/>
      </c>
      <c r="AD133" s="34">
        <f>IF($T133=0,0,IF(OR(ISERROR(MATCH($J133,{"Raised","Responding","Closed"},0)),ISERROR(MATCH($G133,{"Low","Medium","High"},0)),AND(OR($B133="Risk",$B133="Assumption"),ISERROR(MATCH($H133,{"Low","Medium","High"},0))),AND($Q133&lt;&gt;"",$Q133&lt;&gt;"This log",$Q133&lt;&gt;"Program workbook"),AND($J133&lt;&gt;"Closed",OR($K133&lt;&gt;"",LEN(TRIM($L133))&gt;0))),1,0))</f>
        <v/>
      </c>
      <c r="AE133" s="34">
        <f>IF($T133=0,0,IF(OR(NOT(ISNUMBER($E133)),AND($F133&lt;&gt;"",NOT(ISNUMBER($F133))),AND($K133&lt;&gt;"",NOT(ISNUMBER($K133))),AND($P133&lt;&gt;"",NOT(ISNUMBER($P133)))),1,0))</f>
        <v/>
      </c>
      <c r="AF133" s="34">
        <f>MAX($AC133,$AD133,$AE133)</f>
        <v/>
      </c>
      <c r="AG133" s="34">
        <f>IF($T133=0,0,IFERROR(--MID(TRIM($A133),2,9),0))</f>
        <v/>
      </c>
      <c r="AH133" s="22">
        <f>IFERROR(LEFT(TRIM($D133),SEARCH(" (",TRIM($D133))-1),TRIM($D133))</f>
        <v/>
      </c>
      <c r="AI133" s="34">
        <f>IF(AND($T133=1,$J133="Closed",$G133="High",ISNUMBER($K133)),IF($K133&gt;=Summary!$K$6,1,0),0)</f>
        <v/>
      </c>
      <c r="AJ133" s="34">
        <f>IF($AI133=1,SUM($AI$4:$AI133),0)</f>
        <v/>
      </c>
    </row>
    <row r="134" ht="18" customHeight="1">
      <c r="A134" s="30" t="n"/>
      <c r="B134" s="30" t="n"/>
      <c r="C134" s="31" t="n"/>
      <c r="D134" s="31" t="n"/>
      <c r="E134" s="32" t="n"/>
      <c r="F134" s="32" t="n"/>
      <c r="G134" s="30" t="n"/>
      <c r="H134" s="30" t="n"/>
      <c r="I134" s="31" t="n"/>
      <c r="J134" s="30" t="n"/>
      <c r="K134" s="32" t="n"/>
      <c r="L134" s="31" t="n"/>
      <c r="M134" s="30" t="n"/>
      <c r="N134" s="31" t="n"/>
      <c r="O134" s="31" t="n"/>
      <c r="P134" s="32" t="n"/>
      <c r="Q134" s="30" t="n"/>
      <c r="R134" s="33">
        <f>IF($T134=0,"",IF($AF134=1,"△ The log can't read this line",IF($W134=1,"△ Needs one owner, written as Name (Role)",IF($X134=1,"△ Look-again date missing, passed or too far ahead",IF($Y134=1,"△ No response",IF($Z134=1,"△ Closed without a date or a reason",IF($AA134=1,"△ Needs Provided by and Needed by, and Who answers as Name (Role)",IF($AB134=1,"△ Past its Needed by date","○ Clear"))))))))</f>
        <v/>
      </c>
      <c r="T134" s="34">
        <f>IF(COUNTA($A134:$Q134)&gt;0,1,0)</f>
        <v/>
      </c>
      <c r="U134" s="34">
        <f>IF(AND($T134=1,$J134&lt;&gt;"Closed"),1,0)</f>
        <v/>
      </c>
      <c r="V134" s="34">
        <f>IF(AND($U134=1,$Q134&lt;&gt;"Program workbook"),1,0)</f>
        <v/>
      </c>
      <c r="W134" s="34">
        <f>IF($V134=0,0,IF(OR(ISERROR(SEARCH(" (",$D134)),RIGHT(TRIM($D134),1)&lt;&gt;")",ISNUMBER(SEARCH(",",$AH134)),ISNUMBER(SEARCH("/",$AH134)),ISNUMBER(SEARCH(" and ",$AH134)),ISNUMBER(SEARCH("&amp;",$AH134))),1,0))</f>
        <v/>
      </c>
      <c r="X134" s="34">
        <f>IF($V134=0,0,IF(NOT(ISNUMBER($F134)),1,IF(OR($F134&lt;Summary!$K$4,$F134&gt;Summary!$K$4+Summary!$K$5,AND(ISNUMBER($P134),$F134&gt;$P134)),1,0)))</f>
        <v/>
      </c>
      <c r="Y134" s="34">
        <f>IF(AND($V134=1,OR($B134="Risk",$B134="Issue"),LEN(TRIM($I134))=0),1,0)</f>
        <v/>
      </c>
      <c r="Z134" s="34">
        <f>IF(AND($T134=1,$J134="Closed",OR(NOT(ISNUMBER($K134)),LEN(TRIM($L134))=0)),1,0)</f>
        <v/>
      </c>
      <c r="AA134" s="34">
        <f>IF(AND($U134=1,$B134="Dependency"),IF(OR(LEN(TRIM($N134))=0,NOT(ISNUMBER($P134)),NOT(AND(ISNUMBER(SEARCH(" (",$O134)),RIGHT(TRIM($O134),1)=")"))),1,0),0)</f>
        <v/>
      </c>
      <c r="AB134" s="34">
        <f>IF(AND($V134=1,$B134="Dependency",ISNUMBER($P134)),IF($P134&lt;Summary!$K$4,1,0),0)</f>
        <v/>
      </c>
      <c r="AC134" s="34">
        <f>IF($T134=0,0,IF(OR($A134="",COUNTIF($A$4:$A$153,$A134)&gt;1,ISERROR(MATCH($B134,{"Risk","Assumption","Issue","Dependency"},0))),1,IF(INDEX({"R","A","I","X"},MATCH($B134,{"Risk","Assumption","Issue","Dependency"},0))&lt;&gt;LEFT($A134,1),1,0)))</f>
        <v/>
      </c>
      <c r="AD134" s="34">
        <f>IF($T134=0,0,IF(OR(ISERROR(MATCH($J134,{"Raised","Responding","Closed"},0)),ISERROR(MATCH($G134,{"Low","Medium","High"},0)),AND(OR($B134="Risk",$B134="Assumption"),ISERROR(MATCH($H134,{"Low","Medium","High"},0))),AND($Q134&lt;&gt;"",$Q134&lt;&gt;"This log",$Q134&lt;&gt;"Program workbook"),AND($J134&lt;&gt;"Closed",OR($K134&lt;&gt;"",LEN(TRIM($L134))&gt;0))),1,0))</f>
        <v/>
      </c>
      <c r="AE134" s="34">
        <f>IF($T134=0,0,IF(OR(NOT(ISNUMBER($E134)),AND($F134&lt;&gt;"",NOT(ISNUMBER($F134))),AND($K134&lt;&gt;"",NOT(ISNUMBER($K134))),AND($P134&lt;&gt;"",NOT(ISNUMBER($P134)))),1,0))</f>
        <v/>
      </c>
      <c r="AF134" s="34">
        <f>MAX($AC134,$AD134,$AE134)</f>
        <v/>
      </c>
      <c r="AG134" s="34">
        <f>IF($T134=0,0,IFERROR(--MID(TRIM($A134),2,9),0))</f>
        <v/>
      </c>
      <c r="AH134" s="22">
        <f>IFERROR(LEFT(TRIM($D134),SEARCH(" (",TRIM($D134))-1),TRIM($D134))</f>
        <v/>
      </c>
      <c r="AI134" s="34">
        <f>IF(AND($T134=1,$J134="Closed",$G134="High",ISNUMBER($K134)),IF($K134&gt;=Summary!$K$6,1,0),0)</f>
        <v/>
      </c>
      <c r="AJ134" s="34">
        <f>IF($AI134=1,SUM($AI$4:$AI134),0)</f>
        <v/>
      </c>
    </row>
    <row r="135" ht="18" customHeight="1">
      <c r="A135" s="30" t="n"/>
      <c r="B135" s="30" t="n"/>
      <c r="C135" s="31" t="n"/>
      <c r="D135" s="31" t="n"/>
      <c r="E135" s="32" t="n"/>
      <c r="F135" s="32" t="n"/>
      <c r="G135" s="30" t="n"/>
      <c r="H135" s="30" t="n"/>
      <c r="I135" s="31" t="n"/>
      <c r="J135" s="30" t="n"/>
      <c r="K135" s="32" t="n"/>
      <c r="L135" s="31" t="n"/>
      <c r="M135" s="30" t="n"/>
      <c r="N135" s="31" t="n"/>
      <c r="O135" s="31" t="n"/>
      <c r="P135" s="32" t="n"/>
      <c r="Q135" s="30" t="n"/>
      <c r="R135" s="33">
        <f>IF($T135=0,"",IF($AF135=1,"△ The log can't read this line",IF($W135=1,"△ Needs one owner, written as Name (Role)",IF($X135=1,"△ Look-again date missing, passed or too far ahead",IF($Y135=1,"△ No response",IF($Z135=1,"△ Closed without a date or a reason",IF($AA135=1,"△ Needs Provided by and Needed by, and Who answers as Name (Role)",IF($AB135=1,"△ Past its Needed by date","○ Clear"))))))))</f>
        <v/>
      </c>
      <c r="T135" s="34">
        <f>IF(COUNTA($A135:$Q135)&gt;0,1,0)</f>
        <v/>
      </c>
      <c r="U135" s="34">
        <f>IF(AND($T135=1,$J135&lt;&gt;"Closed"),1,0)</f>
        <v/>
      </c>
      <c r="V135" s="34">
        <f>IF(AND($U135=1,$Q135&lt;&gt;"Program workbook"),1,0)</f>
        <v/>
      </c>
      <c r="W135" s="34">
        <f>IF($V135=0,0,IF(OR(ISERROR(SEARCH(" (",$D135)),RIGHT(TRIM($D135),1)&lt;&gt;")",ISNUMBER(SEARCH(",",$AH135)),ISNUMBER(SEARCH("/",$AH135)),ISNUMBER(SEARCH(" and ",$AH135)),ISNUMBER(SEARCH("&amp;",$AH135))),1,0))</f>
        <v/>
      </c>
      <c r="X135" s="34">
        <f>IF($V135=0,0,IF(NOT(ISNUMBER($F135)),1,IF(OR($F135&lt;Summary!$K$4,$F135&gt;Summary!$K$4+Summary!$K$5,AND(ISNUMBER($P135),$F135&gt;$P135)),1,0)))</f>
        <v/>
      </c>
      <c r="Y135" s="34">
        <f>IF(AND($V135=1,OR($B135="Risk",$B135="Issue"),LEN(TRIM($I135))=0),1,0)</f>
        <v/>
      </c>
      <c r="Z135" s="34">
        <f>IF(AND($T135=1,$J135="Closed",OR(NOT(ISNUMBER($K135)),LEN(TRIM($L135))=0)),1,0)</f>
        <v/>
      </c>
      <c r="AA135" s="34">
        <f>IF(AND($U135=1,$B135="Dependency"),IF(OR(LEN(TRIM($N135))=0,NOT(ISNUMBER($P135)),NOT(AND(ISNUMBER(SEARCH(" (",$O135)),RIGHT(TRIM($O135),1)=")"))),1,0),0)</f>
        <v/>
      </c>
      <c r="AB135" s="34">
        <f>IF(AND($V135=1,$B135="Dependency",ISNUMBER($P135)),IF($P135&lt;Summary!$K$4,1,0),0)</f>
        <v/>
      </c>
      <c r="AC135" s="34">
        <f>IF($T135=0,0,IF(OR($A135="",COUNTIF($A$4:$A$153,$A135)&gt;1,ISERROR(MATCH($B135,{"Risk","Assumption","Issue","Dependency"},0))),1,IF(INDEX({"R","A","I","X"},MATCH($B135,{"Risk","Assumption","Issue","Dependency"},0))&lt;&gt;LEFT($A135,1),1,0)))</f>
        <v/>
      </c>
      <c r="AD135" s="34">
        <f>IF($T135=0,0,IF(OR(ISERROR(MATCH($J135,{"Raised","Responding","Closed"},0)),ISERROR(MATCH($G135,{"Low","Medium","High"},0)),AND(OR($B135="Risk",$B135="Assumption"),ISERROR(MATCH($H135,{"Low","Medium","High"},0))),AND($Q135&lt;&gt;"",$Q135&lt;&gt;"This log",$Q135&lt;&gt;"Program workbook"),AND($J135&lt;&gt;"Closed",OR($K135&lt;&gt;"",LEN(TRIM($L135))&gt;0))),1,0))</f>
        <v/>
      </c>
      <c r="AE135" s="34">
        <f>IF($T135=0,0,IF(OR(NOT(ISNUMBER($E135)),AND($F135&lt;&gt;"",NOT(ISNUMBER($F135))),AND($K135&lt;&gt;"",NOT(ISNUMBER($K135))),AND($P135&lt;&gt;"",NOT(ISNUMBER($P135)))),1,0))</f>
        <v/>
      </c>
      <c r="AF135" s="34">
        <f>MAX($AC135,$AD135,$AE135)</f>
        <v/>
      </c>
      <c r="AG135" s="34">
        <f>IF($T135=0,0,IFERROR(--MID(TRIM($A135),2,9),0))</f>
        <v/>
      </c>
      <c r="AH135" s="22">
        <f>IFERROR(LEFT(TRIM($D135),SEARCH(" (",TRIM($D135))-1),TRIM($D135))</f>
        <v/>
      </c>
      <c r="AI135" s="34">
        <f>IF(AND($T135=1,$J135="Closed",$G135="High",ISNUMBER($K135)),IF($K135&gt;=Summary!$K$6,1,0),0)</f>
        <v/>
      </c>
      <c r="AJ135" s="34">
        <f>IF($AI135=1,SUM($AI$4:$AI135),0)</f>
        <v/>
      </c>
    </row>
    <row r="136" ht="18" customHeight="1">
      <c r="A136" s="30" t="n"/>
      <c r="B136" s="30" t="n"/>
      <c r="C136" s="31" t="n"/>
      <c r="D136" s="31" t="n"/>
      <c r="E136" s="32" t="n"/>
      <c r="F136" s="32" t="n"/>
      <c r="G136" s="30" t="n"/>
      <c r="H136" s="30" t="n"/>
      <c r="I136" s="31" t="n"/>
      <c r="J136" s="30" t="n"/>
      <c r="K136" s="32" t="n"/>
      <c r="L136" s="31" t="n"/>
      <c r="M136" s="30" t="n"/>
      <c r="N136" s="31" t="n"/>
      <c r="O136" s="31" t="n"/>
      <c r="P136" s="32" t="n"/>
      <c r="Q136" s="30" t="n"/>
      <c r="R136" s="33">
        <f>IF($T136=0,"",IF($AF136=1,"△ The log can't read this line",IF($W136=1,"△ Needs one owner, written as Name (Role)",IF($X136=1,"△ Look-again date missing, passed or too far ahead",IF($Y136=1,"△ No response",IF($Z136=1,"△ Closed without a date or a reason",IF($AA136=1,"△ Needs Provided by and Needed by, and Who answers as Name (Role)",IF($AB136=1,"△ Past its Needed by date","○ Clear"))))))))</f>
        <v/>
      </c>
      <c r="T136" s="34">
        <f>IF(COUNTA($A136:$Q136)&gt;0,1,0)</f>
        <v/>
      </c>
      <c r="U136" s="34">
        <f>IF(AND($T136=1,$J136&lt;&gt;"Closed"),1,0)</f>
        <v/>
      </c>
      <c r="V136" s="34">
        <f>IF(AND($U136=1,$Q136&lt;&gt;"Program workbook"),1,0)</f>
        <v/>
      </c>
      <c r="W136" s="34">
        <f>IF($V136=0,0,IF(OR(ISERROR(SEARCH(" (",$D136)),RIGHT(TRIM($D136),1)&lt;&gt;")",ISNUMBER(SEARCH(",",$AH136)),ISNUMBER(SEARCH("/",$AH136)),ISNUMBER(SEARCH(" and ",$AH136)),ISNUMBER(SEARCH("&amp;",$AH136))),1,0))</f>
        <v/>
      </c>
      <c r="X136" s="34">
        <f>IF($V136=0,0,IF(NOT(ISNUMBER($F136)),1,IF(OR($F136&lt;Summary!$K$4,$F136&gt;Summary!$K$4+Summary!$K$5,AND(ISNUMBER($P136),$F136&gt;$P136)),1,0)))</f>
        <v/>
      </c>
      <c r="Y136" s="34">
        <f>IF(AND($V136=1,OR($B136="Risk",$B136="Issue"),LEN(TRIM($I136))=0),1,0)</f>
        <v/>
      </c>
      <c r="Z136" s="34">
        <f>IF(AND($T136=1,$J136="Closed",OR(NOT(ISNUMBER($K136)),LEN(TRIM($L136))=0)),1,0)</f>
        <v/>
      </c>
      <c r="AA136" s="34">
        <f>IF(AND($U136=1,$B136="Dependency"),IF(OR(LEN(TRIM($N136))=0,NOT(ISNUMBER($P136)),NOT(AND(ISNUMBER(SEARCH(" (",$O136)),RIGHT(TRIM($O136),1)=")"))),1,0),0)</f>
        <v/>
      </c>
      <c r="AB136" s="34">
        <f>IF(AND($V136=1,$B136="Dependency",ISNUMBER($P136)),IF($P136&lt;Summary!$K$4,1,0),0)</f>
        <v/>
      </c>
      <c r="AC136" s="34">
        <f>IF($T136=0,0,IF(OR($A136="",COUNTIF($A$4:$A$153,$A136)&gt;1,ISERROR(MATCH($B136,{"Risk","Assumption","Issue","Dependency"},0))),1,IF(INDEX({"R","A","I","X"},MATCH($B136,{"Risk","Assumption","Issue","Dependency"},0))&lt;&gt;LEFT($A136,1),1,0)))</f>
        <v/>
      </c>
      <c r="AD136" s="34">
        <f>IF($T136=0,0,IF(OR(ISERROR(MATCH($J136,{"Raised","Responding","Closed"},0)),ISERROR(MATCH($G136,{"Low","Medium","High"},0)),AND(OR($B136="Risk",$B136="Assumption"),ISERROR(MATCH($H136,{"Low","Medium","High"},0))),AND($Q136&lt;&gt;"",$Q136&lt;&gt;"This log",$Q136&lt;&gt;"Program workbook"),AND($J136&lt;&gt;"Closed",OR($K136&lt;&gt;"",LEN(TRIM($L136))&gt;0))),1,0))</f>
        <v/>
      </c>
      <c r="AE136" s="34">
        <f>IF($T136=0,0,IF(OR(NOT(ISNUMBER($E136)),AND($F136&lt;&gt;"",NOT(ISNUMBER($F136))),AND($K136&lt;&gt;"",NOT(ISNUMBER($K136))),AND($P136&lt;&gt;"",NOT(ISNUMBER($P136)))),1,0))</f>
        <v/>
      </c>
      <c r="AF136" s="34">
        <f>MAX($AC136,$AD136,$AE136)</f>
        <v/>
      </c>
      <c r="AG136" s="34">
        <f>IF($T136=0,0,IFERROR(--MID(TRIM($A136),2,9),0))</f>
        <v/>
      </c>
      <c r="AH136" s="22">
        <f>IFERROR(LEFT(TRIM($D136),SEARCH(" (",TRIM($D136))-1),TRIM($D136))</f>
        <v/>
      </c>
      <c r="AI136" s="34">
        <f>IF(AND($T136=1,$J136="Closed",$G136="High",ISNUMBER($K136)),IF($K136&gt;=Summary!$K$6,1,0),0)</f>
        <v/>
      </c>
      <c r="AJ136" s="34">
        <f>IF($AI136=1,SUM($AI$4:$AI136),0)</f>
        <v/>
      </c>
    </row>
    <row r="137" ht="18" customHeight="1">
      <c r="A137" s="30" t="n"/>
      <c r="B137" s="30" t="n"/>
      <c r="C137" s="31" t="n"/>
      <c r="D137" s="31" t="n"/>
      <c r="E137" s="32" t="n"/>
      <c r="F137" s="32" t="n"/>
      <c r="G137" s="30" t="n"/>
      <c r="H137" s="30" t="n"/>
      <c r="I137" s="31" t="n"/>
      <c r="J137" s="30" t="n"/>
      <c r="K137" s="32" t="n"/>
      <c r="L137" s="31" t="n"/>
      <c r="M137" s="30" t="n"/>
      <c r="N137" s="31" t="n"/>
      <c r="O137" s="31" t="n"/>
      <c r="P137" s="32" t="n"/>
      <c r="Q137" s="30" t="n"/>
      <c r="R137" s="33">
        <f>IF($T137=0,"",IF($AF137=1,"△ The log can't read this line",IF($W137=1,"△ Needs one owner, written as Name (Role)",IF($X137=1,"△ Look-again date missing, passed or too far ahead",IF($Y137=1,"△ No response",IF($Z137=1,"△ Closed without a date or a reason",IF($AA137=1,"△ Needs Provided by and Needed by, and Who answers as Name (Role)",IF($AB137=1,"△ Past its Needed by date","○ Clear"))))))))</f>
        <v/>
      </c>
      <c r="T137" s="34">
        <f>IF(COUNTA($A137:$Q137)&gt;0,1,0)</f>
        <v/>
      </c>
      <c r="U137" s="34">
        <f>IF(AND($T137=1,$J137&lt;&gt;"Closed"),1,0)</f>
        <v/>
      </c>
      <c r="V137" s="34">
        <f>IF(AND($U137=1,$Q137&lt;&gt;"Program workbook"),1,0)</f>
        <v/>
      </c>
      <c r="W137" s="34">
        <f>IF($V137=0,0,IF(OR(ISERROR(SEARCH(" (",$D137)),RIGHT(TRIM($D137),1)&lt;&gt;")",ISNUMBER(SEARCH(",",$AH137)),ISNUMBER(SEARCH("/",$AH137)),ISNUMBER(SEARCH(" and ",$AH137)),ISNUMBER(SEARCH("&amp;",$AH137))),1,0))</f>
        <v/>
      </c>
      <c r="X137" s="34">
        <f>IF($V137=0,0,IF(NOT(ISNUMBER($F137)),1,IF(OR($F137&lt;Summary!$K$4,$F137&gt;Summary!$K$4+Summary!$K$5,AND(ISNUMBER($P137),$F137&gt;$P137)),1,0)))</f>
        <v/>
      </c>
      <c r="Y137" s="34">
        <f>IF(AND($V137=1,OR($B137="Risk",$B137="Issue"),LEN(TRIM($I137))=0),1,0)</f>
        <v/>
      </c>
      <c r="Z137" s="34">
        <f>IF(AND($T137=1,$J137="Closed",OR(NOT(ISNUMBER($K137)),LEN(TRIM($L137))=0)),1,0)</f>
        <v/>
      </c>
      <c r="AA137" s="34">
        <f>IF(AND($U137=1,$B137="Dependency"),IF(OR(LEN(TRIM($N137))=0,NOT(ISNUMBER($P137)),NOT(AND(ISNUMBER(SEARCH(" (",$O137)),RIGHT(TRIM($O137),1)=")"))),1,0),0)</f>
        <v/>
      </c>
      <c r="AB137" s="34">
        <f>IF(AND($V137=1,$B137="Dependency",ISNUMBER($P137)),IF($P137&lt;Summary!$K$4,1,0),0)</f>
        <v/>
      </c>
      <c r="AC137" s="34">
        <f>IF($T137=0,0,IF(OR($A137="",COUNTIF($A$4:$A$153,$A137)&gt;1,ISERROR(MATCH($B137,{"Risk","Assumption","Issue","Dependency"},0))),1,IF(INDEX({"R","A","I","X"},MATCH($B137,{"Risk","Assumption","Issue","Dependency"},0))&lt;&gt;LEFT($A137,1),1,0)))</f>
        <v/>
      </c>
      <c r="AD137" s="34">
        <f>IF($T137=0,0,IF(OR(ISERROR(MATCH($J137,{"Raised","Responding","Closed"},0)),ISERROR(MATCH($G137,{"Low","Medium","High"},0)),AND(OR($B137="Risk",$B137="Assumption"),ISERROR(MATCH($H137,{"Low","Medium","High"},0))),AND($Q137&lt;&gt;"",$Q137&lt;&gt;"This log",$Q137&lt;&gt;"Program workbook"),AND($J137&lt;&gt;"Closed",OR($K137&lt;&gt;"",LEN(TRIM($L137))&gt;0))),1,0))</f>
        <v/>
      </c>
      <c r="AE137" s="34">
        <f>IF($T137=0,0,IF(OR(NOT(ISNUMBER($E137)),AND($F137&lt;&gt;"",NOT(ISNUMBER($F137))),AND($K137&lt;&gt;"",NOT(ISNUMBER($K137))),AND($P137&lt;&gt;"",NOT(ISNUMBER($P137)))),1,0))</f>
        <v/>
      </c>
      <c r="AF137" s="34">
        <f>MAX($AC137,$AD137,$AE137)</f>
        <v/>
      </c>
      <c r="AG137" s="34">
        <f>IF($T137=0,0,IFERROR(--MID(TRIM($A137),2,9),0))</f>
        <v/>
      </c>
      <c r="AH137" s="22">
        <f>IFERROR(LEFT(TRIM($D137),SEARCH(" (",TRIM($D137))-1),TRIM($D137))</f>
        <v/>
      </c>
      <c r="AI137" s="34">
        <f>IF(AND($T137=1,$J137="Closed",$G137="High",ISNUMBER($K137)),IF($K137&gt;=Summary!$K$6,1,0),0)</f>
        <v/>
      </c>
      <c r="AJ137" s="34">
        <f>IF($AI137=1,SUM($AI$4:$AI137),0)</f>
        <v/>
      </c>
    </row>
    <row r="138" ht="18" customHeight="1">
      <c r="A138" s="30" t="n"/>
      <c r="B138" s="30" t="n"/>
      <c r="C138" s="31" t="n"/>
      <c r="D138" s="31" t="n"/>
      <c r="E138" s="32" t="n"/>
      <c r="F138" s="32" t="n"/>
      <c r="G138" s="30" t="n"/>
      <c r="H138" s="30" t="n"/>
      <c r="I138" s="31" t="n"/>
      <c r="J138" s="30" t="n"/>
      <c r="K138" s="32" t="n"/>
      <c r="L138" s="31" t="n"/>
      <c r="M138" s="30" t="n"/>
      <c r="N138" s="31" t="n"/>
      <c r="O138" s="31" t="n"/>
      <c r="P138" s="32" t="n"/>
      <c r="Q138" s="30" t="n"/>
      <c r="R138" s="33">
        <f>IF($T138=0,"",IF($AF138=1,"△ The log can't read this line",IF($W138=1,"△ Needs one owner, written as Name (Role)",IF($X138=1,"△ Look-again date missing, passed or too far ahead",IF($Y138=1,"△ No response",IF($Z138=1,"△ Closed without a date or a reason",IF($AA138=1,"△ Needs Provided by and Needed by, and Who answers as Name (Role)",IF($AB138=1,"△ Past its Needed by date","○ Clear"))))))))</f>
        <v/>
      </c>
      <c r="T138" s="34">
        <f>IF(COUNTA($A138:$Q138)&gt;0,1,0)</f>
        <v/>
      </c>
      <c r="U138" s="34">
        <f>IF(AND($T138=1,$J138&lt;&gt;"Closed"),1,0)</f>
        <v/>
      </c>
      <c r="V138" s="34">
        <f>IF(AND($U138=1,$Q138&lt;&gt;"Program workbook"),1,0)</f>
        <v/>
      </c>
      <c r="W138" s="34">
        <f>IF($V138=0,0,IF(OR(ISERROR(SEARCH(" (",$D138)),RIGHT(TRIM($D138),1)&lt;&gt;")",ISNUMBER(SEARCH(",",$AH138)),ISNUMBER(SEARCH("/",$AH138)),ISNUMBER(SEARCH(" and ",$AH138)),ISNUMBER(SEARCH("&amp;",$AH138))),1,0))</f>
        <v/>
      </c>
      <c r="X138" s="34">
        <f>IF($V138=0,0,IF(NOT(ISNUMBER($F138)),1,IF(OR($F138&lt;Summary!$K$4,$F138&gt;Summary!$K$4+Summary!$K$5,AND(ISNUMBER($P138),$F138&gt;$P138)),1,0)))</f>
        <v/>
      </c>
      <c r="Y138" s="34">
        <f>IF(AND($V138=1,OR($B138="Risk",$B138="Issue"),LEN(TRIM($I138))=0),1,0)</f>
        <v/>
      </c>
      <c r="Z138" s="34">
        <f>IF(AND($T138=1,$J138="Closed",OR(NOT(ISNUMBER($K138)),LEN(TRIM($L138))=0)),1,0)</f>
        <v/>
      </c>
      <c r="AA138" s="34">
        <f>IF(AND($U138=1,$B138="Dependency"),IF(OR(LEN(TRIM($N138))=0,NOT(ISNUMBER($P138)),NOT(AND(ISNUMBER(SEARCH(" (",$O138)),RIGHT(TRIM($O138),1)=")"))),1,0),0)</f>
        <v/>
      </c>
      <c r="AB138" s="34">
        <f>IF(AND($V138=1,$B138="Dependency",ISNUMBER($P138)),IF($P138&lt;Summary!$K$4,1,0),0)</f>
        <v/>
      </c>
      <c r="AC138" s="34">
        <f>IF($T138=0,0,IF(OR($A138="",COUNTIF($A$4:$A$153,$A138)&gt;1,ISERROR(MATCH($B138,{"Risk","Assumption","Issue","Dependency"},0))),1,IF(INDEX({"R","A","I","X"},MATCH($B138,{"Risk","Assumption","Issue","Dependency"},0))&lt;&gt;LEFT($A138,1),1,0)))</f>
        <v/>
      </c>
      <c r="AD138" s="34">
        <f>IF($T138=0,0,IF(OR(ISERROR(MATCH($J138,{"Raised","Responding","Closed"},0)),ISERROR(MATCH($G138,{"Low","Medium","High"},0)),AND(OR($B138="Risk",$B138="Assumption"),ISERROR(MATCH($H138,{"Low","Medium","High"},0))),AND($Q138&lt;&gt;"",$Q138&lt;&gt;"This log",$Q138&lt;&gt;"Program workbook"),AND($J138&lt;&gt;"Closed",OR($K138&lt;&gt;"",LEN(TRIM($L138))&gt;0))),1,0))</f>
        <v/>
      </c>
      <c r="AE138" s="34">
        <f>IF($T138=0,0,IF(OR(NOT(ISNUMBER($E138)),AND($F138&lt;&gt;"",NOT(ISNUMBER($F138))),AND($K138&lt;&gt;"",NOT(ISNUMBER($K138))),AND($P138&lt;&gt;"",NOT(ISNUMBER($P138)))),1,0))</f>
        <v/>
      </c>
      <c r="AF138" s="34">
        <f>MAX($AC138,$AD138,$AE138)</f>
        <v/>
      </c>
      <c r="AG138" s="34">
        <f>IF($T138=0,0,IFERROR(--MID(TRIM($A138),2,9),0))</f>
        <v/>
      </c>
      <c r="AH138" s="22">
        <f>IFERROR(LEFT(TRIM($D138),SEARCH(" (",TRIM($D138))-1),TRIM($D138))</f>
        <v/>
      </c>
      <c r="AI138" s="34">
        <f>IF(AND($T138=1,$J138="Closed",$G138="High",ISNUMBER($K138)),IF($K138&gt;=Summary!$K$6,1,0),0)</f>
        <v/>
      </c>
      <c r="AJ138" s="34">
        <f>IF($AI138=1,SUM($AI$4:$AI138),0)</f>
        <v/>
      </c>
    </row>
    <row r="139" ht="18" customHeight="1">
      <c r="A139" s="30" t="n"/>
      <c r="B139" s="30" t="n"/>
      <c r="C139" s="31" t="n"/>
      <c r="D139" s="31" t="n"/>
      <c r="E139" s="32" t="n"/>
      <c r="F139" s="32" t="n"/>
      <c r="G139" s="30" t="n"/>
      <c r="H139" s="30" t="n"/>
      <c r="I139" s="31" t="n"/>
      <c r="J139" s="30" t="n"/>
      <c r="K139" s="32" t="n"/>
      <c r="L139" s="31" t="n"/>
      <c r="M139" s="30" t="n"/>
      <c r="N139" s="31" t="n"/>
      <c r="O139" s="31" t="n"/>
      <c r="P139" s="32" t="n"/>
      <c r="Q139" s="30" t="n"/>
      <c r="R139" s="33">
        <f>IF($T139=0,"",IF($AF139=1,"△ The log can't read this line",IF($W139=1,"△ Needs one owner, written as Name (Role)",IF($X139=1,"△ Look-again date missing, passed or too far ahead",IF($Y139=1,"△ No response",IF($Z139=1,"△ Closed without a date or a reason",IF($AA139=1,"△ Needs Provided by and Needed by, and Who answers as Name (Role)",IF($AB139=1,"△ Past its Needed by date","○ Clear"))))))))</f>
        <v/>
      </c>
      <c r="T139" s="34">
        <f>IF(COUNTA($A139:$Q139)&gt;0,1,0)</f>
        <v/>
      </c>
      <c r="U139" s="34">
        <f>IF(AND($T139=1,$J139&lt;&gt;"Closed"),1,0)</f>
        <v/>
      </c>
      <c r="V139" s="34">
        <f>IF(AND($U139=1,$Q139&lt;&gt;"Program workbook"),1,0)</f>
        <v/>
      </c>
      <c r="W139" s="34">
        <f>IF($V139=0,0,IF(OR(ISERROR(SEARCH(" (",$D139)),RIGHT(TRIM($D139),1)&lt;&gt;")",ISNUMBER(SEARCH(",",$AH139)),ISNUMBER(SEARCH("/",$AH139)),ISNUMBER(SEARCH(" and ",$AH139)),ISNUMBER(SEARCH("&amp;",$AH139))),1,0))</f>
        <v/>
      </c>
      <c r="X139" s="34">
        <f>IF($V139=0,0,IF(NOT(ISNUMBER($F139)),1,IF(OR($F139&lt;Summary!$K$4,$F139&gt;Summary!$K$4+Summary!$K$5,AND(ISNUMBER($P139),$F139&gt;$P139)),1,0)))</f>
        <v/>
      </c>
      <c r="Y139" s="34">
        <f>IF(AND($V139=1,OR($B139="Risk",$B139="Issue"),LEN(TRIM($I139))=0),1,0)</f>
        <v/>
      </c>
      <c r="Z139" s="34">
        <f>IF(AND($T139=1,$J139="Closed",OR(NOT(ISNUMBER($K139)),LEN(TRIM($L139))=0)),1,0)</f>
        <v/>
      </c>
      <c r="AA139" s="34">
        <f>IF(AND($U139=1,$B139="Dependency"),IF(OR(LEN(TRIM($N139))=0,NOT(ISNUMBER($P139)),NOT(AND(ISNUMBER(SEARCH(" (",$O139)),RIGHT(TRIM($O139),1)=")"))),1,0),0)</f>
        <v/>
      </c>
      <c r="AB139" s="34">
        <f>IF(AND($V139=1,$B139="Dependency",ISNUMBER($P139)),IF($P139&lt;Summary!$K$4,1,0),0)</f>
        <v/>
      </c>
      <c r="AC139" s="34">
        <f>IF($T139=0,0,IF(OR($A139="",COUNTIF($A$4:$A$153,$A139)&gt;1,ISERROR(MATCH($B139,{"Risk","Assumption","Issue","Dependency"},0))),1,IF(INDEX({"R","A","I","X"},MATCH($B139,{"Risk","Assumption","Issue","Dependency"},0))&lt;&gt;LEFT($A139,1),1,0)))</f>
        <v/>
      </c>
      <c r="AD139" s="34">
        <f>IF($T139=0,0,IF(OR(ISERROR(MATCH($J139,{"Raised","Responding","Closed"},0)),ISERROR(MATCH($G139,{"Low","Medium","High"},0)),AND(OR($B139="Risk",$B139="Assumption"),ISERROR(MATCH($H139,{"Low","Medium","High"},0))),AND($Q139&lt;&gt;"",$Q139&lt;&gt;"This log",$Q139&lt;&gt;"Program workbook"),AND($J139&lt;&gt;"Closed",OR($K139&lt;&gt;"",LEN(TRIM($L139))&gt;0))),1,0))</f>
        <v/>
      </c>
      <c r="AE139" s="34">
        <f>IF($T139=0,0,IF(OR(NOT(ISNUMBER($E139)),AND($F139&lt;&gt;"",NOT(ISNUMBER($F139))),AND($K139&lt;&gt;"",NOT(ISNUMBER($K139))),AND($P139&lt;&gt;"",NOT(ISNUMBER($P139)))),1,0))</f>
        <v/>
      </c>
      <c r="AF139" s="34">
        <f>MAX($AC139,$AD139,$AE139)</f>
        <v/>
      </c>
      <c r="AG139" s="34">
        <f>IF($T139=0,0,IFERROR(--MID(TRIM($A139),2,9),0))</f>
        <v/>
      </c>
      <c r="AH139" s="22">
        <f>IFERROR(LEFT(TRIM($D139),SEARCH(" (",TRIM($D139))-1),TRIM($D139))</f>
        <v/>
      </c>
      <c r="AI139" s="34">
        <f>IF(AND($T139=1,$J139="Closed",$G139="High",ISNUMBER($K139)),IF($K139&gt;=Summary!$K$6,1,0),0)</f>
        <v/>
      </c>
      <c r="AJ139" s="34">
        <f>IF($AI139=1,SUM($AI$4:$AI139),0)</f>
        <v/>
      </c>
    </row>
    <row r="140" ht="18" customHeight="1">
      <c r="A140" s="30" t="n"/>
      <c r="B140" s="30" t="n"/>
      <c r="C140" s="31" t="n"/>
      <c r="D140" s="31" t="n"/>
      <c r="E140" s="32" t="n"/>
      <c r="F140" s="32" t="n"/>
      <c r="G140" s="30" t="n"/>
      <c r="H140" s="30" t="n"/>
      <c r="I140" s="31" t="n"/>
      <c r="J140" s="30" t="n"/>
      <c r="K140" s="32" t="n"/>
      <c r="L140" s="31" t="n"/>
      <c r="M140" s="30" t="n"/>
      <c r="N140" s="31" t="n"/>
      <c r="O140" s="31" t="n"/>
      <c r="P140" s="32" t="n"/>
      <c r="Q140" s="30" t="n"/>
      <c r="R140" s="33">
        <f>IF($T140=0,"",IF($AF140=1,"△ The log can't read this line",IF($W140=1,"△ Needs one owner, written as Name (Role)",IF($X140=1,"△ Look-again date missing, passed or too far ahead",IF($Y140=1,"△ No response",IF($Z140=1,"△ Closed without a date or a reason",IF($AA140=1,"△ Needs Provided by and Needed by, and Who answers as Name (Role)",IF($AB140=1,"△ Past its Needed by date","○ Clear"))))))))</f>
        <v/>
      </c>
      <c r="T140" s="34">
        <f>IF(COUNTA($A140:$Q140)&gt;0,1,0)</f>
        <v/>
      </c>
      <c r="U140" s="34">
        <f>IF(AND($T140=1,$J140&lt;&gt;"Closed"),1,0)</f>
        <v/>
      </c>
      <c r="V140" s="34">
        <f>IF(AND($U140=1,$Q140&lt;&gt;"Program workbook"),1,0)</f>
        <v/>
      </c>
      <c r="W140" s="34">
        <f>IF($V140=0,0,IF(OR(ISERROR(SEARCH(" (",$D140)),RIGHT(TRIM($D140),1)&lt;&gt;")",ISNUMBER(SEARCH(",",$AH140)),ISNUMBER(SEARCH("/",$AH140)),ISNUMBER(SEARCH(" and ",$AH140)),ISNUMBER(SEARCH("&amp;",$AH140))),1,0))</f>
        <v/>
      </c>
      <c r="X140" s="34">
        <f>IF($V140=0,0,IF(NOT(ISNUMBER($F140)),1,IF(OR($F140&lt;Summary!$K$4,$F140&gt;Summary!$K$4+Summary!$K$5,AND(ISNUMBER($P140),$F140&gt;$P140)),1,0)))</f>
        <v/>
      </c>
      <c r="Y140" s="34">
        <f>IF(AND($V140=1,OR($B140="Risk",$B140="Issue"),LEN(TRIM($I140))=0),1,0)</f>
        <v/>
      </c>
      <c r="Z140" s="34">
        <f>IF(AND($T140=1,$J140="Closed",OR(NOT(ISNUMBER($K140)),LEN(TRIM($L140))=0)),1,0)</f>
        <v/>
      </c>
      <c r="AA140" s="34">
        <f>IF(AND($U140=1,$B140="Dependency"),IF(OR(LEN(TRIM($N140))=0,NOT(ISNUMBER($P140)),NOT(AND(ISNUMBER(SEARCH(" (",$O140)),RIGHT(TRIM($O140),1)=")"))),1,0),0)</f>
        <v/>
      </c>
      <c r="AB140" s="34">
        <f>IF(AND($V140=1,$B140="Dependency",ISNUMBER($P140)),IF($P140&lt;Summary!$K$4,1,0),0)</f>
        <v/>
      </c>
      <c r="AC140" s="34">
        <f>IF($T140=0,0,IF(OR($A140="",COUNTIF($A$4:$A$153,$A140)&gt;1,ISERROR(MATCH($B140,{"Risk","Assumption","Issue","Dependency"},0))),1,IF(INDEX({"R","A","I","X"},MATCH($B140,{"Risk","Assumption","Issue","Dependency"},0))&lt;&gt;LEFT($A140,1),1,0)))</f>
        <v/>
      </c>
      <c r="AD140" s="34">
        <f>IF($T140=0,0,IF(OR(ISERROR(MATCH($J140,{"Raised","Responding","Closed"},0)),ISERROR(MATCH($G140,{"Low","Medium","High"},0)),AND(OR($B140="Risk",$B140="Assumption"),ISERROR(MATCH($H140,{"Low","Medium","High"},0))),AND($Q140&lt;&gt;"",$Q140&lt;&gt;"This log",$Q140&lt;&gt;"Program workbook"),AND($J140&lt;&gt;"Closed",OR($K140&lt;&gt;"",LEN(TRIM($L140))&gt;0))),1,0))</f>
        <v/>
      </c>
      <c r="AE140" s="34">
        <f>IF($T140=0,0,IF(OR(NOT(ISNUMBER($E140)),AND($F140&lt;&gt;"",NOT(ISNUMBER($F140))),AND($K140&lt;&gt;"",NOT(ISNUMBER($K140))),AND($P140&lt;&gt;"",NOT(ISNUMBER($P140)))),1,0))</f>
        <v/>
      </c>
      <c r="AF140" s="34">
        <f>MAX($AC140,$AD140,$AE140)</f>
        <v/>
      </c>
      <c r="AG140" s="34">
        <f>IF($T140=0,0,IFERROR(--MID(TRIM($A140),2,9),0))</f>
        <v/>
      </c>
      <c r="AH140" s="22">
        <f>IFERROR(LEFT(TRIM($D140),SEARCH(" (",TRIM($D140))-1),TRIM($D140))</f>
        <v/>
      </c>
      <c r="AI140" s="34">
        <f>IF(AND($T140=1,$J140="Closed",$G140="High",ISNUMBER($K140)),IF($K140&gt;=Summary!$K$6,1,0),0)</f>
        <v/>
      </c>
      <c r="AJ140" s="34">
        <f>IF($AI140=1,SUM($AI$4:$AI140),0)</f>
        <v/>
      </c>
    </row>
    <row r="141" ht="18" customHeight="1">
      <c r="A141" s="30" t="n"/>
      <c r="B141" s="30" t="n"/>
      <c r="C141" s="31" t="n"/>
      <c r="D141" s="31" t="n"/>
      <c r="E141" s="32" t="n"/>
      <c r="F141" s="32" t="n"/>
      <c r="G141" s="30" t="n"/>
      <c r="H141" s="30" t="n"/>
      <c r="I141" s="31" t="n"/>
      <c r="J141" s="30" t="n"/>
      <c r="K141" s="32" t="n"/>
      <c r="L141" s="31" t="n"/>
      <c r="M141" s="30" t="n"/>
      <c r="N141" s="31" t="n"/>
      <c r="O141" s="31" t="n"/>
      <c r="P141" s="32" t="n"/>
      <c r="Q141" s="30" t="n"/>
      <c r="R141" s="33">
        <f>IF($T141=0,"",IF($AF141=1,"△ The log can't read this line",IF($W141=1,"△ Needs one owner, written as Name (Role)",IF($X141=1,"△ Look-again date missing, passed or too far ahead",IF($Y141=1,"△ No response",IF($Z141=1,"△ Closed without a date or a reason",IF($AA141=1,"△ Needs Provided by and Needed by, and Who answers as Name (Role)",IF($AB141=1,"△ Past its Needed by date","○ Clear"))))))))</f>
        <v/>
      </c>
      <c r="T141" s="34">
        <f>IF(COUNTA($A141:$Q141)&gt;0,1,0)</f>
        <v/>
      </c>
      <c r="U141" s="34">
        <f>IF(AND($T141=1,$J141&lt;&gt;"Closed"),1,0)</f>
        <v/>
      </c>
      <c r="V141" s="34">
        <f>IF(AND($U141=1,$Q141&lt;&gt;"Program workbook"),1,0)</f>
        <v/>
      </c>
      <c r="W141" s="34">
        <f>IF($V141=0,0,IF(OR(ISERROR(SEARCH(" (",$D141)),RIGHT(TRIM($D141),1)&lt;&gt;")",ISNUMBER(SEARCH(",",$AH141)),ISNUMBER(SEARCH("/",$AH141)),ISNUMBER(SEARCH(" and ",$AH141)),ISNUMBER(SEARCH("&amp;",$AH141))),1,0))</f>
        <v/>
      </c>
      <c r="X141" s="34">
        <f>IF($V141=0,0,IF(NOT(ISNUMBER($F141)),1,IF(OR($F141&lt;Summary!$K$4,$F141&gt;Summary!$K$4+Summary!$K$5,AND(ISNUMBER($P141),$F141&gt;$P141)),1,0)))</f>
        <v/>
      </c>
      <c r="Y141" s="34">
        <f>IF(AND($V141=1,OR($B141="Risk",$B141="Issue"),LEN(TRIM($I141))=0),1,0)</f>
        <v/>
      </c>
      <c r="Z141" s="34">
        <f>IF(AND($T141=1,$J141="Closed",OR(NOT(ISNUMBER($K141)),LEN(TRIM($L141))=0)),1,0)</f>
        <v/>
      </c>
      <c r="AA141" s="34">
        <f>IF(AND($U141=1,$B141="Dependency"),IF(OR(LEN(TRIM($N141))=0,NOT(ISNUMBER($P141)),NOT(AND(ISNUMBER(SEARCH(" (",$O141)),RIGHT(TRIM($O141),1)=")"))),1,0),0)</f>
        <v/>
      </c>
      <c r="AB141" s="34">
        <f>IF(AND($V141=1,$B141="Dependency",ISNUMBER($P141)),IF($P141&lt;Summary!$K$4,1,0),0)</f>
        <v/>
      </c>
      <c r="AC141" s="34">
        <f>IF($T141=0,0,IF(OR($A141="",COUNTIF($A$4:$A$153,$A141)&gt;1,ISERROR(MATCH($B141,{"Risk","Assumption","Issue","Dependency"},0))),1,IF(INDEX({"R","A","I","X"},MATCH($B141,{"Risk","Assumption","Issue","Dependency"},0))&lt;&gt;LEFT($A141,1),1,0)))</f>
        <v/>
      </c>
      <c r="AD141" s="34">
        <f>IF($T141=0,0,IF(OR(ISERROR(MATCH($J141,{"Raised","Responding","Closed"},0)),ISERROR(MATCH($G141,{"Low","Medium","High"},0)),AND(OR($B141="Risk",$B141="Assumption"),ISERROR(MATCH($H141,{"Low","Medium","High"},0))),AND($Q141&lt;&gt;"",$Q141&lt;&gt;"This log",$Q141&lt;&gt;"Program workbook"),AND($J141&lt;&gt;"Closed",OR($K141&lt;&gt;"",LEN(TRIM($L141))&gt;0))),1,0))</f>
        <v/>
      </c>
      <c r="AE141" s="34">
        <f>IF($T141=0,0,IF(OR(NOT(ISNUMBER($E141)),AND($F141&lt;&gt;"",NOT(ISNUMBER($F141))),AND($K141&lt;&gt;"",NOT(ISNUMBER($K141))),AND($P141&lt;&gt;"",NOT(ISNUMBER($P141)))),1,0))</f>
        <v/>
      </c>
      <c r="AF141" s="34">
        <f>MAX($AC141,$AD141,$AE141)</f>
        <v/>
      </c>
      <c r="AG141" s="34">
        <f>IF($T141=0,0,IFERROR(--MID(TRIM($A141),2,9),0))</f>
        <v/>
      </c>
      <c r="AH141" s="22">
        <f>IFERROR(LEFT(TRIM($D141),SEARCH(" (",TRIM($D141))-1),TRIM($D141))</f>
        <v/>
      </c>
      <c r="AI141" s="34">
        <f>IF(AND($T141=1,$J141="Closed",$G141="High",ISNUMBER($K141)),IF($K141&gt;=Summary!$K$6,1,0),0)</f>
        <v/>
      </c>
      <c r="AJ141" s="34">
        <f>IF($AI141=1,SUM($AI$4:$AI141),0)</f>
        <v/>
      </c>
    </row>
    <row r="142" ht="18" customHeight="1">
      <c r="A142" s="30" t="n"/>
      <c r="B142" s="30" t="n"/>
      <c r="C142" s="31" t="n"/>
      <c r="D142" s="31" t="n"/>
      <c r="E142" s="32" t="n"/>
      <c r="F142" s="32" t="n"/>
      <c r="G142" s="30" t="n"/>
      <c r="H142" s="30" t="n"/>
      <c r="I142" s="31" t="n"/>
      <c r="J142" s="30" t="n"/>
      <c r="K142" s="32" t="n"/>
      <c r="L142" s="31" t="n"/>
      <c r="M142" s="30" t="n"/>
      <c r="N142" s="31" t="n"/>
      <c r="O142" s="31" t="n"/>
      <c r="P142" s="32" t="n"/>
      <c r="Q142" s="30" t="n"/>
      <c r="R142" s="33">
        <f>IF($T142=0,"",IF($AF142=1,"△ The log can't read this line",IF($W142=1,"△ Needs one owner, written as Name (Role)",IF($X142=1,"△ Look-again date missing, passed or too far ahead",IF($Y142=1,"△ No response",IF($Z142=1,"△ Closed without a date or a reason",IF($AA142=1,"△ Needs Provided by and Needed by, and Who answers as Name (Role)",IF($AB142=1,"△ Past its Needed by date","○ Clear"))))))))</f>
        <v/>
      </c>
      <c r="T142" s="34">
        <f>IF(COUNTA($A142:$Q142)&gt;0,1,0)</f>
        <v/>
      </c>
      <c r="U142" s="34">
        <f>IF(AND($T142=1,$J142&lt;&gt;"Closed"),1,0)</f>
        <v/>
      </c>
      <c r="V142" s="34">
        <f>IF(AND($U142=1,$Q142&lt;&gt;"Program workbook"),1,0)</f>
        <v/>
      </c>
      <c r="W142" s="34">
        <f>IF($V142=0,0,IF(OR(ISERROR(SEARCH(" (",$D142)),RIGHT(TRIM($D142),1)&lt;&gt;")",ISNUMBER(SEARCH(",",$AH142)),ISNUMBER(SEARCH("/",$AH142)),ISNUMBER(SEARCH(" and ",$AH142)),ISNUMBER(SEARCH("&amp;",$AH142))),1,0))</f>
        <v/>
      </c>
      <c r="X142" s="34">
        <f>IF($V142=0,0,IF(NOT(ISNUMBER($F142)),1,IF(OR($F142&lt;Summary!$K$4,$F142&gt;Summary!$K$4+Summary!$K$5,AND(ISNUMBER($P142),$F142&gt;$P142)),1,0)))</f>
        <v/>
      </c>
      <c r="Y142" s="34">
        <f>IF(AND($V142=1,OR($B142="Risk",$B142="Issue"),LEN(TRIM($I142))=0),1,0)</f>
        <v/>
      </c>
      <c r="Z142" s="34">
        <f>IF(AND($T142=1,$J142="Closed",OR(NOT(ISNUMBER($K142)),LEN(TRIM($L142))=0)),1,0)</f>
        <v/>
      </c>
      <c r="AA142" s="34">
        <f>IF(AND($U142=1,$B142="Dependency"),IF(OR(LEN(TRIM($N142))=0,NOT(ISNUMBER($P142)),NOT(AND(ISNUMBER(SEARCH(" (",$O142)),RIGHT(TRIM($O142),1)=")"))),1,0),0)</f>
        <v/>
      </c>
      <c r="AB142" s="34">
        <f>IF(AND($V142=1,$B142="Dependency",ISNUMBER($P142)),IF($P142&lt;Summary!$K$4,1,0),0)</f>
        <v/>
      </c>
      <c r="AC142" s="34">
        <f>IF($T142=0,0,IF(OR($A142="",COUNTIF($A$4:$A$153,$A142)&gt;1,ISERROR(MATCH($B142,{"Risk","Assumption","Issue","Dependency"},0))),1,IF(INDEX({"R","A","I","X"},MATCH($B142,{"Risk","Assumption","Issue","Dependency"},0))&lt;&gt;LEFT($A142,1),1,0)))</f>
        <v/>
      </c>
      <c r="AD142" s="34">
        <f>IF($T142=0,0,IF(OR(ISERROR(MATCH($J142,{"Raised","Responding","Closed"},0)),ISERROR(MATCH($G142,{"Low","Medium","High"},0)),AND(OR($B142="Risk",$B142="Assumption"),ISERROR(MATCH($H142,{"Low","Medium","High"},0))),AND($Q142&lt;&gt;"",$Q142&lt;&gt;"This log",$Q142&lt;&gt;"Program workbook"),AND($J142&lt;&gt;"Closed",OR($K142&lt;&gt;"",LEN(TRIM($L142))&gt;0))),1,0))</f>
        <v/>
      </c>
      <c r="AE142" s="34">
        <f>IF($T142=0,0,IF(OR(NOT(ISNUMBER($E142)),AND($F142&lt;&gt;"",NOT(ISNUMBER($F142))),AND($K142&lt;&gt;"",NOT(ISNUMBER($K142))),AND($P142&lt;&gt;"",NOT(ISNUMBER($P142)))),1,0))</f>
        <v/>
      </c>
      <c r="AF142" s="34">
        <f>MAX($AC142,$AD142,$AE142)</f>
        <v/>
      </c>
      <c r="AG142" s="34">
        <f>IF($T142=0,0,IFERROR(--MID(TRIM($A142),2,9),0))</f>
        <v/>
      </c>
      <c r="AH142" s="22">
        <f>IFERROR(LEFT(TRIM($D142),SEARCH(" (",TRIM($D142))-1),TRIM($D142))</f>
        <v/>
      </c>
      <c r="AI142" s="34">
        <f>IF(AND($T142=1,$J142="Closed",$G142="High",ISNUMBER($K142)),IF($K142&gt;=Summary!$K$6,1,0),0)</f>
        <v/>
      </c>
      <c r="AJ142" s="34">
        <f>IF($AI142=1,SUM($AI$4:$AI142),0)</f>
        <v/>
      </c>
    </row>
    <row r="143" ht="18" customHeight="1">
      <c r="A143" s="30" t="n"/>
      <c r="B143" s="30" t="n"/>
      <c r="C143" s="31" t="n"/>
      <c r="D143" s="31" t="n"/>
      <c r="E143" s="32" t="n"/>
      <c r="F143" s="32" t="n"/>
      <c r="G143" s="30" t="n"/>
      <c r="H143" s="30" t="n"/>
      <c r="I143" s="31" t="n"/>
      <c r="J143" s="30" t="n"/>
      <c r="K143" s="32" t="n"/>
      <c r="L143" s="31" t="n"/>
      <c r="M143" s="30" t="n"/>
      <c r="N143" s="31" t="n"/>
      <c r="O143" s="31" t="n"/>
      <c r="P143" s="32" t="n"/>
      <c r="Q143" s="30" t="n"/>
      <c r="R143" s="33">
        <f>IF($T143=0,"",IF($AF143=1,"△ The log can't read this line",IF($W143=1,"△ Needs one owner, written as Name (Role)",IF($X143=1,"△ Look-again date missing, passed or too far ahead",IF($Y143=1,"△ No response",IF($Z143=1,"△ Closed without a date or a reason",IF($AA143=1,"△ Needs Provided by and Needed by, and Who answers as Name (Role)",IF($AB143=1,"△ Past its Needed by date","○ Clear"))))))))</f>
        <v/>
      </c>
      <c r="T143" s="34">
        <f>IF(COUNTA($A143:$Q143)&gt;0,1,0)</f>
        <v/>
      </c>
      <c r="U143" s="34">
        <f>IF(AND($T143=1,$J143&lt;&gt;"Closed"),1,0)</f>
        <v/>
      </c>
      <c r="V143" s="34">
        <f>IF(AND($U143=1,$Q143&lt;&gt;"Program workbook"),1,0)</f>
        <v/>
      </c>
      <c r="W143" s="34">
        <f>IF($V143=0,0,IF(OR(ISERROR(SEARCH(" (",$D143)),RIGHT(TRIM($D143),1)&lt;&gt;")",ISNUMBER(SEARCH(",",$AH143)),ISNUMBER(SEARCH("/",$AH143)),ISNUMBER(SEARCH(" and ",$AH143)),ISNUMBER(SEARCH("&amp;",$AH143))),1,0))</f>
        <v/>
      </c>
      <c r="X143" s="34">
        <f>IF($V143=0,0,IF(NOT(ISNUMBER($F143)),1,IF(OR($F143&lt;Summary!$K$4,$F143&gt;Summary!$K$4+Summary!$K$5,AND(ISNUMBER($P143),$F143&gt;$P143)),1,0)))</f>
        <v/>
      </c>
      <c r="Y143" s="34">
        <f>IF(AND($V143=1,OR($B143="Risk",$B143="Issue"),LEN(TRIM($I143))=0),1,0)</f>
        <v/>
      </c>
      <c r="Z143" s="34">
        <f>IF(AND($T143=1,$J143="Closed",OR(NOT(ISNUMBER($K143)),LEN(TRIM($L143))=0)),1,0)</f>
        <v/>
      </c>
      <c r="AA143" s="34">
        <f>IF(AND($U143=1,$B143="Dependency"),IF(OR(LEN(TRIM($N143))=0,NOT(ISNUMBER($P143)),NOT(AND(ISNUMBER(SEARCH(" (",$O143)),RIGHT(TRIM($O143),1)=")"))),1,0),0)</f>
        <v/>
      </c>
      <c r="AB143" s="34">
        <f>IF(AND($V143=1,$B143="Dependency",ISNUMBER($P143)),IF($P143&lt;Summary!$K$4,1,0),0)</f>
        <v/>
      </c>
      <c r="AC143" s="34">
        <f>IF($T143=0,0,IF(OR($A143="",COUNTIF($A$4:$A$153,$A143)&gt;1,ISERROR(MATCH($B143,{"Risk","Assumption","Issue","Dependency"},0))),1,IF(INDEX({"R","A","I","X"},MATCH($B143,{"Risk","Assumption","Issue","Dependency"},0))&lt;&gt;LEFT($A143,1),1,0)))</f>
        <v/>
      </c>
      <c r="AD143" s="34">
        <f>IF($T143=0,0,IF(OR(ISERROR(MATCH($J143,{"Raised","Responding","Closed"},0)),ISERROR(MATCH($G143,{"Low","Medium","High"},0)),AND(OR($B143="Risk",$B143="Assumption"),ISERROR(MATCH($H143,{"Low","Medium","High"},0))),AND($Q143&lt;&gt;"",$Q143&lt;&gt;"This log",$Q143&lt;&gt;"Program workbook"),AND($J143&lt;&gt;"Closed",OR($K143&lt;&gt;"",LEN(TRIM($L143))&gt;0))),1,0))</f>
        <v/>
      </c>
      <c r="AE143" s="34">
        <f>IF($T143=0,0,IF(OR(NOT(ISNUMBER($E143)),AND($F143&lt;&gt;"",NOT(ISNUMBER($F143))),AND($K143&lt;&gt;"",NOT(ISNUMBER($K143))),AND($P143&lt;&gt;"",NOT(ISNUMBER($P143)))),1,0))</f>
        <v/>
      </c>
      <c r="AF143" s="34">
        <f>MAX($AC143,$AD143,$AE143)</f>
        <v/>
      </c>
      <c r="AG143" s="34">
        <f>IF($T143=0,0,IFERROR(--MID(TRIM($A143),2,9),0))</f>
        <v/>
      </c>
      <c r="AH143" s="22">
        <f>IFERROR(LEFT(TRIM($D143),SEARCH(" (",TRIM($D143))-1),TRIM($D143))</f>
        <v/>
      </c>
      <c r="AI143" s="34">
        <f>IF(AND($T143=1,$J143="Closed",$G143="High",ISNUMBER($K143)),IF($K143&gt;=Summary!$K$6,1,0),0)</f>
        <v/>
      </c>
      <c r="AJ143" s="34">
        <f>IF($AI143=1,SUM($AI$4:$AI143),0)</f>
        <v/>
      </c>
    </row>
    <row r="144" ht="18" customHeight="1">
      <c r="A144" s="30" t="n"/>
      <c r="B144" s="30" t="n"/>
      <c r="C144" s="31" t="n"/>
      <c r="D144" s="31" t="n"/>
      <c r="E144" s="32" t="n"/>
      <c r="F144" s="32" t="n"/>
      <c r="G144" s="30" t="n"/>
      <c r="H144" s="30" t="n"/>
      <c r="I144" s="31" t="n"/>
      <c r="J144" s="30" t="n"/>
      <c r="K144" s="32" t="n"/>
      <c r="L144" s="31" t="n"/>
      <c r="M144" s="30" t="n"/>
      <c r="N144" s="31" t="n"/>
      <c r="O144" s="31" t="n"/>
      <c r="P144" s="32" t="n"/>
      <c r="Q144" s="30" t="n"/>
      <c r="R144" s="33">
        <f>IF($T144=0,"",IF($AF144=1,"△ The log can't read this line",IF($W144=1,"△ Needs one owner, written as Name (Role)",IF($X144=1,"△ Look-again date missing, passed or too far ahead",IF($Y144=1,"△ No response",IF($Z144=1,"△ Closed without a date or a reason",IF($AA144=1,"△ Needs Provided by and Needed by, and Who answers as Name (Role)",IF($AB144=1,"△ Past its Needed by date","○ Clear"))))))))</f>
        <v/>
      </c>
      <c r="T144" s="34">
        <f>IF(COUNTA($A144:$Q144)&gt;0,1,0)</f>
        <v/>
      </c>
      <c r="U144" s="34">
        <f>IF(AND($T144=1,$J144&lt;&gt;"Closed"),1,0)</f>
        <v/>
      </c>
      <c r="V144" s="34">
        <f>IF(AND($U144=1,$Q144&lt;&gt;"Program workbook"),1,0)</f>
        <v/>
      </c>
      <c r="W144" s="34">
        <f>IF($V144=0,0,IF(OR(ISERROR(SEARCH(" (",$D144)),RIGHT(TRIM($D144),1)&lt;&gt;")",ISNUMBER(SEARCH(",",$AH144)),ISNUMBER(SEARCH("/",$AH144)),ISNUMBER(SEARCH(" and ",$AH144)),ISNUMBER(SEARCH("&amp;",$AH144))),1,0))</f>
        <v/>
      </c>
      <c r="X144" s="34">
        <f>IF($V144=0,0,IF(NOT(ISNUMBER($F144)),1,IF(OR($F144&lt;Summary!$K$4,$F144&gt;Summary!$K$4+Summary!$K$5,AND(ISNUMBER($P144),$F144&gt;$P144)),1,0)))</f>
        <v/>
      </c>
      <c r="Y144" s="34">
        <f>IF(AND($V144=1,OR($B144="Risk",$B144="Issue"),LEN(TRIM($I144))=0),1,0)</f>
        <v/>
      </c>
      <c r="Z144" s="34">
        <f>IF(AND($T144=1,$J144="Closed",OR(NOT(ISNUMBER($K144)),LEN(TRIM($L144))=0)),1,0)</f>
        <v/>
      </c>
      <c r="AA144" s="34">
        <f>IF(AND($U144=1,$B144="Dependency"),IF(OR(LEN(TRIM($N144))=0,NOT(ISNUMBER($P144)),NOT(AND(ISNUMBER(SEARCH(" (",$O144)),RIGHT(TRIM($O144),1)=")"))),1,0),0)</f>
        <v/>
      </c>
      <c r="AB144" s="34">
        <f>IF(AND($V144=1,$B144="Dependency",ISNUMBER($P144)),IF($P144&lt;Summary!$K$4,1,0),0)</f>
        <v/>
      </c>
      <c r="AC144" s="34">
        <f>IF($T144=0,0,IF(OR($A144="",COUNTIF($A$4:$A$153,$A144)&gt;1,ISERROR(MATCH($B144,{"Risk","Assumption","Issue","Dependency"},0))),1,IF(INDEX({"R","A","I","X"},MATCH($B144,{"Risk","Assumption","Issue","Dependency"},0))&lt;&gt;LEFT($A144,1),1,0)))</f>
        <v/>
      </c>
      <c r="AD144" s="34">
        <f>IF($T144=0,0,IF(OR(ISERROR(MATCH($J144,{"Raised","Responding","Closed"},0)),ISERROR(MATCH($G144,{"Low","Medium","High"},0)),AND(OR($B144="Risk",$B144="Assumption"),ISERROR(MATCH($H144,{"Low","Medium","High"},0))),AND($Q144&lt;&gt;"",$Q144&lt;&gt;"This log",$Q144&lt;&gt;"Program workbook"),AND($J144&lt;&gt;"Closed",OR($K144&lt;&gt;"",LEN(TRIM($L144))&gt;0))),1,0))</f>
        <v/>
      </c>
      <c r="AE144" s="34">
        <f>IF($T144=0,0,IF(OR(NOT(ISNUMBER($E144)),AND($F144&lt;&gt;"",NOT(ISNUMBER($F144))),AND($K144&lt;&gt;"",NOT(ISNUMBER($K144))),AND($P144&lt;&gt;"",NOT(ISNUMBER($P144)))),1,0))</f>
        <v/>
      </c>
      <c r="AF144" s="34">
        <f>MAX($AC144,$AD144,$AE144)</f>
        <v/>
      </c>
      <c r="AG144" s="34">
        <f>IF($T144=0,0,IFERROR(--MID(TRIM($A144),2,9),0))</f>
        <v/>
      </c>
      <c r="AH144" s="22">
        <f>IFERROR(LEFT(TRIM($D144),SEARCH(" (",TRIM($D144))-1),TRIM($D144))</f>
        <v/>
      </c>
      <c r="AI144" s="34">
        <f>IF(AND($T144=1,$J144="Closed",$G144="High",ISNUMBER($K144)),IF($K144&gt;=Summary!$K$6,1,0),0)</f>
        <v/>
      </c>
      <c r="AJ144" s="34">
        <f>IF($AI144=1,SUM($AI$4:$AI144),0)</f>
        <v/>
      </c>
    </row>
    <row r="145" ht="18" customHeight="1">
      <c r="A145" s="30" t="n"/>
      <c r="B145" s="30" t="n"/>
      <c r="C145" s="31" t="n"/>
      <c r="D145" s="31" t="n"/>
      <c r="E145" s="32" t="n"/>
      <c r="F145" s="32" t="n"/>
      <c r="G145" s="30" t="n"/>
      <c r="H145" s="30" t="n"/>
      <c r="I145" s="31" t="n"/>
      <c r="J145" s="30" t="n"/>
      <c r="K145" s="32" t="n"/>
      <c r="L145" s="31" t="n"/>
      <c r="M145" s="30" t="n"/>
      <c r="N145" s="31" t="n"/>
      <c r="O145" s="31" t="n"/>
      <c r="P145" s="32" t="n"/>
      <c r="Q145" s="30" t="n"/>
      <c r="R145" s="33">
        <f>IF($T145=0,"",IF($AF145=1,"△ The log can't read this line",IF($W145=1,"△ Needs one owner, written as Name (Role)",IF($X145=1,"△ Look-again date missing, passed or too far ahead",IF($Y145=1,"△ No response",IF($Z145=1,"△ Closed without a date or a reason",IF($AA145=1,"△ Needs Provided by and Needed by, and Who answers as Name (Role)",IF($AB145=1,"△ Past its Needed by date","○ Clear"))))))))</f>
        <v/>
      </c>
      <c r="T145" s="34">
        <f>IF(COUNTA($A145:$Q145)&gt;0,1,0)</f>
        <v/>
      </c>
      <c r="U145" s="34">
        <f>IF(AND($T145=1,$J145&lt;&gt;"Closed"),1,0)</f>
        <v/>
      </c>
      <c r="V145" s="34">
        <f>IF(AND($U145=1,$Q145&lt;&gt;"Program workbook"),1,0)</f>
        <v/>
      </c>
      <c r="W145" s="34">
        <f>IF($V145=0,0,IF(OR(ISERROR(SEARCH(" (",$D145)),RIGHT(TRIM($D145),1)&lt;&gt;")",ISNUMBER(SEARCH(",",$AH145)),ISNUMBER(SEARCH("/",$AH145)),ISNUMBER(SEARCH(" and ",$AH145)),ISNUMBER(SEARCH("&amp;",$AH145))),1,0))</f>
        <v/>
      </c>
      <c r="X145" s="34">
        <f>IF($V145=0,0,IF(NOT(ISNUMBER($F145)),1,IF(OR($F145&lt;Summary!$K$4,$F145&gt;Summary!$K$4+Summary!$K$5,AND(ISNUMBER($P145),$F145&gt;$P145)),1,0)))</f>
        <v/>
      </c>
      <c r="Y145" s="34">
        <f>IF(AND($V145=1,OR($B145="Risk",$B145="Issue"),LEN(TRIM($I145))=0),1,0)</f>
        <v/>
      </c>
      <c r="Z145" s="34">
        <f>IF(AND($T145=1,$J145="Closed",OR(NOT(ISNUMBER($K145)),LEN(TRIM($L145))=0)),1,0)</f>
        <v/>
      </c>
      <c r="AA145" s="34">
        <f>IF(AND($U145=1,$B145="Dependency"),IF(OR(LEN(TRIM($N145))=0,NOT(ISNUMBER($P145)),NOT(AND(ISNUMBER(SEARCH(" (",$O145)),RIGHT(TRIM($O145),1)=")"))),1,0),0)</f>
        <v/>
      </c>
      <c r="AB145" s="34">
        <f>IF(AND($V145=1,$B145="Dependency",ISNUMBER($P145)),IF($P145&lt;Summary!$K$4,1,0),0)</f>
        <v/>
      </c>
      <c r="AC145" s="34">
        <f>IF($T145=0,0,IF(OR($A145="",COUNTIF($A$4:$A$153,$A145)&gt;1,ISERROR(MATCH($B145,{"Risk","Assumption","Issue","Dependency"},0))),1,IF(INDEX({"R","A","I","X"},MATCH($B145,{"Risk","Assumption","Issue","Dependency"},0))&lt;&gt;LEFT($A145,1),1,0)))</f>
        <v/>
      </c>
      <c r="AD145" s="34">
        <f>IF($T145=0,0,IF(OR(ISERROR(MATCH($J145,{"Raised","Responding","Closed"},0)),ISERROR(MATCH($G145,{"Low","Medium","High"},0)),AND(OR($B145="Risk",$B145="Assumption"),ISERROR(MATCH($H145,{"Low","Medium","High"},0))),AND($Q145&lt;&gt;"",$Q145&lt;&gt;"This log",$Q145&lt;&gt;"Program workbook"),AND($J145&lt;&gt;"Closed",OR($K145&lt;&gt;"",LEN(TRIM($L145))&gt;0))),1,0))</f>
        <v/>
      </c>
      <c r="AE145" s="34">
        <f>IF($T145=0,0,IF(OR(NOT(ISNUMBER($E145)),AND($F145&lt;&gt;"",NOT(ISNUMBER($F145))),AND($K145&lt;&gt;"",NOT(ISNUMBER($K145))),AND($P145&lt;&gt;"",NOT(ISNUMBER($P145)))),1,0))</f>
        <v/>
      </c>
      <c r="AF145" s="34">
        <f>MAX($AC145,$AD145,$AE145)</f>
        <v/>
      </c>
      <c r="AG145" s="34">
        <f>IF($T145=0,0,IFERROR(--MID(TRIM($A145),2,9),0))</f>
        <v/>
      </c>
      <c r="AH145" s="22">
        <f>IFERROR(LEFT(TRIM($D145),SEARCH(" (",TRIM($D145))-1),TRIM($D145))</f>
        <v/>
      </c>
      <c r="AI145" s="34">
        <f>IF(AND($T145=1,$J145="Closed",$G145="High",ISNUMBER($K145)),IF($K145&gt;=Summary!$K$6,1,0),0)</f>
        <v/>
      </c>
      <c r="AJ145" s="34">
        <f>IF($AI145=1,SUM($AI$4:$AI145),0)</f>
        <v/>
      </c>
    </row>
    <row r="146" ht="18" customHeight="1">
      <c r="A146" s="30" t="n"/>
      <c r="B146" s="30" t="n"/>
      <c r="C146" s="31" t="n"/>
      <c r="D146" s="31" t="n"/>
      <c r="E146" s="32" t="n"/>
      <c r="F146" s="32" t="n"/>
      <c r="G146" s="30" t="n"/>
      <c r="H146" s="30" t="n"/>
      <c r="I146" s="31" t="n"/>
      <c r="J146" s="30" t="n"/>
      <c r="K146" s="32" t="n"/>
      <c r="L146" s="31" t="n"/>
      <c r="M146" s="30" t="n"/>
      <c r="N146" s="31" t="n"/>
      <c r="O146" s="31" t="n"/>
      <c r="P146" s="32" t="n"/>
      <c r="Q146" s="30" t="n"/>
      <c r="R146" s="33">
        <f>IF($T146=0,"",IF($AF146=1,"△ The log can't read this line",IF($W146=1,"△ Needs one owner, written as Name (Role)",IF($X146=1,"△ Look-again date missing, passed or too far ahead",IF($Y146=1,"△ No response",IF($Z146=1,"△ Closed without a date or a reason",IF($AA146=1,"△ Needs Provided by and Needed by, and Who answers as Name (Role)",IF($AB146=1,"△ Past its Needed by date","○ Clear"))))))))</f>
        <v/>
      </c>
      <c r="T146" s="34">
        <f>IF(COUNTA($A146:$Q146)&gt;0,1,0)</f>
        <v/>
      </c>
      <c r="U146" s="34">
        <f>IF(AND($T146=1,$J146&lt;&gt;"Closed"),1,0)</f>
        <v/>
      </c>
      <c r="V146" s="34">
        <f>IF(AND($U146=1,$Q146&lt;&gt;"Program workbook"),1,0)</f>
        <v/>
      </c>
      <c r="W146" s="34">
        <f>IF($V146=0,0,IF(OR(ISERROR(SEARCH(" (",$D146)),RIGHT(TRIM($D146),1)&lt;&gt;")",ISNUMBER(SEARCH(",",$AH146)),ISNUMBER(SEARCH("/",$AH146)),ISNUMBER(SEARCH(" and ",$AH146)),ISNUMBER(SEARCH("&amp;",$AH146))),1,0))</f>
        <v/>
      </c>
      <c r="X146" s="34">
        <f>IF($V146=0,0,IF(NOT(ISNUMBER($F146)),1,IF(OR($F146&lt;Summary!$K$4,$F146&gt;Summary!$K$4+Summary!$K$5,AND(ISNUMBER($P146),$F146&gt;$P146)),1,0)))</f>
        <v/>
      </c>
      <c r="Y146" s="34">
        <f>IF(AND($V146=1,OR($B146="Risk",$B146="Issue"),LEN(TRIM($I146))=0),1,0)</f>
        <v/>
      </c>
      <c r="Z146" s="34">
        <f>IF(AND($T146=1,$J146="Closed",OR(NOT(ISNUMBER($K146)),LEN(TRIM($L146))=0)),1,0)</f>
        <v/>
      </c>
      <c r="AA146" s="34">
        <f>IF(AND($U146=1,$B146="Dependency"),IF(OR(LEN(TRIM($N146))=0,NOT(ISNUMBER($P146)),NOT(AND(ISNUMBER(SEARCH(" (",$O146)),RIGHT(TRIM($O146),1)=")"))),1,0),0)</f>
        <v/>
      </c>
      <c r="AB146" s="34">
        <f>IF(AND($V146=1,$B146="Dependency",ISNUMBER($P146)),IF($P146&lt;Summary!$K$4,1,0),0)</f>
        <v/>
      </c>
      <c r="AC146" s="34">
        <f>IF($T146=0,0,IF(OR($A146="",COUNTIF($A$4:$A$153,$A146)&gt;1,ISERROR(MATCH($B146,{"Risk","Assumption","Issue","Dependency"},0))),1,IF(INDEX({"R","A","I","X"},MATCH($B146,{"Risk","Assumption","Issue","Dependency"},0))&lt;&gt;LEFT($A146,1),1,0)))</f>
        <v/>
      </c>
      <c r="AD146" s="34">
        <f>IF($T146=0,0,IF(OR(ISERROR(MATCH($J146,{"Raised","Responding","Closed"},0)),ISERROR(MATCH($G146,{"Low","Medium","High"},0)),AND(OR($B146="Risk",$B146="Assumption"),ISERROR(MATCH($H146,{"Low","Medium","High"},0))),AND($Q146&lt;&gt;"",$Q146&lt;&gt;"This log",$Q146&lt;&gt;"Program workbook"),AND($J146&lt;&gt;"Closed",OR($K146&lt;&gt;"",LEN(TRIM($L146))&gt;0))),1,0))</f>
        <v/>
      </c>
      <c r="AE146" s="34">
        <f>IF($T146=0,0,IF(OR(NOT(ISNUMBER($E146)),AND($F146&lt;&gt;"",NOT(ISNUMBER($F146))),AND($K146&lt;&gt;"",NOT(ISNUMBER($K146))),AND($P146&lt;&gt;"",NOT(ISNUMBER($P146)))),1,0))</f>
        <v/>
      </c>
      <c r="AF146" s="34">
        <f>MAX($AC146,$AD146,$AE146)</f>
        <v/>
      </c>
      <c r="AG146" s="34">
        <f>IF($T146=0,0,IFERROR(--MID(TRIM($A146),2,9),0))</f>
        <v/>
      </c>
      <c r="AH146" s="22">
        <f>IFERROR(LEFT(TRIM($D146),SEARCH(" (",TRIM($D146))-1),TRIM($D146))</f>
        <v/>
      </c>
      <c r="AI146" s="34">
        <f>IF(AND($T146=1,$J146="Closed",$G146="High",ISNUMBER($K146)),IF($K146&gt;=Summary!$K$6,1,0),0)</f>
        <v/>
      </c>
      <c r="AJ146" s="34">
        <f>IF($AI146=1,SUM($AI$4:$AI146),0)</f>
        <v/>
      </c>
    </row>
    <row r="147" ht="18" customHeight="1">
      <c r="A147" s="30" t="n"/>
      <c r="B147" s="30" t="n"/>
      <c r="C147" s="31" t="n"/>
      <c r="D147" s="31" t="n"/>
      <c r="E147" s="32" t="n"/>
      <c r="F147" s="32" t="n"/>
      <c r="G147" s="30" t="n"/>
      <c r="H147" s="30" t="n"/>
      <c r="I147" s="31" t="n"/>
      <c r="J147" s="30" t="n"/>
      <c r="K147" s="32" t="n"/>
      <c r="L147" s="31" t="n"/>
      <c r="M147" s="30" t="n"/>
      <c r="N147" s="31" t="n"/>
      <c r="O147" s="31" t="n"/>
      <c r="P147" s="32" t="n"/>
      <c r="Q147" s="30" t="n"/>
      <c r="R147" s="33">
        <f>IF($T147=0,"",IF($AF147=1,"△ The log can't read this line",IF($W147=1,"△ Needs one owner, written as Name (Role)",IF($X147=1,"△ Look-again date missing, passed or too far ahead",IF($Y147=1,"△ No response",IF($Z147=1,"△ Closed without a date or a reason",IF($AA147=1,"△ Needs Provided by and Needed by, and Who answers as Name (Role)",IF($AB147=1,"△ Past its Needed by date","○ Clear"))))))))</f>
        <v/>
      </c>
      <c r="T147" s="34">
        <f>IF(COUNTA($A147:$Q147)&gt;0,1,0)</f>
        <v/>
      </c>
      <c r="U147" s="34">
        <f>IF(AND($T147=1,$J147&lt;&gt;"Closed"),1,0)</f>
        <v/>
      </c>
      <c r="V147" s="34">
        <f>IF(AND($U147=1,$Q147&lt;&gt;"Program workbook"),1,0)</f>
        <v/>
      </c>
      <c r="W147" s="34">
        <f>IF($V147=0,0,IF(OR(ISERROR(SEARCH(" (",$D147)),RIGHT(TRIM($D147),1)&lt;&gt;")",ISNUMBER(SEARCH(",",$AH147)),ISNUMBER(SEARCH("/",$AH147)),ISNUMBER(SEARCH(" and ",$AH147)),ISNUMBER(SEARCH("&amp;",$AH147))),1,0))</f>
        <v/>
      </c>
      <c r="X147" s="34">
        <f>IF($V147=0,0,IF(NOT(ISNUMBER($F147)),1,IF(OR($F147&lt;Summary!$K$4,$F147&gt;Summary!$K$4+Summary!$K$5,AND(ISNUMBER($P147),$F147&gt;$P147)),1,0)))</f>
        <v/>
      </c>
      <c r="Y147" s="34">
        <f>IF(AND($V147=1,OR($B147="Risk",$B147="Issue"),LEN(TRIM($I147))=0),1,0)</f>
        <v/>
      </c>
      <c r="Z147" s="34">
        <f>IF(AND($T147=1,$J147="Closed",OR(NOT(ISNUMBER($K147)),LEN(TRIM($L147))=0)),1,0)</f>
        <v/>
      </c>
      <c r="AA147" s="34">
        <f>IF(AND($U147=1,$B147="Dependency"),IF(OR(LEN(TRIM($N147))=0,NOT(ISNUMBER($P147)),NOT(AND(ISNUMBER(SEARCH(" (",$O147)),RIGHT(TRIM($O147),1)=")"))),1,0),0)</f>
        <v/>
      </c>
      <c r="AB147" s="34">
        <f>IF(AND($V147=1,$B147="Dependency",ISNUMBER($P147)),IF($P147&lt;Summary!$K$4,1,0),0)</f>
        <v/>
      </c>
      <c r="AC147" s="34">
        <f>IF($T147=0,0,IF(OR($A147="",COUNTIF($A$4:$A$153,$A147)&gt;1,ISERROR(MATCH($B147,{"Risk","Assumption","Issue","Dependency"},0))),1,IF(INDEX({"R","A","I","X"},MATCH($B147,{"Risk","Assumption","Issue","Dependency"},0))&lt;&gt;LEFT($A147,1),1,0)))</f>
        <v/>
      </c>
      <c r="AD147" s="34">
        <f>IF($T147=0,0,IF(OR(ISERROR(MATCH($J147,{"Raised","Responding","Closed"},0)),ISERROR(MATCH($G147,{"Low","Medium","High"},0)),AND(OR($B147="Risk",$B147="Assumption"),ISERROR(MATCH($H147,{"Low","Medium","High"},0))),AND($Q147&lt;&gt;"",$Q147&lt;&gt;"This log",$Q147&lt;&gt;"Program workbook"),AND($J147&lt;&gt;"Closed",OR($K147&lt;&gt;"",LEN(TRIM($L147))&gt;0))),1,0))</f>
        <v/>
      </c>
      <c r="AE147" s="34">
        <f>IF($T147=0,0,IF(OR(NOT(ISNUMBER($E147)),AND($F147&lt;&gt;"",NOT(ISNUMBER($F147))),AND($K147&lt;&gt;"",NOT(ISNUMBER($K147))),AND($P147&lt;&gt;"",NOT(ISNUMBER($P147)))),1,0))</f>
        <v/>
      </c>
      <c r="AF147" s="34">
        <f>MAX($AC147,$AD147,$AE147)</f>
        <v/>
      </c>
      <c r="AG147" s="34">
        <f>IF($T147=0,0,IFERROR(--MID(TRIM($A147),2,9),0))</f>
        <v/>
      </c>
      <c r="AH147" s="22">
        <f>IFERROR(LEFT(TRIM($D147),SEARCH(" (",TRIM($D147))-1),TRIM($D147))</f>
        <v/>
      </c>
      <c r="AI147" s="34">
        <f>IF(AND($T147=1,$J147="Closed",$G147="High",ISNUMBER($K147)),IF($K147&gt;=Summary!$K$6,1,0),0)</f>
        <v/>
      </c>
      <c r="AJ147" s="34">
        <f>IF($AI147=1,SUM($AI$4:$AI147),0)</f>
        <v/>
      </c>
    </row>
    <row r="148" ht="18" customHeight="1">
      <c r="A148" s="30" t="n"/>
      <c r="B148" s="30" t="n"/>
      <c r="C148" s="31" t="n"/>
      <c r="D148" s="31" t="n"/>
      <c r="E148" s="32" t="n"/>
      <c r="F148" s="32" t="n"/>
      <c r="G148" s="30" t="n"/>
      <c r="H148" s="30" t="n"/>
      <c r="I148" s="31" t="n"/>
      <c r="J148" s="30" t="n"/>
      <c r="K148" s="32" t="n"/>
      <c r="L148" s="31" t="n"/>
      <c r="M148" s="30" t="n"/>
      <c r="N148" s="31" t="n"/>
      <c r="O148" s="31" t="n"/>
      <c r="P148" s="32" t="n"/>
      <c r="Q148" s="30" t="n"/>
      <c r="R148" s="33">
        <f>IF($T148=0,"",IF($AF148=1,"△ The log can't read this line",IF($W148=1,"△ Needs one owner, written as Name (Role)",IF($X148=1,"△ Look-again date missing, passed or too far ahead",IF($Y148=1,"△ No response",IF($Z148=1,"△ Closed without a date or a reason",IF($AA148=1,"△ Needs Provided by and Needed by, and Who answers as Name (Role)",IF($AB148=1,"△ Past its Needed by date","○ Clear"))))))))</f>
        <v/>
      </c>
      <c r="T148" s="34">
        <f>IF(COUNTA($A148:$Q148)&gt;0,1,0)</f>
        <v/>
      </c>
      <c r="U148" s="34">
        <f>IF(AND($T148=1,$J148&lt;&gt;"Closed"),1,0)</f>
        <v/>
      </c>
      <c r="V148" s="34">
        <f>IF(AND($U148=1,$Q148&lt;&gt;"Program workbook"),1,0)</f>
        <v/>
      </c>
      <c r="W148" s="34">
        <f>IF($V148=0,0,IF(OR(ISERROR(SEARCH(" (",$D148)),RIGHT(TRIM($D148),1)&lt;&gt;")",ISNUMBER(SEARCH(",",$AH148)),ISNUMBER(SEARCH("/",$AH148)),ISNUMBER(SEARCH(" and ",$AH148)),ISNUMBER(SEARCH("&amp;",$AH148))),1,0))</f>
        <v/>
      </c>
      <c r="X148" s="34">
        <f>IF($V148=0,0,IF(NOT(ISNUMBER($F148)),1,IF(OR($F148&lt;Summary!$K$4,$F148&gt;Summary!$K$4+Summary!$K$5,AND(ISNUMBER($P148),$F148&gt;$P148)),1,0)))</f>
        <v/>
      </c>
      <c r="Y148" s="34">
        <f>IF(AND($V148=1,OR($B148="Risk",$B148="Issue"),LEN(TRIM($I148))=0),1,0)</f>
        <v/>
      </c>
      <c r="Z148" s="34">
        <f>IF(AND($T148=1,$J148="Closed",OR(NOT(ISNUMBER($K148)),LEN(TRIM($L148))=0)),1,0)</f>
        <v/>
      </c>
      <c r="AA148" s="34">
        <f>IF(AND($U148=1,$B148="Dependency"),IF(OR(LEN(TRIM($N148))=0,NOT(ISNUMBER($P148)),NOT(AND(ISNUMBER(SEARCH(" (",$O148)),RIGHT(TRIM($O148),1)=")"))),1,0),0)</f>
        <v/>
      </c>
      <c r="AB148" s="34">
        <f>IF(AND($V148=1,$B148="Dependency",ISNUMBER($P148)),IF($P148&lt;Summary!$K$4,1,0),0)</f>
        <v/>
      </c>
      <c r="AC148" s="34">
        <f>IF($T148=0,0,IF(OR($A148="",COUNTIF($A$4:$A$153,$A148)&gt;1,ISERROR(MATCH($B148,{"Risk","Assumption","Issue","Dependency"},0))),1,IF(INDEX({"R","A","I","X"},MATCH($B148,{"Risk","Assumption","Issue","Dependency"},0))&lt;&gt;LEFT($A148,1),1,0)))</f>
        <v/>
      </c>
      <c r="AD148" s="34">
        <f>IF($T148=0,0,IF(OR(ISERROR(MATCH($J148,{"Raised","Responding","Closed"},0)),ISERROR(MATCH($G148,{"Low","Medium","High"},0)),AND(OR($B148="Risk",$B148="Assumption"),ISERROR(MATCH($H148,{"Low","Medium","High"},0))),AND($Q148&lt;&gt;"",$Q148&lt;&gt;"This log",$Q148&lt;&gt;"Program workbook"),AND($J148&lt;&gt;"Closed",OR($K148&lt;&gt;"",LEN(TRIM($L148))&gt;0))),1,0))</f>
        <v/>
      </c>
      <c r="AE148" s="34">
        <f>IF($T148=0,0,IF(OR(NOT(ISNUMBER($E148)),AND($F148&lt;&gt;"",NOT(ISNUMBER($F148))),AND($K148&lt;&gt;"",NOT(ISNUMBER($K148))),AND($P148&lt;&gt;"",NOT(ISNUMBER($P148)))),1,0))</f>
        <v/>
      </c>
      <c r="AF148" s="34">
        <f>MAX($AC148,$AD148,$AE148)</f>
        <v/>
      </c>
      <c r="AG148" s="34">
        <f>IF($T148=0,0,IFERROR(--MID(TRIM($A148),2,9),0))</f>
        <v/>
      </c>
      <c r="AH148" s="22">
        <f>IFERROR(LEFT(TRIM($D148),SEARCH(" (",TRIM($D148))-1),TRIM($D148))</f>
        <v/>
      </c>
      <c r="AI148" s="34">
        <f>IF(AND($T148=1,$J148="Closed",$G148="High",ISNUMBER($K148)),IF($K148&gt;=Summary!$K$6,1,0),0)</f>
        <v/>
      </c>
      <c r="AJ148" s="34">
        <f>IF($AI148=1,SUM($AI$4:$AI148),0)</f>
        <v/>
      </c>
    </row>
    <row r="149" ht="18" customHeight="1">
      <c r="A149" s="30" t="n"/>
      <c r="B149" s="30" t="n"/>
      <c r="C149" s="31" t="n"/>
      <c r="D149" s="31" t="n"/>
      <c r="E149" s="32" t="n"/>
      <c r="F149" s="32" t="n"/>
      <c r="G149" s="30" t="n"/>
      <c r="H149" s="30" t="n"/>
      <c r="I149" s="31" t="n"/>
      <c r="J149" s="30" t="n"/>
      <c r="K149" s="32" t="n"/>
      <c r="L149" s="31" t="n"/>
      <c r="M149" s="30" t="n"/>
      <c r="N149" s="31" t="n"/>
      <c r="O149" s="31" t="n"/>
      <c r="P149" s="32" t="n"/>
      <c r="Q149" s="30" t="n"/>
      <c r="R149" s="33">
        <f>IF($T149=0,"",IF($AF149=1,"△ The log can't read this line",IF($W149=1,"△ Needs one owner, written as Name (Role)",IF($X149=1,"△ Look-again date missing, passed or too far ahead",IF($Y149=1,"△ No response",IF($Z149=1,"△ Closed without a date or a reason",IF($AA149=1,"△ Needs Provided by and Needed by, and Who answers as Name (Role)",IF($AB149=1,"△ Past its Needed by date","○ Clear"))))))))</f>
        <v/>
      </c>
      <c r="T149" s="34">
        <f>IF(COUNTA($A149:$Q149)&gt;0,1,0)</f>
        <v/>
      </c>
      <c r="U149" s="34">
        <f>IF(AND($T149=1,$J149&lt;&gt;"Closed"),1,0)</f>
        <v/>
      </c>
      <c r="V149" s="34">
        <f>IF(AND($U149=1,$Q149&lt;&gt;"Program workbook"),1,0)</f>
        <v/>
      </c>
      <c r="W149" s="34">
        <f>IF($V149=0,0,IF(OR(ISERROR(SEARCH(" (",$D149)),RIGHT(TRIM($D149),1)&lt;&gt;")",ISNUMBER(SEARCH(",",$AH149)),ISNUMBER(SEARCH("/",$AH149)),ISNUMBER(SEARCH(" and ",$AH149)),ISNUMBER(SEARCH("&amp;",$AH149))),1,0))</f>
        <v/>
      </c>
      <c r="X149" s="34">
        <f>IF($V149=0,0,IF(NOT(ISNUMBER($F149)),1,IF(OR($F149&lt;Summary!$K$4,$F149&gt;Summary!$K$4+Summary!$K$5,AND(ISNUMBER($P149),$F149&gt;$P149)),1,0)))</f>
        <v/>
      </c>
      <c r="Y149" s="34">
        <f>IF(AND($V149=1,OR($B149="Risk",$B149="Issue"),LEN(TRIM($I149))=0),1,0)</f>
        <v/>
      </c>
      <c r="Z149" s="34">
        <f>IF(AND($T149=1,$J149="Closed",OR(NOT(ISNUMBER($K149)),LEN(TRIM($L149))=0)),1,0)</f>
        <v/>
      </c>
      <c r="AA149" s="34">
        <f>IF(AND($U149=1,$B149="Dependency"),IF(OR(LEN(TRIM($N149))=0,NOT(ISNUMBER($P149)),NOT(AND(ISNUMBER(SEARCH(" (",$O149)),RIGHT(TRIM($O149),1)=")"))),1,0),0)</f>
        <v/>
      </c>
      <c r="AB149" s="34">
        <f>IF(AND($V149=1,$B149="Dependency",ISNUMBER($P149)),IF($P149&lt;Summary!$K$4,1,0),0)</f>
        <v/>
      </c>
      <c r="AC149" s="34">
        <f>IF($T149=0,0,IF(OR($A149="",COUNTIF($A$4:$A$153,$A149)&gt;1,ISERROR(MATCH($B149,{"Risk","Assumption","Issue","Dependency"},0))),1,IF(INDEX({"R","A","I","X"},MATCH($B149,{"Risk","Assumption","Issue","Dependency"},0))&lt;&gt;LEFT($A149,1),1,0)))</f>
        <v/>
      </c>
      <c r="AD149" s="34">
        <f>IF($T149=0,0,IF(OR(ISERROR(MATCH($J149,{"Raised","Responding","Closed"},0)),ISERROR(MATCH($G149,{"Low","Medium","High"},0)),AND(OR($B149="Risk",$B149="Assumption"),ISERROR(MATCH($H149,{"Low","Medium","High"},0))),AND($Q149&lt;&gt;"",$Q149&lt;&gt;"This log",$Q149&lt;&gt;"Program workbook"),AND($J149&lt;&gt;"Closed",OR($K149&lt;&gt;"",LEN(TRIM($L149))&gt;0))),1,0))</f>
        <v/>
      </c>
      <c r="AE149" s="34">
        <f>IF($T149=0,0,IF(OR(NOT(ISNUMBER($E149)),AND($F149&lt;&gt;"",NOT(ISNUMBER($F149))),AND($K149&lt;&gt;"",NOT(ISNUMBER($K149))),AND($P149&lt;&gt;"",NOT(ISNUMBER($P149)))),1,0))</f>
        <v/>
      </c>
      <c r="AF149" s="34">
        <f>MAX($AC149,$AD149,$AE149)</f>
        <v/>
      </c>
      <c r="AG149" s="34">
        <f>IF($T149=0,0,IFERROR(--MID(TRIM($A149),2,9),0))</f>
        <v/>
      </c>
      <c r="AH149" s="22">
        <f>IFERROR(LEFT(TRIM($D149),SEARCH(" (",TRIM($D149))-1),TRIM($D149))</f>
        <v/>
      </c>
      <c r="AI149" s="34">
        <f>IF(AND($T149=1,$J149="Closed",$G149="High",ISNUMBER($K149)),IF($K149&gt;=Summary!$K$6,1,0),0)</f>
        <v/>
      </c>
      <c r="AJ149" s="34">
        <f>IF($AI149=1,SUM($AI$4:$AI149),0)</f>
        <v/>
      </c>
    </row>
    <row r="150" ht="18" customHeight="1">
      <c r="A150" s="30" t="n"/>
      <c r="B150" s="30" t="n"/>
      <c r="C150" s="31" t="n"/>
      <c r="D150" s="31" t="n"/>
      <c r="E150" s="32" t="n"/>
      <c r="F150" s="32" t="n"/>
      <c r="G150" s="30" t="n"/>
      <c r="H150" s="30" t="n"/>
      <c r="I150" s="31" t="n"/>
      <c r="J150" s="30" t="n"/>
      <c r="K150" s="32" t="n"/>
      <c r="L150" s="31" t="n"/>
      <c r="M150" s="30" t="n"/>
      <c r="N150" s="31" t="n"/>
      <c r="O150" s="31" t="n"/>
      <c r="P150" s="32" t="n"/>
      <c r="Q150" s="30" t="n"/>
      <c r="R150" s="33">
        <f>IF($T150=0,"",IF($AF150=1,"△ The log can't read this line",IF($W150=1,"△ Needs one owner, written as Name (Role)",IF($X150=1,"△ Look-again date missing, passed or too far ahead",IF($Y150=1,"△ No response",IF($Z150=1,"△ Closed without a date or a reason",IF($AA150=1,"△ Needs Provided by and Needed by, and Who answers as Name (Role)",IF($AB150=1,"△ Past its Needed by date","○ Clear"))))))))</f>
        <v/>
      </c>
      <c r="T150" s="34">
        <f>IF(COUNTA($A150:$Q150)&gt;0,1,0)</f>
        <v/>
      </c>
      <c r="U150" s="34">
        <f>IF(AND($T150=1,$J150&lt;&gt;"Closed"),1,0)</f>
        <v/>
      </c>
      <c r="V150" s="34">
        <f>IF(AND($U150=1,$Q150&lt;&gt;"Program workbook"),1,0)</f>
        <v/>
      </c>
      <c r="W150" s="34">
        <f>IF($V150=0,0,IF(OR(ISERROR(SEARCH(" (",$D150)),RIGHT(TRIM($D150),1)&lt;&gt;")",ISNUMBER(SEARCH(",",$AH150)),ISNUMBER(SEARCH("/",$AH150)),ISNUMBER(SEARCH(" and ",$AH150)),ISNUMBER(SEARCH("&amp;",$AH150))),1,0))</f>
        <v/>
      </c>
      <c r="X150" s="34">
        <f>IF($V150=0,0,IF(NOT(ISNUMBER($F150)),1,IF(OR($F150&lt;Summary!$K$4,$F150&gt;Summary!$K$4+Summary!$K$5,AND(ISNUMBER($P150),$F150&gt;$P150)),1,0)))</f>
        <v/>
      </c>
      <c r="Y150" s="34">
        <f>IF(AND($V150=1,OR($B150="Risk",$B150="Issue"),LEN(TRIM($I150))=0),1,0)</f>
        <v/>
      </c>
      <c r="Z150" s="34">
        <f>IF(AND($T150=1,$J150="Closed",OR(NOT(ISNUMBER($K150)),LEN(TRIM($L150))=0)),1,0)</f>
        <v/>
      </c>
      <c r="AA150" s="34">
        <f>IF(AND($U150=1,$B150="Dependency"),IF(OR(LEN(TRIM($N150))=0,NOT(ISNUMBER($P150)),NOT(AND(ISNUMBER(SEARCH(" (",$O150)),RIGHT(TRIM($O150),1)=")"))),1,0),0)</f>
        <v/>
      </c>
      <c r="AB150" s="34">
        <f>IF(AND($V150=1,$B150="Dependency",ISNUMBER($P150)),IF($P150&lt;Summary!$K$4,1,0),0)</f>
        <v/>
      </c>
      <c r="AC150" s="34">
        <f>IF($T150=0,0,IF(OR($A150="",COUNTIF($A$4:$A$153,$A150)&gt;1,ISERROR(MATCH($B150,{"Risk","Assumption","Issue","Dependency"},0))),1,IF(INDEX({"R","A","I","X"},MATCH($B150,{"Risk","Assumption","Issue","Dependency"},0))&lt;&gt;LEFT($A150,1),1,0)))</f>
        <v/>
      </c>
      <c r="AD150" s="34">
        <f>IF($T150=0,0,IF(OR(ISERROR(MATCH($J150,{"Raised","Responding","Closed"},0)),ISERROR(MATCH($G150,{"Low","Medium","High"},0)),AND(OR($B150="Risk",$B150="Assumption"),ISERROR(MATCH($H150,{"Low","Medium","High"},0))),AND($Q150&lt;&gt;"",$Q150&lt;&gt;"This log",$Q150&lt;&gt;"Program workbook"),AND($J150&lt;&gt;"Closed",OR($K150&lt;&gt;"",LEN(TRIM($L150))&gt;0))),1,0))</f>
        <v/>
      </c>
      <c r="AE150" s="34">
        <f>IF($T150=0,0,IF(OR(NOT(ISNUMBER($E150)),AND($F150&lt;&gt;"",NOT(ISNUMBER($F150))),AND($K150&lt;&gt;"",NOT(ISNUMBER($K150))),AND($P150&lt;&gt;"",NOT(ISNUMBER($P150)))),1,0))</f>
        <v/>
      </c>
      <c r="AF150" s="34">
        <f>MAX($AC150,$AD150,$AE150)</f>
        <v/>
      </c>
      <c r="AG150" s="34">
        <f>IF($T150=0,0,IFERROR(--MID(TRIM($A150),2,9),0))</f>
        <v/>
      </c>
      <c r="AH150" s="22">
        <f>IFERROR(LEFT(TRIM($D150),SEARCH(" (",TRIM($D150))-1),TRIM($D150))</f>
        <v/>
      </c>
      <c r="AI150" s="34">
        <f>IF(AND($T150=1,$J150="Closed",$G150="High",ISNUMBER($K150)),IF($K150&gt;=Summary!$K$6,1,0),0)</f>
        <v/>
      </c>
      <c r="AJ150" s="34">
        <f>IF($AI150=1,SUM($AI$4:$AI150),0)</f>
        <v/>
      </c>
    </row>
    <row r="151" ht="18" customHeight="1">
      <c r="A151" s="30" t="n"/>
      <c r="B151" s="30" t="n"/>
      <c r="C151" s="31" t="n"/>
      <c r="D151" s="31" t="n"/>
      <c r="E151" s="32" t="n"/>
      <c r="F151" s="32" t="n"/>
      <c r="G151" s="30" t="n"/>
      <c r="H151" s="30" t="n"/>
      <c r="I151" s="31" t="n"/>
      <c r="J151" s="30" t="n"/>
      <c r="K151" s="32" t="n"/>
      <c r="L151" s="31" t="n"/>
      <c r="M151" s="30" t="n"/>
      <c r="N151" s="31" t="n"/>
      <c r="O151" s="31" t="n"/>
      <c r="P151" s="32" t="n"/>
      <c r="Q151" s="30" t="n"/>
      <c r="R151" s="33">
        <f>IF($T151=0,"",IF($AF151=1,"△ The log can't read this line",IF($W151=1,"△ Needs one owner, written as Name (Role)",IF($X151=1,"△ Look-again date missing, passed or too far ahead",IF($Y151=1,"△ No response",IF($Z151=1,"△ Closed without a date or a reason",IF($AA151=1,"△ Needs Provided by and Needed by, and Who answers as Name (Role)",IF($AB151=1,"△ Past its Needed by date","○ Clear"))))))))</f>
        <v/>
      </c>
      <c r="T151" s="34">
        <f>IF(COUNTA($A151:$Q151)&gt;0,1,0)</f>
        <v/>
      </c>
      <c r="U151" s="34">
        <f>IF(AND($T151=1,$J151&lt;&gt;"Closed"),1,0)</f>
        <v/>
      </c>
      <c r="V151" s="34">
        <f>IF(AND($U151=1,$Q151&lt;&gt;"Program workbook"),1,0)</f>
        <v/>
      </c>
      <c r="W151" s="34">
        <f>IF($V151=0,0,IF(OR(ISERROR(SEARCH(" (",$D151)),RIGHT(TRIM($D151),1)&lt;&gt;")",ISNUMBER(SEARCH(",",$AH151)),ISNUMBER(SEARCH("/",$AH151)),ISNUMBER(SEARCH(" and ",$AH151)),ISNUMBER(SEARCH("&amp;",$AH151))),1,0))</f>
        <v/>
      </c>
      <c r="X151" s="34">
        <f>IF($V151=0,0,IF(NOT(ISNUMBER($F151)),1,IF(OR($F151&lt;Summary!$K$4,$F151&gt;Summary!$K$4+Summary!$K$5,AND(ISNUMBER($P151),$F151&gt;$P151)),1,0)))</f>
        <v/>
      </c>
      <c r="Y151" s="34">
        <f>IF(AND($V151=1,OR($B151="Risk",$B151="Issue"),LEN(TRIM($I151))=0),1,0)</f>
        <v/>
      </c>
      <c r="Z151" s="34">
        <f>IF(AND($T151=1,$J151="Closed",OR(NOT(ISNUMBER($K151)),LEN(TRIM($L151))=0)),1,0)</f>
        <v/>
      </c>
      <c r="AA151" s="34">
        <f>IF(AND($U151=1,$B151="Dependency"),IF(OR(LEN(TRIM($N151))=0,NOT(ISNUMBER($P151)),NOT(AND(ISNUMBER(SEARCH(" (",$O151)),RIGHT(TRIM($O151),1)=")"))),1,0),0)</f>
        <v/>
      </c>
      <c r="AB151" s="34">
        <f>IF(AND($V151=1,$B151="Dependency",ISNUMBER($P151)),IF($P151&lt;Summary!$K$4,1,0),0)</f>
        <v/>
      </c>
      <c r="AC151" s="34">
        <f>IF($T151=0,0,IF(OR($A151="",COUNTIF($A$4:$A$153,$A151)&gt;1,ISERROR(MATCH($B151,{"Risk","Assumption","Issue","Dependency"},0))),1,IF(INDEX({"R","A","I","X"},MATCH($B151,{"Risk","Assumption","Issue","Dependency"},0))&lt;&gt;LEFT($A151,1),1,0)))</f>
        <v/>
      </c>
      <c r="AD151" s="34">
        <f>IF($T151=0,0,IF(OR(ISERROR(MATCH($J151,{"Raised","Responding","Closed"},0)),ISERROR(MATCH($G151,{"Low","Medium","High"},0)),AND(OR($B151="Risk",$B151="Assumption"),ISERROR(MATCH($H151,{"Low","Medium","High"},0))),AND($Q151&lt;&gt;"",$Q151&lt;&gt;"This log",$Q151&lt;&gt;"Program workbook"),AND($J151&lt;&gt;"Closed",OR($K151&lt;&gt;"",LEN(TRIM($L151))&gt;0))),1,0))</f>
        <v/>
      </c>
      <c r="AE151" s="34">
        <f>IF($T151=0,0,IF(OR(NOT(ISNUMBER($E151)),AND($F151&lt;&gt;"",NOT(ISNUMBER($F151))),AND($K151&lt;&gt;"",NOT(ISNUMBER($K151))),AND($P151&lt;&gt;"",NOT(ISNUMBER($P151)))),1,0))</f>
        <v/>
      </c>
      <c r="AF151" s="34">
        <f>MAX($AC151,$AD151,$AE151)</f>
        <v/>
      </c>
      <c r="AG151" s="34">
        <f>IF($T151=0,0,IFERROR(--MID(TRIM($A151),2,9),0))</f>
        <v/>
      </c>
      <c r="AH151" s="22">
        <f>IFERROR(LEFT(TRIM($D151),SEARCH(" (",TRIM($D151))-1),TRIM($D151))</f>
        <v/>
      </c>
      <c r="AI151" s="34">
        <f>IF(AND($T151=1,$J151="Closed",$G151="High",ISNUMBER($K151)),IF($K151&gt;=Summary!$K$6,1,0),0)</f>
        <v/>
      </c>
      <c r="AJ151" s="34">
        <f>IF($AI151=1,SUM($AI$4:$AI151),0)</f>
        <v/>
      </c>
    </row>
    <row r="152" ht="18" customHeight="1">
      <c r="A152" s="30" t="n"/>
      <c r="B152" s="30" t="n"/>
      <c r="C152" s="31" t="n"/>
      <c r="D152" s="31" t="n"/>
      <c r="E152" s="32" t="n"/>
      <c r="F152" s="32" t="n"/>
      <c r="G152" s="30" t="n"/>
      <c r="H152" s="30" t="n"/>
      <c r="I152" s="31" t="n"/>
      <c r="J152" s="30" t="n"/>
      <c r="K152" s="32" t="n"/>
      <c r="L152" s="31" t="n"/>
      <c r="M152" s="30" t="n"/>
      <c r="N152" s="31" t="n"/>
      <c r="O152" s="31" t="n"/>
      <c r="P152" s="32" t="n"/>
      <c r="Q152" s="30" t="n"/>
      <c r="R152" s="33">
        <f>IF($T152=0,"",IF($AF152=1,"△ The log can't read this line",IF($W152=1,"△ Needs one owner, written as Name (Role)",IF($X152=1,"△ Look-again date missing, passed or too far ahead",IF($Y152=1,"△ No response",IF($Z152=1,"△ Closed without a date or a reason",IF($AA152=1,"△ Needs Provided by and Needed by, and Who answers as Name (Role)",IF($AB152=1,"△ Past its Needed by date","○ Clear"))))))))</f>
        <v/>
      </c>
      <c r="T152" s="34">
        <f>IF(COUNTA($A152:$Q152)&gt;0,1,0)</f>
        <v/>
      </c>
      <c r="U152" s="34">
        <f>IF(AND($T152=1,$J152&lt;&gt;"Closed"),1,0)</f>
        <v/>
      </c>
      <c r="V152" s="34">
        <f>IF(AND($U152=1,$Q152&lt;&gt;"Program workbook"),1,0)</f>
        <v/>
      </c>
      <c r="W152" s="34">
        <f>IF($V152=0,0,IF(OR(ISERROR(SEARCH(" (",$D152)),RIGHT(TRIM($D152),1)&lt;&gt;")",ISNUMBER(SEARCH(",",$AH152)),ISNUMBER(SEARCH("/",$AH152)),ISNUMBER(SEARCH(" and ",$AH152)),ISNUMBER(SEARCH("&amp;",$AH152))),1,0))</f>
        <v/>
      </c>
      <c r="X152" s="34">
        <f>IF($V152=0,0,IF(NOT(ISNUMBER($F152)),1,IF(OR($F152&lt;Summary!$K$4,$F152&gt;Summary!$K$4+Summary!$K$5,AND(ISNUMBER($P152),$F152&gt;$P152)),1,0)))</f>
        <v/>
      </c>
      <c r="Y152" s="34">
        <f>IF(AND($V152=1,OR($B152="Risk",$B152="Issue"),LEN(TRIM($I152))=0),1,0)</f>
        <v/>
      </c>
      <c r="Z152" s="34">
        <f>IF(AND($T152=1,$J152="Closed",OR(NOT(ISNUMBER($K152)),LEN(TRIM($L152))=0)),1,0)</f>
        <v/>
      </c>
      <c r="AA152" s="34">
        <f>IF(AND($U152=1,$B152="Dependency"),IF(OR(LEN(TRIM($N152))=0,NOT(ISNUMBER($P152)),NOT(AND(ISNUMBER(SEARCH(" (",$O152)),RIGHT(TRIM($O152),1)=")"))),1,0),0)</f>
        <v/>
      </c>
      <c r="AB152" s="34">
        <f>IF(AND($V152=1,$B152="Dependency",ISNUMBER($P152)),IF($P152&lt;Summary!$K$4,1,0),0)</f>
        <v/>
      </c>
      <c r="AC152" s="34">
        <f>IF($T152=0,0,IF(OR($A152="",COUNTIF($A$4:$A$153,$A152)&gt;1,ISERROR(MATCH($B152,{"Risk","Assumption","Issue","Dependency"},0))),1,IF(INDEX({"R","A","I","X"},MATCH($B152,{"Risk","Assumption","Issue","Dependency"},0))&lt;&gt;LEFT($A152,1),1,0)))</f>
        <v/>
      </c>
      <c r="AD152" s="34">
        <f>IF($T152=0,0,IF(OR(ISERROR(MATCH($J152,{"Raised","Responding","Closed"},0)),ISERROR(MATCH($G152,{"Low","Medium","High"},0)),AND(OR($B152="Risk",$B152="Assumption"),ISERROR(MATCH($H152,{"Low","Medium","High"},0))),AND($Q152&lt;&gt;"",$Q152&lt;&gt;"This log",$Q152&lt;&gt;"Program workbook"),AND($J152&lt;&gt;"Closed",OR($K152&lt;&gt;"",LEN(TRIM($L152))&gt;0))),1,0))</f>
        <v/>
      </c>
      <c r="AE152" s="34">
        <f>IF($T152=0,0,IF(OR(NOT(ISNUMBER($E152)),AND($F152&lt;&gt;"",NOT(ISNUMBER($F152))),AND($K152&lt;&gt;"",NOT(ISNUMBER($K152))),AND($P152&lt;&gt;"",NOT(ISNUMBER($P152)))),1,0))</f>
        <v/>
      </c>
      <c r="AF152" s="34">
        <f>MAX($AC152,$AD152,$AE152)</f>
        <v/>
      </c>
      <c r="AG152" s="34">
        <f>IF($T152=0,0,IFERROR(--MID(TRIM($A152),2,9),0))</f>
        <v/>
      </c>
      <c r="AH152" s="22">
        <f>IFERROR(LEFT(TRIM($D152),SEARCH(" (",TRIM($D152))-1),TRIM($D152))</f>
        <v/>
      </c>
      <c r="AI152" s="34">
        <f>IF(AND($T152=1,$J152="Closed",$G152="High",ISNUMBER($K152)),IF($K152&gt;=Summary!$K$6,1,0),0)</f>
        <v/>
      </c>
      <c r="AJ152" s="34">
        <f>IF($AI152=1,SUM($AI$4:$AI152),0)</f>
        <v/>
      </c>
    </row>
    <row r="153" ht="18" customHeight="1">
      <c r="A153" s="30" t="n"/>
      <c r="B153" s="30" t="n"/>
      <c r="C153" s="31" t="n"/>
      <c r="D153" s="31" t="n"/>
      <c r="E153" s="32" t="n"/>
      <c r="F153" s="32" t="n"/>
      <c r="G153" s="30" t="n"/>
      <c r="H153" s="30" t="n"/>
      <c r="I153" s="31" t="n"/>
      <c r="J153" s="30" t="n"/>
      <c r="K153" s="32" t="n"/>
      <c r="L153" s="31" t="n"/>
      <c r="M153" s="30" t="n"/>
      <c r="N153" s="31" t="n"/>
      <c r="O153" s="31" t="n"/>
      <c r="P153" s="32" t="n"/>
      <c r="Q153" s="30" t="n"/>
      <c r="R153" s="33">
        <f>IF($T153=0,"",IF($AF153=1,"△ The log can't read this line",IF($W153=1,"△ Needs one owner, written as Name (Role)",IF($X153=1,"△ Look-again date missing, passed or too far ahead",IF($Y153=1,"△ No response",IF($Z153=1,"△ Closed without a date or a reason",IF($AA153=1,"△ Needs Provided by and Needed by, and Who answers as Name (Role)",IF($AB153=1,"△ Past its Needed by date","○ Clear"))))))))</f>
        <v/>
      </c>
      <c r="T153" s="34">
        <f>IF(COUNTA($A153:$Q153)&gt;0,1,0)</f>
        <v/>
      </c>
      <c r="U153" s="34">
        <f>IF(AND($T153=1,$J153&lt;&gt;"Closed"),1,0)</f>
        <v/>
      </c>
      <c r="V153" s="34">
        <f>IF(AND($U153=1,$Q153&lt;&gt;"Program workbook"),1,0)</f>
        <v/>
      </c>
      <c r="W153" s="34">
        <f>IF($V153=0,0,IF(OR(ISERROR(SEARCH(" (",$D153)),RIGHT(TRIM($D153),1)&lt;&gt;")",ISNUMBER(SEARCH(",",$AH153)),ISNUMBER(SEARCH("/",$AH153)),ISNUMBER(SEARCH(" and ",$AH153)),ISNUMBER(SEARCH("&amp;",$AH153))),1,0))</f>
        <v/>
      </c>
      <c r="X153" s="34">
        <f>IF($V153=0,0,IF(NOT(ISNUMBER($F153)),1,IF(OR($F153&lt;Summary!$K$4,$F153&gt;Summary!$K$4+Summary!$K$5,AND(ISNUMBER($P153),$F153&gt;$P153)),1,0)))</f>
        <v/>
      </c>
      <c r="Y153" s="34">
        <f>IF(AND($V153=1,OR($B153="Risk",$B153="Issue"),LEN(TRIM($I153))=0),1,0)</f>
        <v/>
      </c>
      <c r="Z153" s="34">
        <f>IF(AND($T153=1,$J153="Closed",OR(NOT(ISNUMBER($K153)),LEN(TRIM($L153))=0)),1,0)</f>
        <v/>
      </c>
      <c r="AA153" s="34">
        <f>IF(AND($U153=1,$B153="Dependency"),IF(OR(LEN(TRIM($N153))=0,NOT(ISNUMBER($P153)),NOT(AND(ISNUMBER(SEARCH(" (",$O153)),RIGHT(TRIM($O153),1)=")"))),1,0),0)</f>
        <v/>
      </c>
      <c r="AB153" s="34">
        <f>IF(AND($V153=1,$B153="Dependency",ISNUMBER($P153)),IF($P153&lt;Summary!$K$4,1,0),0)</f>
        <v/>
      </c>
      <c r="AC153" s="34">
        <f>IF($T153=0,0,IF(OR($A153="",COUNTIF($A$4:$A$153,$A153)&gt;1,ISERROR(MATCH($B153,{"Risk","Assumption","Issue","Dependency"},0))),1,IF(INDEX({"R","A","I","X"},MATCH($B153,{"Risk","Assumption","Issue","Dependency"},0))&lt;&gt;LEFT($A153,1),1,0)))</f>
        <v/>
      </c>
      <c r="AD153" s="34">
        <f>IF($T153=0,0,IF(OR(ISERROR(MATCH($J153,{"Raised","Responding","Closed"},0)),ISERROR(MATCH($G153,{"Low","Medium","High"},0)),AND(OR($B153="Risk",$B153="Assumption"),ISERROR(MATCH($H153,{"Low","Medium","High"},0))),AND($Q153&lt;&gt;"",$Q153&lt;&gt;"This log",$Q153&lt;&gt;"Program workbook"),AND($J153&lt;&gt;"Closed",OR($K153&lt;&gt;"",LEN(TRIM($L153))&gt;0))),1,0))</f>
        <v/>
      </c>
      <c r="AE153" s="34">
        <f>IF($T153=0,0,IF(OR(NOT(ISNUMBER($E153)),AND($F153&lt;&gt;"",NOT(ISNUMBER($F153))),AND($K153&lt;&gt;"",NOT(ISNUMBER($K153))),AND($P153&lt;&gt;"",NOT(ISNUMBER($P153)))),1,0))</f>
        <v/>
      </c>
      <c r="AF153" s="34">
        <f>MAX($AC153,$AD153,$AE153)</f>
        <v/>
      </c>
      <c r="AG153" s="34">
        <f>IF($T153=0,0,IFERROR(--MID(TRIM($A153),2,9),0))</f>
        <v/>
      </c>
      <c r="AH153" s="22">
        <f>IFERROR(LEFT(TRIM($D153),SEARCH(" (",TRIM($D153))-1),TRIM($D153))</f>
        <v/>
      </c>
      <c r="AI153" s="34">
        <f>IF(AND($T153=1,$J153="Closed",$G153="High",ISNUMBER($K153)),IF($K153&gt;=Summary!$K$6,1,0),0)</f>
        <v/>
      </c>
      <c r="AJ153" s="34">
        <f>IF($AI153=1,SUM($AI$4:$AI153),0)</f>
        <v/>
      </c>
    </row>
  </sheetData>
  <sheetProtection selectLockedCells="0" selectUnlockedCells="0" sheet="1" objects="0" insertRows="1" insertHyperlinks="1" autoFilter="0" scenarios="0" formatColumns="0" deleteColumns="1" insertColumns="1" pivotTables="1" deleteRows="1" formatCells="0" formatRows="0" sort="0"/>
  <autoFilter ref="A3:R153"/>
  <conditionalFormatting sqref="H4:H153">
    <cfRule type="expression" priority="1" dxfId="1" stopIfTrue="0">
      <formula>OR($B4="Issue",$B4="Dependency")</formula>
    </cfRule>
  </conditionalFormatting>
  <conditionalFormatting sqref="N4:P153">
    <cfRule type="expression" priority="2" dxfId="1" stopIfTrue="0">
      <formula>AND($B4&lt;&gt;"",$B4&lt;&gt;"Dependency")</formula>
    </cfRule>
  </conditionalFormatting>
  <conditionalFormatting sqref="R4:R153">
    <cfRule type="expression" priority="3" dxfId="2" stopIfTrue="0">
      <formula>LEFT($R4,1)="△"</formula>
    </cfRule>
  </conditionalFormatting>
  <dataValidations count="18">
    <dataValidation sqref="A4:A153" showDropDown="0" showInputMessage="1" showErrorMessage="1" allowBlank="1" errorTitle="Check this entry" error="Another line already has this Id. Use Next Id on Summary for this Kind." promptTitle="Id" prompt="R, A, I or X for the Kind, then the next number, such as R6. Next Id on Summary gives it. Never reuse an Id: the Decision log cites lines by it." type="custom" errorStyle="stop">
      <formula1>COUNTIF($A$4:$A$153,A4)=1</formula1>
    </dataValidation>
    <dataValidation sqref="B4:B153" showDropDown="0" showInputMessage="1" showErrorMessage="1" allowBlank="1" errorTitle="Check this entry" error="Pick Risk, Assumption, Issue or Dependency." promptTitle="Kind" prompt="Risk: might happen. Assumption: counted on, not confirmed. Issue: has happened. Dependency: needed from someone outside the team, by a date." type="list" errorStyle="stop">
      <formula1>"Risk,Assumption,Issue,Dependency"</formula1>
    </dataValidation>
    <dataValidation sqref="C4:C153" showDropDown="0" showInputMessage="1" showErrorMessage="0" allowBlank="1" promptTitle="What" prompt="One sentence. For a dependency, what is needed, worded exactly as the program workbook's Needs column has it." errorStyle="stop"/>
    <dataValidation sqref="D4:D153" showDropDown="0" showInputMessage="1" showErrorMessage="0" allowBlank="1" promptTitle="Owner" prompt="One person who answers for this line, written like Imani (Security Lead). A team, or two names, fails a check." errorStyle="stop"/>
    <dataValidation sqref="I4:I153" showDropDown="0" showInputMessage="1" showErrorMessage="0" allowBlank="1" promptTitle="Response" prompt="What is being done about it, in one to three lines. A risk or an issue needs one from the day it's raised." errorStyle="stop"/>
    <dataValidation sqref="L4:L153" showDropDown="0" showInputMessage="1" showErrorMessage="0" allowBlank="1" promptTitle="Why closed" prompt="What shows it's over, not just &quot;done&quot;. If a risk happened, write &quot;Happened, see I3&quot; with the issue's Id, and raise the issue." errorStyle="stop"/>
    <dataValidation sqref="N4:N153" showDropDown="0" showInputMessage="1" showErrorMessage="0" allowBlank="1" promptTitle="Provided by" prompt="Dependencies only. Who provides it: a project as the Register names it, a team or a supplier." errorStyle="stop"/>
    <dataValidation sqref="O4:O153" showDropDown="0" showInputMessage="1" showErrorMessage="0" allowBlank="1" promptTitle="Who answers" prompt="One person at the provider, written like &quot;Rhys (Finance Operations Lead)&quot;." errorStyle="stop"/>
    <dataValidation sqref="R4:R153" showDropDown="0" showInputMessage="1" showErrorMessage="0" allowBlank="1" promptTitle="Row check" prompt="Worked out: the first thing wrong on this line. Filter on △ to list them." errorStyle="stop"/>
    <dataValidation sqref="E4:E153" showDropDown="0" showInputMessage="1" showErrorMessage="1" allowBlank="1" errorTitle="Check this entry" error="Type a date, such as 30 Jun 2027." promptTitle="Raised on" prompt="The day the line was first written down." type="date" errorStyle="stop" operator="between">
      <formula1>36526</formula1>
      <formula2>73415</formula2>
    </dataValidation>
    <dataValidation sqref="F4:F153" showDropDown="0" showInputMessage="1" showErrorMessage="1" allowBlank="1" errorTitle="Check this entry" error="Type a date, such as 30 Jun 2027." promptTitle="Look again on" prompt="The next day someone reads this line: a weekday, no more than 60 days after As of on Summary (Look again within changes the 60). On a dependency, no later than Needed by." type="date" errorStyle="stop" operator="between">
      <formula1>36526</formula1>
      <formula2>73415</formula2>
    </dataValidation>
    <dataValidation sqref="K4:K153" showDropDown="0" showInputMessage="1" showErrorMessage="1" allowBlank="1" errorTitle="Check this entry" error="Type a date, such as 30 Jun 2027." promptTitle="Closed on" prompt="The day the line was closed. Leave it blank while the line is open." type="date" errorStyle="stop" operator="between">
      <formula1>36526</formula1>
      <formula2>73415</formula2>
    </dataValidation>
    <dataValidation sqref="P4:P153" showDropDown="0" showInputMessage="1" showErrorMessage="1" allowBlank="1" errorTitle="Check this entry" error="Type a date, such as 30 Jun 2027." promptTitle="Needed by" prompt="Dependencies only. The date the project needs it by." type="date" errorStyle="stop" operator="between">
      <formula1>36526</formula1>
      <formula2>73415</formula2>
    </dataValidation>
    <dataValidation sqref="G4:G153" showDropDown="0" showInputMessage="1" showErrorMessage="1" allowBlank="1" errorTitle="Check this entry" error="Pick Low, Medium or High." promptTitle="Impact" prompt="How much it hurts if it happens, turns out wrong or comes late: Low, Medium or High. On an issue, how much it hurts now." type="list" errorStyle="stop">
      <formula1>"Low,Medium,High"</formula1>
    </dataValidation>
    <dataValidation sqref="H4:H153" showDropDown="0" showInputMessage="1" showErrorMessage="1" allowBlank="1" errorTitle="Check this entry" error="Pick Low, Medium or High." promptTitle="Likelihood" prompt="Risks and assumptions only: how likely it is to happen, or to be wrong. Leave it blank on an issue or a dependency." type="list" errorStyle="stop">
      <formula1>"Low,Medium,High"</formula1>
    </dataValidation>
    <dataValidation sqref="J4:J153" showDropDown="0" showInputMessage="1" showErrorMessage="1" allowBlank="1" errorTitle="Check this entry" error="Pick Raised, Responding or Closed." promptTitle="Status" prompt="Raised: written down, nobody acting on it yet. Responding: someone is. Closed: over, with Closed on and Why closed filled in." type="list" errorStyle="stop">
      <formula1>"Raised,Responding,Closed"</formula1>
    </dataValidation>
    <dataValidation sqref="M4:M153" showDropDown="0" showInputMessage="1" showErrorMessage="1" allowBlank="1" errorTitle="Check this entry" error="Type Yes to send the line to the program, or leave it blank." promptTitle="With the program" prompt="Yes when you send this line to the program to watch. It stays this project's line, with its owner. Clear it to take it back." type="list" errorStyle="warning">
      <formula1>"Yes"</formula1>
    </dataValidation>
    <dataValidation sqref="Q4:Q153" showDropDown="0" showInputMessage="1" showErrorMessage="1" allowBlank="1" errorTitle="Check this entry" error="Pick This log or Program workbook, or leave it blank for This log." promptTitle="Kept in" prompt="Blank means This log. Pick Program workbook when the line is kept on the program workbook's Dependencies tab and this line only points to it." type="list" errorStyle="warning">
      <formula1>"This log,Program workbook"</formula1>
    </dataValidation>
  </dataValidations>
  <pageMargins left="0.75" right="0.75" top="1" bottom="1"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2026-10-24T08:49:02Z</dcterms:created>
  <dcterms:modified xmlns:dcterms="http://purl.org/dc/terms/" xmlns:xsi="http://www.w3.org/2001/XMLSchema-instance" xsi:type="dcterms:W3CDTF">2026-10-24T08:49:04Z</dcterms:modified>
</cp:coreProperties>
</file>