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2.xml" ContentType="application/vnd.openxmlformats-officedocument.spreadsheetml.worksheet+xml"/>
  <Override PartName="/xl/drawings/drawing2.xml" ContentType="application/vnd.openxmlformats-officedocument.drawing+xml"/>
  <Override PartName="/xl/comments/comment2.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3.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Summary" sheetId="2" state="visible" r:id="rId2"/>
    <sheet xmlns:r="http://schemas.openxmlformats.org/officeDocument/2006/relationships" name="Criteria" sheetId="3" state="visible" r:id="rId3"/>
    <sheet xmlns:r="http://schemas.openxmlformats.org/officeDocument/2006/relationships" name="Runs" sheetId="4" state="visible" r:id="rId4"/>
  </sheets>
  <definedNames>
    <definedName name="_xlnm.Print_Area" localSheetId="0">'Read me'!$A$1:$B$90</definedName>
    <definedName name="_xlnm.Print_Area" localSheetId="1">'Summary'!$A$1:$H$34</definedName>
    <definedName name="_xlnm._FilterDatabase" localSheetId="2" hidden="1">'Criteria'!$A$5:$K$105</definedName>
    <definedName name="_xlnm.Print_Titles" localSheetId="2">'Criteria'!$1:$5,'Criteria'!$A:$B</definedName>
    <definedName name="_xlnm.Print_Area" localSheetId="2">'Criteria'!$A$1:$K$105</definedName>
    <definedName name="_xlnm._FilterDatabase" localSheetId="3" hidden="1">'Runs'!$A$5:$L$105</definedName>
    <definedName name="_xlnm.Print_Titles" localSheetId="3">'Runs'!$1:$5,'Runs'!$A:$B</definedName>
    <definedName name="_xlnm.Print_Area" localSheetId="3">'Runs'!$A$1:$J$105,'Runs'!$K$1:$L$105</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7">
    <font>
      <name val="Calibri"/>
      <family val="2"/>
      <color theme="1"/>
      <sz val="11"/>
      <scheme val="minor"/>
    </font>
    <font>
      <name val="Arial"/>
      <sz val="10"/>
    </font>
    <font>
      <name val="Arial"/>
      <b val="1"/>
      <color rgb="000F1115"/>
      <sz val="14"/>
    </font>
    <font>
      <name val="Arial"/>
      <color rgb="000F1115"/>
      <sz val="10"/>
    </font>
    <font>
      <name val="Arial"/>
      <b val="1"/>
      <color rgb="000F1115"/>
      <sz val="10"/>
    </font>
    <font>
      <name val="Arial"/>
      <color rgb="005F6670"/>
      <sz val="10"/>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7">
    <border>
      <left/>
      <right/>
      <top/>
      <bottom/>
      <diagonal/>
    </border>
    <border>
      <left style="thin">
        <color rgb="00E3E5E8"/>
      </left>
      <right style="thin">
        <color rgb="00E3E5E8"/>
      </right>
      <top style="thin">
        <color rgb="00E3E5E8"/>
      </top>
      <bottom style="thin">
        <color rgb="00E3E5E8"/>
      </bottom>
    </border>
    <border>
      <left/>
      <right/>
      <top style="thin">
        <color rgb="00E3E5E8"/>
      </top>
      <bottom/>
      <diagonal/>
    </border>
    <border>
      <left/>
      <right style="thin">
        <color rgb="00E3E5E8"/>
      </right>
      <top style="thin">
        <color rgb="00E3E5E8"/>
      </top>
      <bottom/>
      <diagonal/>
    </border>
    <border>
      <left/>
      <right/>
      <top style="thin">
        <color rgb="00E3E5E8"/>
      </top>
      <bottom style="thin">
        <color rgb="00E3E5E8"/>
      </bottom>
      <diagonal/>
    </border>
    <border>
      <left/>
      <right style="thin">
        <color rgb="00E3E5E8"/>
      </right>
      <top style="thin">
        <color rgb="00E3E5E8"/>
      </top>
      <bottom style="thin">
        <color rgb="00E3E5E8"/>
      </bottom>
      <diagonal/>
    </border>
    <border>
      <bottom style="medium">
        <color rgb="000F1115"/>
      </bottom>
    </border>
  </borders>
  <cellStyleXfs count="1">
    <xf numFmtId="0" fontId="1" fillId="0" borderId="0"/>
  </cellStyleXfs>
  <cellXfs count="33">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vertical="center"/>
    </xf>
    <xf numFmtId="0" fontId="4" fillId="2" borderId="0" applyAlignment="1" pivotButton="0" quotePrefix="0" xfId="0">
      <alignment vertical="center"/>
    </xf>
    <xf numFmtId="0" fontId="4" fillId="2" borderId="0" pivotButton="0" quotePrefix="0" xfId="0"/>
    <xf numFmtId="0" fontId="3" fillId="0" borderId="0" applyAlignment="1" pivotButton="0" quotePrefix="0" xfId="0">
      <alignment vertical="center" wrapText="1"/>
    </xf>
    <xf numFmtId="0" fontId="4" fillId="0" borderId="0" applyAlignment="1" pivotButton="0" quotePrefix="0" xfId="0">
      <alignment vertical="top" wrapText="1"/>
    </xf>
    <xf numFmtId="0" fontId="5" fillId="0" borderId="0" applyAlignment="1" pivotButton="0" quotePrefix="0" xfId="0">
      <alignment horizontal="left" vertical="top" wrapText="1"/>
    </xf>
    <xf numFmtId="0" fontId="3" fillId="0" borderId="0" applyAlignment="1" pivotButton="0" quotePrefix="0" xfId="0">
      <alignment vertical="top" wrapText="1"/>
    </xf>
    <xf numFmtId="0" fontId="4" fillId="0" borderId="0" applyAlignment="1" pivotButton="0" quotePrefix="0" xfId="0">
      <alignment horizontal="left" vertical="top" wrapText="1"/>
    </xf>
    <xf numFmtId="0" fontId="5" fillId="0" borderId="0" pivotButton="0" quotePrefix="0" xfId="0"/>
    <xf numFmtId="1" fontId="3" fillId="4" borderId="1" applyAlignment="1" pivotButton="0" quotePrefix="0" xfId="0">
      <alignment horizontal="right" vertical="center"/>
    </xf>
    <xf numFmtId="0" fontId="4" fillId="0" borderId="0" applyAlignment="1" pivotButton="0" quotePrefix="0" xfId="0">
      <alignment vertical="center"/>
    </xf>
    <xf numFmtId="0" fontId="4" fillId="2" borderId="0" applyAlignment="1" pivotButton="0" quotePrefix="0" xfId="0">
      <alignment vertical="center"/>
    </xf>
    <xf numFmtId="0" fontId="5" fillId="0" borderId="0" applyAlignment="1" pivotButton="0" quotePrefix="0" xfId="0">
      <alignment vertical="center" wrapText="1"/>
    </xf>
    <xf numFmtId="0" fontId="3" fillId="3" borderId="1" applyAlignment="1" applyProtection="1" pivotButton="0" quotePrefix="0" xfId="0">
      <alignment horizontal="left" vertical="center"/>
      <protection locked="0" hidden="0"/>
    </xf>
    <xf numFmtId="0" fontId="3" fillId="3" borderId="1" applyAlignment="1" applyProtection="1" pivotButton="0" quotePrefix="0" xfId="0">
      <alignment vertical="center"/>
      <protection locked="0" hidden="0"/>
    </xf>
    <xf numFmtId="165" fontId="3" fillId="3" borderId="1" applyAlignment="1" applyProtection="1" pivotButton="0" quotePrefix="0" xfId="0">
      <alignment horizontal="left" vertical="center"/>
      <protection locked="0" hidden="0"/>
    </xf>
    <xf numFmtId="165" fontId="3" fillId="4" borderId="1" applyAlignment="1" pivotButton="0" quotePrefix="0" xfId="0">
      <alignment horizontal="left" vertical="center"/>
    </xf>
    <xf numFmtId="0" fontId="3" fillId="4" borderId="1" applyAlignment="1" pivotButton="0" quotePrefix="0" xfId="0">
      <alignment vertical="top" wrapText="1"/>
    </xf>
    <xf numFmtId="0" fontId="0" fillId="0" borderId="4" pivotButton="0" quotePrefix="0" xfId="0"/>
    <xf numFmtId="0" fontId="0" fillId="0" borderId="5" pivotButton="0" quotePrefix="0" xfId="0"/>
    <xf numFmtId="0" fontId="3" fillId="4" borderId="1" applyAlignment="1" pivotButton="0" quotePrefix="0" xfId="0">
      <alignment vertical="center"/>
    </xf>
    <xf numFmtId="0" fontId="3" fillId="4" borderId="1" applyAlignment="1" pivotButton="0" quotePrefix="0" xfId="0">
      <alignment horizontal="center" vertical="center"/>
    </xf>
    <xf numFmtId="0" fontId="4" fillId="4" borderId="1" applyAlignment="1" pivotButton="0" quotePrefix="0" xfId="0">
      <alignment vertical="center"/>
    </xf>
    <xf numFmtId="0" fontId="4" fillId="3" borderId="6" applyAlignment="1" pivotButton="0" quotePrefix="0" xfId="0">
      <alignment vertical="center" wrapText="1"/>
    </xf>
    <xf numFmtId="0" fontId="6" fillId="4" borderId="6" applyAlignment="1" pivotButton="0" quotePrefix="0" xfId="0">
      <alignment vertical="center" wrapText="1"/>
    </xf>
    <xf numFmtId="0" fontId="3" fillId="3" borderId="1" applyAlignment="1" applyProtection="1" pivotButton="0" quotePrefix="0" xfId="0">
      <alignment vertical="top"/>
      <protection locked="0" hidden="0"/>
    </xf>
    <xf numFmtId="0" fontId="3" fillId="3" borderId="1" applyAlignment="1" applyProtection="1" pivotButton="0" quotePrefix="0" xfId="0">
      <alignment vertical="top" wrapText="1"/>
      <protection locked="0" hidden="0"/>
    </xf>
    <xf numFmtId="165" fontId="3" fillId="3" borderId="1" applyAlignment="1" applyProtection="1" pivotButton="0" quotePrefix="0" xfId="0">
      <alignment horizontal="left" vertical="top"/>
      <protection locked="0" hidden="0"/>
    </xf>
    <xf numFmtId="0" fontId="3" fillId="4" borderId="1" applyAlignment="1" pivotButton="0" quotePrefix="0" xfId="0">
      <alignment horizontal="center" vertical="top"/>
    </xf>
    <xf numFmtId="0" fontId="3" fillId="4" borderId="1" applyAlignment="1" pivotButton="0" quotePrefix="0" xfId="0">
      <alignment vertical="top"/>
    </xf>
    <xf numFmtId="1" fontId="3" fillId="4" borderId="1" applyAlignment="1" pivotButton="0" quotePrefix="0" xfId="0">
      <alignment vertical="center"/>
    </xf>
  </cellXfs>
  <cellStyles count="1">
    <cellStyle name="Normal" xfId="0" builtinId="0" hidden="0"/>
  </cellStyles>
  <dxfs count="2">
    <dxf>
      <font>
        <color rgb="00CD2B31"/>
      </font>
    </dxf>
    <dxf>
      <font>
        <color rgb="00CD2B31"/>
      </font>
      <fill>
        <patternFill patternType="solid">
          <fgColor rgb="00F8D7D7"/>
          <bgColor rgb="00F8D7D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FRQZ</author>
  </authors>
  <commentList>
    <comment ref="A1" authorId="0" shapeId="0">
      <text>
        <t>To use your own logo, delete this one and insert yours here.</t>
      </text>
    </comment>
  </commentList>
</comments>
</file>

<file path=xl/comments/comment2.xml><?xml version="1.0" encoding="utf-8"?>
<comments xmlns="http://schemas.openxmlformats.org/spreadsheetml/2006/main">
  <authors>
    <author>FRQZ</author>
  </authors>
  <commentList>
    <comment ref="H1" authorId="0" shapeId="0">
      <text>
        <t>To use your own logo, delete this one and insert yours here.</t>
      </text>
    </comment>
  </commentList>
</comments>
</file>

<file path=xl/comments/comment3.xml><?xml version="1.0" encoding="utf-8"?>
<comments xmlns="http://schemas.openxmlformats.org/spreadsheetml/2006/main">
  <authors>
    <author>FRQZ</author>
  </authors>
  <commentList>
    <comment ref="K1" authorId="0" shapeId="0">
      <text>
        <t>To use your own logo, delete this one and insert yours here.</t>
      </text>
    </comment>
  </commentList>
</comments>
</file>

<file path=xl/comments/comment4.xml><?xml version="1.0" encoding="utf-8"?>
<comments xmlns="http://schemas.openxmlformats.org/spreadsheetml/2006/main">
  <authors>
    <author>FRQZ</author>
  </authors>
  <commentList>
    <comment ref="J1" authorId="0" shapeId="0">
      <text>
        <t>To use your own logo, delete this one and insert yours here.</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drawing1.xml><?xml version="1.0" encoding="utf-8"?>
<wsDr xmlns="http://schemas.openxmlformats.org/drawingml/2006/spreadsheetDrawing">
  <oneCellAnchor>
    <from>
      <col>0</col>
      <colOff>0</colOff>
      <row>0</row>
      <rowOff>0</rowOff>
    </from>
    <ext cx="1104900" cy="2762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7</col>
      <colOff>0</colOff>
      <row>0</row>
      <rowOff>0</rowOff>
    </from>
    <ext cx="1104900" cy="2762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10</col>
      <colOff>0</colOff>
      <row>0</row>
      <rowOff>0</rowOff>
    </from>
    <ext cx="1104900" cy="2762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9</col>
      <colOff>0</colOff>
      <row>0</row>
      <rowOff>0</rowOff>
    </from>
    <ext cx="1104900" cy="2762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outlinePr summaryBelow="1" summaryRight="1"/>
    <pageSetUpPr fitToPage="0"/>
  </sheetPr>
  <dimension ref="A1:B88"/>
  <sheetViews>
    <sheetView showGridLines="0" tabSelected="0" workbookViewId="0">
      <selection activeCell="A1" sqref="A1"/>
    </sheetView>
  </sheetViews>
  <sheetFormatPr baseColWidth="8" defaultRowHeight="15"/>
  <cols>
    <col width="22" customWidth="1" min="1" max="1"/>
    <col width="110" customWidth="1" min="2" max="2"/>
  </cols>
  <sheetData>
    <row r="1" ht="36" customHeight="1">
      <c r="A1" t="n"/>
      <c r="B1" s="1" t="inlineStr">
        <is>
          <t>Test evidence workbook (Example)</t>
        </is>
      </c>
    </row>
    <row r="2" ht="18" customHeight="1">
      <c r="A2" s="2">
        <f>Summary!$A$2</f>
        <v/>
      </c>
    </row>
    <row r="3" ht="18" customHeight="1">
      <c r="A3" s="3" t="inlineStr">
        <is>
          <t>Example. Hollins Software and everyone in it are made up. Billing Engine Rewrite, as of 22 Oct 2026. Clear the white cells to start your own.</t>
        </is>
      </c>
      <c r="B3" s="4" t="n"/>
    </row>
    <row r="4" ht="28" customHeight="1">
      <c r="B4" s="5" t="inlineStr">
        <is>
          <t>Test evidence for one project: each run of a test against an acceptance criterion, with its date, who ran it, who checked it, the result and the file it's kept in. Four tabs: Read me, Summary, Criteria and Runs.</t>
        </is>
      </c>
    </row>
    <row r="5" ht="6" customHeight="1"/>
    <row r="6">
      <c r="A6" s="6" t="inlineStr">
        <is>
          <t>Where to start</t>
        </is>
      </c>
    </row>
    <row r="7" ht="31" customHeight="1">
      <c r="A7" s="7" t="n"/>
      <c r="B7" s="8" t="inlineStr">
        <is>
          <t>Start on Summary with the project's details from the Register and the builders from acceptance and sign-off. Then copy the criteria onto Criteria, and plan a run for each one on Runs.</t>
        </is>
      </c>
    </row>
    <row r="9">
      <c r="A9" s="6" t="inlineStr">
        <is>
          <t>Filling it in</t>
        </is>
      </c>
    </row>
    <row r="10" ht="31" customHeight="1">
      <c r="A10" s="7" t="n">
        <v>1</v>
      </c>
      <c r="B10" s="8" t="inlineStr">
        <is>
          <t>On Summary, copy Name, Sits under and Owner from the Register, and the Version of acceptance and sign-off into Criteria version. Copy its builders under Who builds it.</t>
        </is>
      </c>
    </row>
    <row r="11" ht="18" customHeight="1">
      <c r="A11" s="7" t="n">
        <v>2</v>
      </c>
      <c r="B11" s="8" t="inlineStr">
        <is>
          <t>Under Gate map dates, type each gate's Date from the gate map. It's optional.</t>
        </is>
      </c>
    </row>
    <row r="12" ht="31" customHeight="1">
      <c r="A12" s="7" t="n">
        <v>3</v>
      </c>
      <c r="B12" s="8" t="inlineStr">
        <is>
          <t>On Criteria, copy five columns from acceptance and sign-off: ID, Criterion, Pass line, Owner (says it's met) and Status. Gate and Needed by are optional.</t>
        </is>
      </c>
    </row>
    <row r="13" ht="31" customHeight="1">
      <c r="A13" s="7" t="n">
        <v>4</v>
      </c>
      <c r="B13" s="8" t="inlineStr">
        <is>
          <t>On Runs, plan a run for each criterion before its gate: its number, the criterion's ID, the day, what it's tested on, who runs it, who checks it, and the Pass line copied into Pass line used.</t>
        </is>
      </c>
    </row>
    <row r="14" ht="31" customHeight="1">
      <c r="A14" s="7" t="n">
        <v>5</v>
      </c>
      <c r="B14" s="8" t="inlineStr">
        <is>
          <t>On the day, the checker sets the Outcome. Type the Result and the File. For Failed or Not run, say why in Reason.</t>
        </is>
      </c>
    </row>
    <row r="15" ht="18" customHeight="1">
      <c r="A15" s="7" t="n">
        <v>6</v>
      </c>
      <c r="B15" s="8" t="inlineStr">
        <is>
          <t>In the week before each gate, read the seven checks on Summary and fix every row whose Row check shows △.</t>
        </is>
      </c>
    </row>
    <row r="16" ht="31" customHeight="1">
      <c r="A16" s="7" t="n">
        <v>7</v>
      </c>
      <c r="B16" s="8" t="inlineStr">
        <is>
          <t>When a criterion's Status changes on acceptance and sign-off, copy it here. Only its Owner marks it Met, and does it there.</t>
        </is>
      </c>
    </row>
    <row r="18">
      <c r="A18" s="6" t="inlineStr">
        <is>
          <t>YOUR LOGO</t>
        </is>
      </c>
    </row>
    <row r="19" ht="18" customHeight="1">
      <c r="A19" s="7" t="n"/>
      <c r="B19" s="8" t="inlineStr">
        <is>
          <t>The FRQZ logo is at the top of every tab. To use your own, delete it and insert your logo in the same cell.</t>
        </is>
      </c>
    </row>
    <row r="21">
      <c r="A21" s="6" t="inlineStr">
        <is>
          <t>TYPED AND WORKED OUT</t>
        </is>
      </c>
    </row>
    <row r="22" ht="31" customHeight="1">
      <c r="A22" s="7" t="n"/>
      <c r="B22" s="8" t="inlineStr">
        <is>
          <t>Type in the white cells. Grey cells are worked out, so don't type over them. They're locked, with no password. The hidden columns on Criteria and Runs hold the checks' working, each with a header.</t>
        </is>
      </c>
    </row>
    <row r="24">
      <c r="A24" s="6" t="inlineStr">
        <is>
          <t>READING THE MARKS</t>
        </is>
      </c>
    </row>
    <row r="25" ht="18" customHeight="1">
      <c r="A25" s="9" t="inlineStr">
        <is>
          <t>△</t>
        </is>
      </c>
      <c r="B25" s="8" t="inlineStr">
        <is>
          <t>A check found something, and the words say what. Filter Row check on △ to list the rows.</t>
        </is>
      </c>
    </row>
    <row r="26" ht="18" customHeight="1">
      <c r="A26" s="9" t="inlineStr">
        <is>
          <t>○ Clear</t>
        </is>
      </c>
      <c r="B26" s="8" t="inlineStr">
        <is>
          <t>The check found nothing. Every check reads clear until a row is typed.</t>
        </is>
      </c>
    </row>
    <row r="27" ht="18" customHeight="1">
      <c r="A27" s="9" t="inlineStr">
        <is>
          <t>◇</t>
        </is>
      </c>
      <c r="B27" s="8" t="inlineStr">
        <is>
          <t>A prompt to look again. It isn't counted as a failure.</t>
        </is>
      </c>
    </row>
    <row r="29">
      <c r="A29" s="6" t="inlineStr">
        <is>
          <t>READING</t>
        </is>
      </c>
    </row>
    <row r="30" ht="18" customHeight="1">
      <c r="A30" s="9" t="inlineStr">
        <is>
          <t>Passed</t>
        </is>
      </c>
      <c r="B30" s="8" t="inlineStr">
        <is>
          <t>The latest run with a result passed.</t>
        </is>
      </c>
    </row>
    <row r="31" ht="18" customHeight="1">
      <c r="A31" s="9" t="inlineStr">
        <is>
          <t>Failed</t>
        </is>
      </c>
      <c r="B31" s="8" t="inlineStr">
        <is>
          <t>The latest run with a result failed.</t>
        </is>
      </c>
    </row>
    <row r="32" ht="18" customHeight="1">
      <c r="A32" s="9" t="inlineStr">
        <is>
          <t>Not run</t>
        </is>
      </c>
      <c r="B32" s="8" t="inlineStr">
        <is>
          <t>The latest run was set down as Not run, with a Reason, such as for a waived criterion.</t>
        </is>
      </c>
    </row>
    <row r="33" ht="18" customHeight="1">
      <c r="A33" s="9" t="inlineStr">
        <is>
          <t>Planned</t>
        </is>
      </c>
      <c r="B33" s="8" t="inlineStr">
        <is>
          <t>A run is booked and nothing has been run yet.</t>
        </is>
      </c>
    </row>
    <row r="34" ht="18" customHeight="1">
      <c r="A34" s="9" t="inlineStr">
        <is>
          <t>No run</t>
        </is>
      </c>
      <c r="B34" s="8" t="inlineStr">
        <is>
          <t>Nothing is booked.</t>
        </is>
      </c>
    </row>
    <row r="35" ht="31" customHeight="1">
      <c r="A35" s="7" t="n"/>
      <c r="B35" s="8" t="inlineStr">
        <is>
          <t>The latest run is the one with a result and the latest Date. On the same day, the row further down counts. A planned re-run never hides an earlier pass.</t>
        </is>
      </c>
    </row>
    <row r="37">
      <c r="A37" s="6" t="inlineStr">
        <is>
          <t>RUNS</t>
        </is>
      </c>
    </row>
    <row r="38" ht="18" customHeight="1">
      <c r="A38" s="7" t="n">
        <v>1</v>
      </c>
      <c r="B38" s="8" t="inlineStr">
        <is>
          <t>A result with no file is a claim, so name the file each result is kept in.</t>
        </is>
      </c>
    </row>
    <row r="39" ht="31" customHeight="1">
      <c r="A39" s="7" t="n">
        <v>2</v>
      </c>
      <c r="B39" s="8" t="inlineStr">
        <is>
          <t>The checker reads the result and sets the Outcome. A checker who confirms by message puts the message's date in Result. The checker can't be a builder or the person who ran the test.</t>
        </is>
      </c>
    </row>
    <row r="40" ht="18" customHeight="1">
      <c r="A40" s="7" t="n">
        <v>3</v>
      </c>
      <c r="B40" s="8" t="inlineStr">
        <is>
          <t>One person runs each test. The Build agent counts as one; a team doesn't.</t>
        </is>
      </c>
    </row>
    <row r="41" ht="18" customHeight="1">
      <c r="A41" s="7" t="n">
        <v>4</v>
      </c>
      <c r="B41" s="8" t="inlineStr">
        <is>
          <t>Date is the day the result is read. For a planned run, it's the day it's planned for.</t>
        </is>
      </c>
    </row>
    <row r="42" ht="31" customHeight="1">
      <c r="A42" s="7" t="n">
        <v>5</v>
      </c>
      <c r="B42" s="8" t="inlineStr">
        <is>
          <t>Copy the Pass line into Pass line used when you plan the run, and never update it. A Pass line changed after the run was planned is a different test: plan a new run against the new line, even when the old run passed.</t>
        </is>
      </c>
    </row>
    <row r="43" ht="31" customHeight="1">
      <c r="A43" s="7" t="n">
        <v>6</v>
      </c>
      <c r="B43" s="8" t="inlineStr">
        <is>
          <t>After a failure, plan a new row with a new number. A criterion tested twice, such as in two rehearsals, needs both runs planned.</t>
        </is>
      </c>
    </row>
    <row r="44" ht="18" customHeight="1">
      <c r="A44" s="7" t="n">
        <v>7</v>
      </c>
      <c r="B44" s="8" t="inlineStr">
        <is>
          <t>Clear a row, never delete it. Put its story in the Reason of the run that replaced it.</t>
        </is>
      </c>
    </row>
    <row r="45" ht="31" customHeight="1">
      <c r="A45" s="7" t="n">
        <v>8</v>
      </c>
      <c r="B45" s="8" t="inlineStr">
        <is>
          <t>A run can answer a RAID log line instead of a criterion: type its Id, such as R5, in For. A risk closed on a test needs a run with a Result and a File.</t>
        </is>
      </c>
    </row>
    <row r="47">
      <c r="A47" s="6" t="inlineStr">
        <is>
          <t>NEEDED BY</t>
        </is>
      </c>
    </row>
    <row r="48" ht="44" customHeight="1">
      <c r="A48" s="7" t="n"/>
      <c r="B48" s="8" t="inlineStr">
        <is>
          <t>Needed by is the day the criterion's gate is decided: the gate's Forecast on the plan's Schedule if that is a date, or else its Date on the gate map. When a gate moves, whoever decides the change retypes Needed by that day.</t>
        </is>
      </c>
    </row>
    <row r="50">
      <c r="A50" s="6" t="inlineStr">
        <is>
          <t>NAMES</t>
        </is>
      </c>
    </row>
    <row r="51" ht="31" customHeight="1">
      <c r="A51" s="7" t="n"/>
      <c r="B51" s="8" t="inlineStr">
        <is>
          <t>Write each person the way the Register writes an Owner: Rhys (Finance Operations Lead). Check 2 compares the name before the bracket, whole, so Ana and Diana are two people.</t>
        </is>
      </c>
    </row>
    <row r="53">
      <c r="A53" s="6" t="inlineStr">
        <is>
          <t>THE CHECKS</t>
        </is>
      </c>
    </row>
    <row r="54" ht="31" customHeight="1">
      <c r="A54" s="7" t="n"/>
      <c r="B54" s="8" t="inlineStr">
        <is>
          <t>Summary runs seven checks, counting from Date the checks use. Row check on Criteria and on Runs says what's wrong with each row.</t>
        </is>
      </c>
    </row>
    <row r="55" ht="44" customHeight="1">
      <c r="A55" s="7" t="n">
        <v>1</v>
      </c>
      <c r="B55" s="8" t="inlineStr">
        <is>
          <t>A run or criterion not fully written down: a run with no number or a repeated one, a For that isn't a criterion ID or a RAID Id, or no Date; unless it's Not run, no Tested on or Run by, or Pass line used blank on a run for a criterion; a criterion ID used twice; or a run planned for a criterion with no Pass line.</t>
        </is>
      </c>
    </row>
    <row r="56" ht="44" customHeight="1">
      <c r="A56" s="7" t="n">
        <v>2</v>
      </c>
      <c r="B56" s="8" t="inlineStr">
        <is>
          <t>A run checked by a builder, its runner or nobody: any run, Planned included, whose Checked by names someone under Who builds it or the person in Run by, or a Passed or Failed run with Checked by blank. It also fails when Who builds it is empty and a run is typed.</t>
        </is>
      </c>
    </row>
    <row r="57" ht="44" customHeight="1">
      <c r="A57" s="7" t="n">
        <v>3</v>
      </c>
      <c r="B57" s="8" t="inlineStr">
        <is>
          <t>A result with no figure, file or reason: a Passed or Failed run without a Result, a File, or a Date on or before the date the checks use; a run Failed or Not run without a Reason; or a planned run with a Result or File.</t>
        </is>
      </c>
    </row>
    <row r="58" ht="18" customHeight="1">
      <c r="A58" s="7" t="n">
        <v>4</v>
      </c>
      <c r="B58" s="8" t="inlineStr">
        <is>
          <t>A criterion marked Met without a passing run: Status is Met and Reading isn't Passed.</t>
        </is>
      </c>
    </row>
    <row r="59" ht="44" customHeight="1">
      <c r="A59" s="7" t="n">
        <v>5</v>
      </c>
      <c r="B59" s="8" t="inlineStr">
        <is>
          <t>An open criterion needed soon with no run booked: an Open criterion whose Needed by is within Look ahead of the date the checks use, or already past, with no run Planned, Passed or Failed, or whose latest result failed with no planned re-run. Not run books nothing.</t>
        </is>
      </c>
    </row>
    <row r="60" ht="18" customHeight="1">
      <c r="A60" s="7" t="n">
        <v>6</v>
      </c>
      <c r="B60" s="8" t="inlineStr">
        <is>
          <t>A planned run past its day: a Planned run dated before the date the checks use.</t>
        </is>
      </c>
    </row>
    <row r="61" ht="31" customHeight="1">
      <c r="A61" s="7" t="n">
        <v>7</v>
      </c>
      <c r="B61" s="8" t="inlineStr">
        <is>
          <t>A run planned against a Pass line that has since changed: Pass line used differs from the criterion's Pass line on Criteria, Passed runs included.</t>
        </is>
      </c>
    </row>
    <row r="63">
      <c r="A63" s="6" t="inlineStr">
        <is>
          <t>LIMITS</t>
        </is>
      </c>
    </row>
    <row r="64" ht="18" customHeight="1">
      <c r="A64" s="7" t="n">
        <v>1</v>
      </c>
      <c r="B64" s="8" t="inlineStr">
        <is>
          <t>The checks see that a file is named, not that it holds the figure.</t>
        </is>
      </c>
    </row>
    <row r="65" ht="18" customHeight="1">
      <c r="A65" s="7" t="n">
        <v>2</v>
      </c>
      <c r="B65" s="8" t="inlineStr">
        <is>
          <t>They see a changed Pass line only if you copied it when you planned the run.</t>
        </is>
      </c>
    </row>
    <row r="66" ht="31" customHeight="1">
      <c r="A66" s="7" t="n">
        <v>3</v>
      </c>
      <c r="B66" s="8" t="inlineStr">
        <is>
          <t>Check 2 compares names, not whether the checker looked. It misses a builder written another way, such as Backend engineer 1 for Backend engineers.</t>
        </is>
      </c>
    </row>
    <row r="67" ht="31" customHeight="1">
      <c r="A67" s="7" t="n">
        <v>4</v>
      </c>
      <c r="B67" s="8" t="inlineStr">
        <is>
          <t>Check 1 sees that a Pass line is there, not that anything could fail it. Acceptance and sign-off checks the wording.</t>
        </is>
      </c>
    </row>
    <row r="68" ht="18" customHeight="1">
      <c r="A68" s="7" t="n">
        <v>5</v>
      </c>
      <c r="B68" s="8" t="inlineStr">
        <is>
          <t>They can't see a test nobody planned.</t>
        </is>
      </c>
    </row>
    <row r="70">
      <c r="A70" s="6" t="inlineStr">
        <is>
          <t>OTHER FILES</t>
        </is>
      </c>
    </row>
    <row r="71" ht="31" customHeight="1">
      <c r="A71" s="7" t="n">
        <v>1</v>
      </c>
      <c r="B71" s="8" t="inlineStr">
        <is>
          <t>Name, Sits under and Owner come from the Register, and the criteria from acceptance and sign-off. Files connect by these names, never by formulas.</t>
        </is>
      </c>
    </row>
    <row r="72" ht="31" customHeight="1">
      <c r="A72" s="7" t="n">
        <v>2</v>
      </c>
      <c r="B72" s="8" t="inlineStr">
        <is>
          <t>Acceptance and sign-off keeps each criterion's Status. Its Evidence can name the run, such as T-03, Comparison run report, 14 Oct 2026.</t>
        </is>
      </c>
    </row>
    <row r="73" ht="18" customHeight="1">
      <c r="A73" s="7" t="n">
        <v>3</v>
      </c>
      <c r="B73" s="8" t="inlineStr">
        <is>
          <t>The status report reads Met, Waived and Open under Acceptance and sign-off on Summary.</t>
        </is>
      </c>
    </row>
    <row r="74" ht="31" customHeight="1">
      <c r="A74" s="7" t="n">
        <v>4</v>
      </c>
      <c r="B74" s="8" t="inlineStr">
        <is>
          <t>Anyone who opens this file sees every cell. To share it with someone outside the company, send them their rows, not the file.</t>
        </is>
      </c>
    </row>
    <row r="75" ht="44" customHeight="1">
      <c r="A75" s="7" t="n">
        <v>5</v>
      </c>
      <c r="B75" s="8" t="inlineStr">
        <is>
          <t>An assistant can check the sheet for you and draft planned runs. The brief is in frqz-test-evidence-agent-brief.txt, beside this file. Open and save the workbook once in your spreadsheet first, so the assistant can read the results. It never sets an Outcome or a Result, or names who checked.</t>
        </is>
      </c>
    </row>
    <row r="77">
      <c r="A77" s="6" t="inlineStr">
        <is>
          <t>ABOUT THIS EXAMPLE</t>
        </is>
      </c>
    </row>
    <row r="78" ht="18" customHeight="1">
      <c r="A78" s="7" t="n"/>
      <c r="B78" s="8" t="inlineStr">
        <is>
          <t>Hollins Software is a made-up software company. Everyone in it is made up too.</t>
        </is>
      </c>
    </row>
    <row r="79" ht="31" customHeight="1">
      <c r="A79" s="7" t="n"/>
      <c r="B79" s="8" t="inlineStr">
        <is>
          <t>This is the test evidence for Billing Engine Rewrite, as of Thu 22 Oct 2026. Tests have run to 15 Oct, and every later run is planned.</t>
        </is>
      </c>
    </row>
    <row r="80" ht="18" customHeight="1">
      <c r="A80" s="7" t="n"/>
      <c r="B80" s="8" t="inlineStr">
        <is>
          <t>It fails checks 2, 3, 5 and 7 on purpose, and passes 1, 4 and 6.</t>
        </is>
      </c>
    </row>
    <row r="81" ht="31" customHeight="1">
      <c r="A81" s="9" t="inlineStr">
        <is>
          <t>Check 2</t>
        </is>
      </c>
      <c r="B81" s="8" t="inlineStr">
        <is>
          <t>T-04, Finance's 12 invoice cases for C-07, is checked by Anders (Engineering Manager), and Anders is on the builders list. T-05 is marked Passed with nobody in Checked by.</t>
        </is>
      </c>
    </row>
    <row r="82" ht="31" customHeight="1">
      <c r="A82" s="9" t="inlineStr">
        <is>
          <t>Check 3</t>
        </is>
      </c>
      <c r="B82" s="8" t="inlineStr">
        <is>
          <t>T-05 was typed on 15 Oct 2026, the day RAID line R5 closed, for the comparison of 200 invoices. It's marked Passed, and no result or file was kept.</t>
        </is>
      </c>
    </row>
    <row r="83" ht="31" customHeight="1">
      <c r="A83" s="9" t="inlineStr">
        <is>
          <t>Check 5</t>
        </is>
      </c>
      <c r="B83" s="8" t="inlineStr">
        <is>
          <t>C-12, credit notes and refunds, is needed by 3 Dec 2026 for Go/no-go and has no run booked. Acceptance and sign-off already says how to test it, so what's missing is the booking.</t>
        </is>
      </c>
    </row>
    <row r="84" ht="31" customHeight="1">
      <c r="A84" s="9" t="inlineStr">
        <is>
          <t>Check 7</t>
        </is>
      </c>
      <c r="B84" s="8" t="inlineStr">
        <is>
          <t>T-08, the defect count for C-06, was planned against the Pass line signed on 28 Sep 2026, which allowed 0 severity 2 defects. On 15 Oct the line became 3 or fewer, so T-08 tests a line that has changed.</t>
        </is>
      </c>
    </row>
    <row r="85" ht="31" customHeight="1">
      <c r="A85" s="9" t="inlineStr">
        <is>
          <t>Check 1</t>
        </is>
      </c>
      <c r="B85" s="8" t="inlineStr">
        <is>
          <t>C-05's Pass line still reads Fast enough for month end, as acceptance and sign-off has it. Check 1 sees that a Pass line is there, not whether anything could fail it.</t>
        </is>
      </c>
    </row>
    <row r="86" ht="31" customHeight="1">
      <c r="A86" s="9" t="inlineStr">
        <is>
          <t>◇</t>
        </is>
      </c>
      <c r="B86" s="8" t="inlineStr">
        <is>
          <t>Build complete is forecast for Fri 13 Nov, a week after its gate map Date of Fri 6 Nov, so C-04, C-05 and C-06 show a ◇. C-05's month-end run, T-07, is planned for Tue 17 Nov, after it, which is the second ◇ on C-05.</t>
        </is>
      </c>
    </row>
    <row r="87" ht="31" customHeight="1">
      <c r="A87" s="7" t="n"/>
      <c r="B87" s="8" t="inlineStr">
        <is>
          <t>Run by gives a numbered role, such as Backend engineer 1, where Hollins hasn't named the person. Each is one person, never a team.</t>
        </is>
      </c>
    </row>
    <row r="88" ht="18" customHeight="1">
      <c r="A88" s="7" t="n"/>
      <c r="B88" s="8" t="inlineStr">
        <is>
          <t>As of on Summary is 22 Oct 2026, so the results stay as they are. Clear it and the checks count from today.</t>
        </is>
      </c>
    </row>
  </sheetData>
  <sheetProtection selectLockedCells="0" selectUnlockedCells="0" sheet="1" objects="0" insertRows="1" insertHyperlinks="1" autoFilter="0" scenarios="0" formatColumns="0" deleteColumns="1" insertColumns="1" pivotTables="1" deleteRows="1" formatCells="0" formatRows="0" sort="0"/>
  <mergeCells count="1">
    <mergeCell ref="A2:B2"/>
  </mergeCells>
  <printOptions horizontalCentered="0"/>
  <pageMargins left="0.25" right="0.25" top="0.5" bottom="0.5" header="0.25" footer="0.25"/>
  <pageSetup orientation="landscape" paperSize="9" scale="100"/>
  <drawing xmlns:r="http://schemas.openxmlformats.org/officeDocument/2006/relationships" r:id="rId1"/>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0"/>
  </sheetPr>
  <dimension ref="A1:L34"/>
  <sheetViews>
    <sheetView showGridLines="0" tabSelected="1" workbookViewId="0">
      <selection activeCell="A1" sqref="A1"/>
    </sheetView>
  </sheetViews>
  <sheetFormatPr baseColWidth="8" defaultRowHeight="15"/>
  <cols>
    <col width="30" customWidth="1" min="1" max="1"/>
    <col width="34" customWidth="1" min="2" max="2"/>
    <col width="2" customWidth="1" min="3" max="3"/>
    <col width="2" customWidth="1" min="4" max="4"/>
    <col width="2" customWidth="1" min="5" max="5"/>
    <col width="2" customWidth="1" min="6" max="6"/>
    <col width="30" customWidth="1" min="7" max="7"/>
    <col width="17" customWidth="1" min="8" max="8"/>
    <col width="2" customWidth="1" min="9" max="9"/>
    <col hidden="1" width="18" customWidth="1" min="11" max="11"/>
    <col hidden="1" width="10" customWidth="1" min="12" max="12"/>
  </cols>
  <sheetData>
    <row r="1" ht="36" customHeight="1">
      <c r="A1" s="1" t="inlineStr">
        <is>
          <t>Test evidence (Example)</t>
        </is>
      </c>
      <c r="H1" t="n"/>
      <c r="K1" s="10" t="inlineStr">
        <is>
          <t>Criteria in use</t>
        </is>
      </c>
      <c r="L1" s="11">
        <f>SUM(Criteria!$L$6:$L$105)</f>
        <v/>
      </c>
    </row>
    <row r="2" ht="18" customHeight="1">
      <c r="A2" s="2">
        <f>IF(TRIM($B$6)="","","Project: "&amp;$B$6&amp;IF(TRIM($B$7)="",".",". Sits under: "&amp;$B$7&amp;"."))</f>
        <v/>
      </c>
      <c r="K2" s="10" t="inlineStr">
        <is>
          <t>Runs in use</t>
        </is>
      </c>
      <c r="L2" s="11">
        <f>SUM(Runs!$M$6:$M$105)</f>
        <v/>
      </c>
    </row>
    <row r="3" ht="18" customHeight="1">
      <c r="A3" s="12">
        <f>IF($L$1=0,"No criteria yet.",$H$16&amp;" of "&amp;$L$1&amp;IF($L$1=1," criterion passed, "," criteria passed, ")&amp;$H$24&amp;" waived, "&amp;($L$1-$H$16-$H$24)&amp;" not passed yet."&amp;IF($H$17&gt;0," "&amp;$H$17&amp;IF($H$17=1," has failed its latest run."," have failed their latest run."),""))</f>
        <v/>
      </c>
    </row>
    <row r="4" ht="6" customHeight="1"/>
    <row r="5" ht="18" customHeight="1">
      <c r="A5" s="13" t="inlineStr">
        <is>
          <t>ABOUT</t>
        </is>
      </c>
      <c r="B5" s="13" t="n"/>
      <c r="C5" s="13" t="n"/>
      <c r="D5" s="13" t="n"/>
      <c r="E5" s="13" t="n"/>
      <c r="F5" s="13" t="n"/>
      <c r="G5" s="13" t="inlineStr">
        <is>
          <t>WHO BUILDS IT</t>
        </is>
      </c>
      <c r="H5" s="13" t="n"/>
    </row>
    <row r="6" ht="18" customHeight="1">
      <c r="A6" s="14" t="inlineStr">
        <is>
          <t>NAME</t>
        </is>
      </c>
      <c r="B6" s="15" t="inlineStr">
        <is>
          <t>Billing Engine Rewrite</t>
        </is>
      </c>
      <c r="G6" s="16" t="inlineStr">
        <is>
          <t>Anders</t>
        </is>
      </c>
    </row>
    <row r="7" ht="18" customHeight="1">
      <c r="A7" s="14" t="inlineStr">
        <is>
          <t>SITS UNDER</t>
        </is>
      </c>
      <c r="B7" s="15" t="inlineStr">
        <is>
          <t>Billing and Payments Program</t>
        </is>
      </c>
      <c r="G7" s="16" t="inlineStr">
        <is>
          <t>Backend engineers</t>
        </is>
      </c>
    </row>
    <row r="8" ht="18" customHeight="1">
      <c r="A8" s="14" t="inlineStr">
        <is>
          <t>OWNER</t>
        </is>
      </c>
      <c r="B8" s="15" t="inlineStr">
        <is>
          <t>Anders (Engineering Manager)</t>
        </is>
      </c>
      <c r="G8" s="16" t="inlineStr">
        <is>
          <t>Build agent</t>
        </is>
      </c>
    </row>
    <row r="9" ht="18" customHeight="1">
      <c r="A9" s="14" t="inlineStr">
        <is>
          <t>CRITERIA VERSION</t>
        </is>
      </c>
      <c r="B9" s="15" t="inlineStr">
        <is>
          <t>v2</t>
        </is>
      </c>
      <c r="G9" s="16" t="n"/>
    </row>
    <row r="10" ht="18" customHeight="1">
      <c r="A10" s="14" t="inlineStr">
        <is>
          <t>AS OF</t>
        </is>
      </c>
      <c r="B10" s="17" t="n">
        <v>46317</v>
      </c>
      <c r="G10" s="16" t="n"/>
    </row>
    <row r="11" ht="18" customHeight="1">
      <c r="A11" s="14" t="inlineStr">
        <is>
          <t>LOOK AHEAD (DAYS)</t>
        </is>
      </c>
      <c r="B11" s="15" t="n">
        <v>60</v>
      </c>
      <c r="G11" s="16" t="n"/>
    </row>
    <row r="12" ht="18" customHeight="1">
      <c r="A12" s="14" t="inlineStr">
        <is>
          <t>DATE THE CHECKS USE</t>
        </is>
      </c>
      <c r="B12" s="18">
        <f>IF(ISNUMBER($B$10),$B$10,TODAY())</f>
        <v/>
      </c>
      <c r="G12" s="16" t="n"/>
    </row>
    <row r="13" ht="6" customHeight="1">
      <c r="G13" s="16" t="n"/>
    </row>
    <row r="14" ht="18" customHeight="1">
      <c r="A14" s="13" t="inlineStr">
        <is>
          <t>CHECKS</t>
        </is>
      </c>
      <c r="B14" s="13" t="n"/>
      <c r="C14" s="13" t="n"/>
      <c r="D14" s="13" t="n"/>
      <c r="E14" s="13" t="n"/>
      <c r="F14" s="13" t="n"/>
    </row>
    <row r="15" ht="18" customHeight="1">
      <c r="A15" s="8" t="inlineStr">
        <is>
          <t>A run or criterion not fully written down</t>
        </is>
      </c>
      <c r="B15" s="19">
        <f>IF((SUM(Runs!$S$6:$S$105)+SUM(Runs!$X$6:$X$105)+SUM(Criteria!$O$6:$O$105))=0,"○ Clear","△ "&amp;(SUM(Runs!$S$6:$S$105)+SUM(Runs!$X$6:$X$105)+SUM(Criteria!$O$6:$O$105))&amp;IF((SUM(Runs!$S$6:$S$105)+SUM(Runs!$X$6:$X$105)+SUM(Criteria!$O$6:$O$105))=1," run or criterion"," runs or criteria")&amp;" not fully written down")</f>
        <v/>
      </c>
      <c r="C15" s="20" t="n"/>
      <c r="D15" s="20" t="n"/>
      <c r="E15" s="20" t="n"/>
      <c r="F15" s="21" t="n"/>
      <c r="G15" s="13" t="inlineStr">
        <is>
          <t>READINGS</t>
        </is>
      </c>
      <c r="H15" s="13" t="n"/>
    </row>
    <row r="16" ht="44" customHeight="1">
      <c r="A16" s="8" t="inlineStr">
        <is>
          <t>A run checked by a builder, its runner or nobody</t>
        </is>
      </c>
      <c r="B16" s="19">
        <f>IF(AND($L$2&gt;0,COUNTA($G$6:$G$13)=0),"△ Name the builders under Who builds it",IF(SUM(Runs!$T$6:$T$105)=0,"○ Clear","△ "&amp;SUM(Runs!$T$6:$T$105)&amp;IF(SUM(Runs!$T$6:$T$105)=1," run"," runs")&amp;" checked by a builder, the runner or nobody"))</f>
        <v/>
      </c>
      <c r="C16" s="20" t="n"/>
      <c r="D16" s="20" t="n"/>
      <c r="E16" s="20" t="n"/>
      <c r="F16" s="21" t="n"/>
      <c r="G16" s="22" t="inlineStr">
        <is>
          <t>Passed</t>
        </is>
      </c>
      <c r="H16" s="23">
        <f>COUNTIF(Criteria!$J$6:$J$105,G16)</f>
        <v/>
      </c>
    </row>
    <row r="17" ht="44" customHeight="1">
      <c r="A17" s="8" t="inlineStr">
        <is>
          <t>A result with no figure, file or reason</t>
        </is>
      </c>
      <c r="B17" s="19">
        <f>IF(SUM(Runs!$U$6:$U$105)=0,"○ Clear","△ "&amp;SUM(Runs!$U$6:$U$105)&amp;IF(SUM(Runs!$U$6:$U$105)=1," run"," runs")&amp;" whose Result, File or Reason doesn't fit the Outcome")</f>
        <v/>
      </c>
      <c r="C17" s="20" t="n"/>
      <c r="D17" s="20" t="n"/>
      <c r="E17" s="20" t="n"/>
      <c r="F17" s="21" t="n"/>
      <c r="G17" s="22" t="inlineStr">
        <is>
          <t>Failed</t>
        </is>
      </c>
      <c r="H17" s="23">
        <f>COUNTIF(Criteria!$J$6:$J$105,G17)</f>
        <v/>
      </c>
    </row>
    <row r="18" ht="44" customHeight="1">
      <c r="A18" s="8" t="inlineStr">
        <is>
          <t>A criterion marked Met without a passing run</t>
        </is>
      </c>
      <c r="B18" s="19">
        <f>IF(SUM(Criteria!$P$6:$P$105)=0,"○ Clear","△ "&amp;SUM(Criteria!$P$6:$P$105)&amp;IF(SUM(Criteria!$P$6:$P$105)=1," criterion"," criteria")&amp;" marked Met without a passing run")</f>
        <v/>
      </c>
      <c r="C18" s="20" t="n"/>
      <c r="D18" s="20" t="n"/>
      <c r="E18" s="20" t="n"/>
      <c r="F18" s="21" t="n"/>
      <c r="G18" s="22" t="inlineStr">
        <is>
          <t>Planned</t>
        </is>
      </c>
      <c r="H18" s="23">
        <f>COUNTIF(Criteria!$J$6:$J$105,G18)</f>
        <v/>
      </c>
    </row>
    <row r="19" ht="44" customHeight="1">
      <c r="A19" s="8" t="inlineStr">
        <is>
          <t>An open criterion needed soon with no run booked</t>
        </is>
      </c>
      <c r="B19" s="19">
        <f>IF(SUM(Criteria!$Q$6:$Q$105)=0,"○ Clear","△ "&amp;SUM(Criteria!$Q$6:$Q$105)&amp;IF(SUM(Criteria!$Q$6:$Q$105)=1," open criterion"," open criteria")&amp;" needed within "&amp;N($B$11)&amp;" days with no run booked, or failed with no re-run")</f>
        <v/>
      </c>
      <c r="C19" s="20" t="n"/>
      <c r="D19" s="20" t="n"/>
      <c r="E19" s="20" t="n"/>
      <c r="F19" s="21" t="n"/>
      <c r="G19" s="22" t="inlineStr">
        <is>
          <t>Not run</t>
        </is>
      </c>
      <c r="H19" s="23">
        <f>COUNTIF(Criteria!$J$6:$J$105,G19)</f>
        <v/>
      </c>
    </row>
    <row r="20" ht="44" customHeight="1">
      <c r="A20" s="8" t="inlineStr">
        <is>
          <t>A planned run past its day</t>
        </is>
      </c>
      <c r="B20" s="19">
        <f>IF(SUM(Runs!$V$6:$V$105)=0,"○ Clear","△ "&amp;SUM(Runs!$V$6:$V$105)&amp;IF(SUM(Runs!$V$6:$V$105)=1," planned run past its day, with no result"," planned runs past their day, with no result"))</f>
        <v/>
      </c>
      <c r="C20" s="20" t="n"/>
      <c r="D20" s="20" t="n"/>
      <c r="E20" s="20" t="n"/>
      <c r="F20" s="21" t="n"/>
      <c r="G20" s="22" t="inlineStr">
        <is>
          <t>No run</t>
        </is>
      </c>
      <c r="H20" s="23">
        <f>COUNTIF(Criteria!$J$6:$J$105,G20)</f>
        <v/>
      </c>
    </row>
    <row r="21" ht="44" customHeight="1">
      <c r="A21" s="8" t="inlineStr">
        <is>
          <t>A run planned against a Pass line that has since changed</t>
        </is>
      </c>
      <c r="B21" s="19">
        <f>IF(SUM(Runs!$W$6:$W$105)=0,"○ Clear","△ "&amp;SUM(Runs!$W$6:$W$105)&amp;IF(SUM(Runs!$W$6:$W$105)=1," run"," runs")&amp;" planned against a Pass line that has since changed")</f>
        <v/>
      </c>
      <c r="C21" s="20" t="n"/>
      <c r="D21" s="20" t="n"/>
      <c r="E21" s="20" t="n"/>
      <c r="F21" s="21" t="n"/>
    </row>
    <row r="22" ht="18" customHeight="1">
      <c r="B22" s="24">
        <f>IF(COUNTIF($B$15:$B$21,"△*")=0,"All seven checks clear.",COUNTIF($B$15:$B$21,"△*")&amp;" of 7 checks failing.")</f>
        <v/>
      </c>
      <c r="C22" s="20" t="n"/>
      <c r="D22" s="20" t="n"/>
      <c r="E22" s="20" t="n"/>
      <c r="F22" s="21" t="n"/>
      <c r="G22" s="13" t="inlineStr">
        <is>
          <t>ACCEPTANCE AND SIGN-OFF</t>
        </is>
      </c>
      <c r="H22" s="13" t="n"/>
    </row>
    <row r="23" ht="18" customHeight="1">
      <c r="G23" s="22" t="inlineStr">
        <is>
          <t>Met</t>
        </is>
      </c>
      <c r="H23" s="23">
        <f>COUNTIF(Criteria!$F$6:$F$105,G23)</f>
        <v/>
      </c>
    </row>
    <row r="24" ht="18" customHeight="1">
      <c r="G24" s="22" t="inlineStr">
        <is>
          <t>Waived</t>
        </is>
      </c>
      <c r="H24" s="23">
        <f>COUNTIF(Criteria!$F$6:$F$105,G24)</f>
        <v/>
      </c>
    </row>
    <row r="25" ht="18" customHeight="1">
      <c r="G25" s="22" t="inlineStr">
        <is>
          <t>Open</t>
        </is>
      </c>
      <c r="H25" s="23">
        <f>$L$1-$H$23-$H$24</f>
        <v/>
      </c>
    </row>
    <row r="27" ht="18" customHeight="1">
      <c r="G27" s="13" t="inlineStr">
        <is>
          <t>GATE MAP DATES</t>
        </is>
      </c>
      <c r="H27" s="13" t="n"/>
    </row>
    <row r="28" ht="18" customHeight="1">
      <c r="G28" s="16" t="inlineStr">
        <is>
          <t>Start</t>
        </is>
      </c>
      <c r="H28" s="17" t="n">
        <v>46093</v>
      </c>
    </row>
    <row r="29" ht="18" customHeight="1">
      <c r="G29" s="16" t="inlineStr">
        <is>
          <t>Plan baselined</t>
        </is>
      </c>
      <c r="H29" s="17" t="n">
        <v>46185</v>
      </c>
    </row>
    <row r="30" ht="18" customHeight="1">
      <c r="G30" s="16" t="inlineStr">
        <is>
          <t>Build complete</t>
        </is>
      </c>
      <c r="H30" s="17" t="n">
        <v>46332</v>
      </c>
    </row>
    <row r="31" ht="18" customHeight="1">
      <c r="G31" s="16" t="inlineStr">
        <is>
          <t>Readiness</t>
        </is>
      </c>
      <c r="H31" s="17" t="n">
        <v>46345</v>
      </c>
    </row>
    <row r="32" ht="18" customHeight="1">
      <c r="G32" s="16" t="inlineStr">
        <is>
          <t>Go/no-go</t>
        </is>
      </c>
      <c r="H32" s="17" t="n">
        <v>46359</v>
      </c>
    </row>
    <row r="33" ht="18" customHeight="1">
      <c r="G33" s="16" t="inlineStr">
        <is>
          <t>Handover accepted</t>
        </is>
      </c>
      <c r="H33" s="17" t="n">
        <v>46535</v>
      </c>
    </row>
    <row r="34" ht="18" customHeight="1">
      <c r="G34" s="16" t="inlineStr">
        <is>
          <t>Close</t>
        </is>
      </c>
      <c r="H34" s="17" t="n">
        <v>46568</v>
      </c>
    </row>
  </sheetData>
  <sheetProtection selectLockedCells="0" selectUnlockedCells="0" sheet="1" objects="0" insertRows="1" insertHyperlinks="1" autoFilter="0" scenarios="0" formatColumns="0" deleteColumns="1" insertColumns="1" pivotTables="1" deleteRows="1" formatCells="0" formatRows="0" sort="0"/>
  <mergeCells count="8">
    <mergeCell ref="B21:F21"/>
    <mergeCell ref="B16:F16"/>
    <mergeCell ref="B20:F20"/>
    <mergeCell ref="B15:F15"/>
    <mergeCell ref="B19:F19"/>
    <mergeCell ref="B22:F22"/>
    <mergeCell ref="B17:F17"/>
    <mergeCell ref="B18:F18"/>
  </mergeCells>
  <conditionalFormatting sqref="B15:B21">
    <cfRule type="expression" priority="1" dxfId="0" stopIfTrue="0">
      <formula>LEFT(B15,1)="△"</formula>
    </cfRule>
  </conditionalFormatting>
  <dataValidations count="10">
    <dataValidation sqref="B6" showDropDown="0" showInputMessage="1" showErrorMessage="0" allowBlank="1" promptTitle="Name" prompt="The project's name exactly as the Register writes it." errorStyle="stop"/>
    <dataValidation sqref="B7" showDropDown="0" showInputMessage="1" showErrorMessage="0" allowBlank="1" promptTitle="Sits under" prompt="The program it sits under, as the Register writes it." errorStyle="stop"/>
    <dataValidation sqref="B8" showDropDown="0" showInputMessage="1" showErrorMessage="0" allowBlank="1" promptTitle="Owner" prompt="The project's Owner as the Register writes it, such as Anders (Engineering Manager)." errorStyle="stop"/>
    <dataValidation sqref="B9" showDropDown="0" showInputMessage="1" showErrorMessage="1" allowBlank="1" errorTitle="Check this entry" error="Type v and a number, such as v2." promptTitle="Criteria version" prompt="The Version of acceptance and sign-off you copied the criteria from, such as v2. Copy them again when it changes." type="custom" errorStyle="stop">
      <formula1>AND(LEFT(B9,1)="v",ISNUMBER(VALUE(MID(B9,2,4))))</formula1>
    </dataValidation>
    <dataValidation sqref="B10" showDropDown="0" showInputMessage="1" showErrorMessage="1" allowBlank="1" errorTitle="Check this entry" error="Type a date, such as 22 Oct 2026, or leave it blank for today." promptTitle="As of" prompt="The day you're reading the sheet on. Every check counts from it. Leave it blank to use today's date." type="custom" errorStyle="stop">
      <formula1>OR(B10="",ISNUMBER(B10))</formula1>
    </dataValidation>
    <dataValidation sqref="B11" showDropDown="0" showInputMessage="1" showErrorMessage="1" allowBlank="1" errorTitle="Check this entry" error="Type a whole number of days from 1 to 365." promptTitle="Look ahead (days)" prompt="How many days ahead check 5 looks for an open criterion's Needed by. A whole number from 1 to 365. Start with 60." type="whole" errorStyle="stop" operator="between">
      <formula1>1</formula1>
      <formula2>365</formula2>
    </dataValidation>
    <dataValidation sqref="B12" showDropDown="0" showInputMessage="1" showErrorMessage="0" allowBlank="1" promptTitle="Date the checks use" prompt="Worked out: As of, or today's date when As of is blank." errorStyle="stop"/>
    <dataValidation sqref="G6:G13" showDropDown="0" showInputMessage="1" showErrorMessage="0" allowBlank="1" promptTitle="Who builds it" prompt="The names under Who builds it on acceptance and sign-off, one per cell: a first name or a team, such as Anders or Backend engineers. Check 2 fails a run checked by one of them." errorStyle="stop"/>
    <dataValidation sqref="G28:G34" showDropDown="0" showInputMessage="1" showErrorMessage="0" allowBlank="1" promptTitle="Gate" prompt="The gate names from your gate map, in order. The Gate column on Criteria picks from them." errorStyle="stop"/>
    <dataValidation sqref="H28:H34" showDropDown="0" showInputMessage="1" showErrorMessage="1" allowBlank="1" errorTitle="Check this entry" error="Type a date, such as 30 Jun 2027." promptTitle="Date" prompt="Optional. The gate's Date on the gate map. Criteria shows a ◇ when an open criterion's Needed by differs from it." type="date" errorStyle="stop" operator="between">
      <formula1>36526</formula1>
      <formula2>73415</formula2>
    </dataValidation>
  </dataValidations>
  <printOptions horizontalCentered="0"/>
  <pageMargins left="0.25" right="0.25" top="0.5" bottom="0.5" header="0.25" footer="0.25"/>
  <pageSetup orientation="landscape" paperSize="9" scale="100"/>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0"/>
  </sheetPr>
  <dimension ref="A1:W10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12" customWidth="1" min="2" max="2"/>
    <col width="23" customWidth="1" min="3" max="3"/>
    <col width="24" customWidth="1" min="4" max="4"/>
    <col width="14" customWidth="1" min="5" max="5"/>
    <col width="7" customWidth="1" min="6" max="6"/>
    <col width="12" customWidth="1" min="7" max="7"/>
    <col width="6" customWidth="1" min="8" max="8"/>
    <col width="7" customWidth="1" min="9" max="9"/>
    <col width="9" customWidth="1" min="10" max="10"/>
    <col width="20" customWidth="1" min="11" max="11"/>
    <col hidden="1" outlineLevel="1" width="12" customWidth="1" min="12" max="23"/>
  </cols>
  <sheetData>
    <row r="1" ht="36" customHeight="1">
      <c r="A1" s="1" t="inlineStr">
        <is>
          <t>Criteria (Example)</t>
        </is>
      </c>
      <c r="K1" t="n"/>
    </row>
    <row r="2" ht="18" customHeight="1">
      <c r="A2" s="2">
        <f>Summary!$A$2</f>
        <v/>
      </c>
    </row>
    <row r="3" ht="18" customHeight="1">
      <c r="A3" s="3" t="inlineStr">
        <is>
          <t>Example. Hollins Software and everyone in it are made up. Billing Engine Rewrite, as of 22 Oct 2026. Clear the white cells to start your own.</t>
        </is>
      </c>
      <c r="B3" s="4" t="n"/>
      <c r="C3" s="4" t="n"/>
      <c r="D3" s="4" t="n"/>
      <c r="E3" s="4" t="n"/>
      <c r="F3" s="4" t="n"/>
      <c r="G3" s="4" t="n"/>
      <c r="H3" s="4" t="n"/>
      <c r="I3" s="4" t="n"/>
      <c r="J3" s="4" t="n"/>
      <c r="K3" s="4" t="n"/>
    </row>
    <row r="4" ht="18" customHeight="1">
      <c r="A4" s="13" t="inlineStr">
        <is>
          <t>CRITERIA</t>
        </is>
      </c>
      <c r="B4" s="13" t="n"/>
      <c r="C4" s="13" t="n"/>
      <c r="D4" s="13" t="n"/>
      <c r="E4" s="13" t="n"/>
      <c r="F4" s="13" t="n"/>
      <c r="G4" s="13" t="n"/>
      <c r="H4" s="13" t="n"/>
      <c r="I4" s="13" t="n"/>
      <c r="J4" s="13" t="n"/>
      <c r="K4" s="13" t="n"/>
    </row>
    <row r="5" ht="30" customHeight="1">
      <c r="A5" s="25" t="inlineStr">
        <is>
          <t>ID</t>
        </is>
      </c>
      <c r="B5" s="25" t="inlineStr">
        <is>
          <t>Gate</t>
        </is>
      </c>
      <c r="C5" s="25" t="inlineStr">
        <is>
          <t>Criterion</t>
        </is>
      </c>
      <c r="D5" s="25" t="inlineStr">
        <is>
          <t>Pass line</t>
        </is>
      </c>
      <c r="E5" s="25" t="inlineStr">
        <is>
          <t>Owner (says it's met)</t>
        </is>
      </c>
      <c r="F5" s="25" t="inlineStr">
        <is>
          <t>Status</t>
        </is>
      </c>
      <c r="G5" s="25" t="inlineStr">
        <is>
          <t>Needed by</t>
        </is>
      </c>
      <c r="H5" s="26" t="inlineStr">
        <is>
          <t>Runs</t>
        </is>
      </c>
      <c r="I5" s="26" t="inlineStr">
        <is>
          <t>Latest run</t>
        </is>
      </c>
      <c r="J5" s="26" t="inlineStr">
        <is>
          <t>Reading</t>
        </is>
      </c>
      <c r="K5" s="26" t="inlineStr">
        <is>
          <t>Row check</t>
        </is>
      </c>
      <c r="L5" s="26" t="inlineStr">
        <is>
          <t>Row in use (1 or 0)</t>
        </is>
      </c>
      <c r="M5" s="26" t="inlineStr">
        <is>
          <t>Runs for this criterion</t>
        </is>
      </c>
      <c r="N5" s="26" t="inlineStr">
        <is>
          <t>Row of the latest result on Runs (0 if none)</t>
        </is>
      </c>
      <c r="O5" s="26" t="inlineStr">
        <is>
          <t>Fails check 1 (1 or 0)</t>
        </is>
      </c>
      <c r="P5" s="26" t="inlineStr">
        <is>
          <t>Fails check 4 (1 or 0)</t>
        </is>
      </c>
      <c r="Q5" s="26" t="inlineStr">
        <is>
          <t>Fails check 5 (1 or 0)</t>
        </is>
      </c>
      <c r="R5" s="26" t="inlineStr">
        <is>
          <t>Hint: passed, still Open (1 or 0)</t>
        </is>
      </c>
      <c r="S5" s="26" t="inlineStr">
        <is>
          <t>Hint: a run planned after Needed by (1 or 0)</t>
        </is>
      </c>
      <c r="T5" s="26" t="inlineStr">
        <is>
          <t>Hint: no Needed by (1 or 0)</t>
        </is>
      </c>
      <c r="U5" s="26" t="inlineStr">
        <is>
          <t>Runs booked, Not run left out</t>
        </is>
      </c>
      <c r="V5" s="26" t="inlineStr">
        <is>
          <t>Runs planned</t>
        </is>
      </c>
      <c r="W5" s="26" t="inlineStr">
        <is>
          <t>Hint: Needed by isn't the gate map's Date (1 or 0)</t>
        </is>
      </c>
    </row>
    <row r="6" ht="31" customHeight="1">
      <c r="A6" s="27" t="inlineStr">
        <is>
          <t>C-01</t>
        </is>
      </c>
      <c r="B6" s="28" t="inlineStr">
        <is>
          <t>Plan baselined</t>
        </is>
      </c>
      <c r="C6" s="28" t="inlineStr">
        <is>
          <t>Every plan item has an owner and a due date</t>
        </is>
      </c>
      <c r="D6" s="28" t="inlineStr">
        <is>
          <t>0 items missing either</t>
        </is>
      </c>
      <c r="E6" s="28" t="inlineStr">
        <is>
          <t>Tomasz (PMO Head)</t>
        </is>
      </c>
      <c r="F6" s="27" t="inlineStr">
        <is>
          <t>Met</t>
        </is>
      </c>
      <c r="G6" s="29" t="n">
        <v>46185</v>
      </c>
      <c r="H6" s="30">
        <f>IF($L6=0,"",$M6)</f>
        <v/>
      </c>
      <c r="I6" s="31">
        <f>IF($N6=0,"",INDEX(Runs!$A$6:$A$105,$N6))</f>
        <v/>
      </c>
      <c r="J6" s="31">
        <f>IF($L6=0,"",IF($N6&gt;0,INDEX(Runs!$N$6:$N$105,$N6),IF(COUNTIFS(Runs!$B$6:$B$105,$A6,Runs!$N$6:$N$105,"Planned")&gt;0,"Planned","No run")))</f>
        <v/>
      </c>
      <c r="K6" s="19">
        <f>IF($L6=0,"",IF($O6+$P6+$Q6=0,"○ Clear",IF($O6=1,"△ No ID, or ID used twice",IF($P6=1,"△ Met with no passing run",IF($J6="Failed","△ Needed soon, failed, with no re-run booked","△ Needed soon, with no run booked")))&amp;IF($O6+$P6+$Q6&gt;1,", and "&amp;($O6+$P6+$Q6-1)&amp;" more",""))&amp;IF($R6=1,"  ◇ passed: the Owner can mark it Met","")&amp;IF($S6=1,"  ◇ a run is planned after Needed by","")&amp;IF($T6=1,"  ◇ no Needed by date","")&amp;IF($W6=1,"  ◇ Needed by isn't the gate map's Date",""))</f>
        <v/>
      </c>
      <c r="L6" s="32">
        <f>IF(COUNTA($A6:$G6)&gt;0,1,0)</f>
        <v/>
      </c>
      <c r="M6" s="32">
        <f>IF($L6=0,0,COUNTIF(Runs!$B$6:$B$105,$A6))</f>
        <v/>
      </c>
      <c r="N6" s="32">
        <f>IF($L6=0,0,IFERROR(MATCH($A6,Runs!$R$6:$R$105,0),0))</f>
        <v/>
      </c>
      <c r="O6" s="32">
        <f>IF($L6=0,0,IF(OR(TRIM($A6)="",COUNTIF($A$6:$A$105,$A6)&gt;1),1,0))</f>
        <v/>
      </c>
      <c r="P6" s="32">
        <f>IF($L6=0,0,IF(AND($F6="Met",$J6&lt;&gt;"Passed"),1,0))</f>
        <v/>
      </c>
      <c r="Q6" s="32">
        <f>IF(OR($L6=0,$F6="Met",$F6="Waived",NOT(ISNUMBER($G6))),0,IF(AND($G6&lt;=Summary!$B$12+N(Summary!$B$11),OR($U6=0,AND($J6="Failed",$V6=0))),1,0))</f>
        <v/>
      </c>
      <c r="R6" s="32">
        <f>IF(AND($L6=1,OR($F6="",$F6="Open"),$J6="Passed"),1,0)</f>
        <v/>
      </c>
      <c r="S6" s="32">
        <f>IF(AND($L6=1,ISNUMBER($G6)),IF(SUMPRODUCT((Runs!$B$6:$B$105=$A6)*(Runs!$N$6:$N$105="Planned")*(Runs!$C$6:$C$105&gt;$G6))&gt;0,1,0),0)</f>
        <v/>
      </c>
      <c r="T6" s="32">
        <f>IF(AND($L6=1,OR($F6="",$F6="Open"),NOT(ISNUMBER($G6))),1,0)</f>
        <v/>
      </c>
      <c r="U6" s="32">
        <f>IF($L6=0,0,$M6-COUNTIFS(Runs!$B$6:$B$105,$A6,Runs!$N$6:$N$105,"Not run"))</f>
        <v/>
      </c>
      <c r="V6" s="32">
        <f>IF($L6=0,0,COUNTIFS(Runs!$B$6:$B$105,$A6,Runs!$N$6:$N$105,"Planned"))</f>
        <v/>
      </c>
      <c r="W6" s="32">
        <f>IF(AND($L6=1,OR($F6="",$F6="Open"),ISNUMBER($G6),ISNUMBER(MATCH($B6,Summary!$G$28:$G$34,0))),IF(ISNUMBER(INDEX(Summary!$H$28:$H$34,MATCH($B6,Summary!$G$28:$G$34,0))),IF($G6&lt;&gt;INDEX(Summary!$H$28:$H$34,MATCH($B6,Summary!$G$28:$G$34,0)),1,0),0),0)</f>
        <v/>
      </c>
    </row>
    <row r="7" ht="57" customHeight="1">
      <c r="A7" s="27" t="inlineStr">
        <is>
          <t>C-02</t>
        </is>
      </c>
      <c r="B7" s="28" t="inlineStr">
        <is>
          <t>Plan baselined</t>
        </is>
      </c>
      <c r="C7" s="28" t="inlineStr">
        <is>
          <t>Every report that reads the old engine's tax export works from the new engine</t>
        </is>
      </c>
      <c r="D7" s="28" t="inlineStr">
        <is>
          <t>Every report Finance names runs</t>
        </is>
      </c>
      <c r="E7" s="28" t="inlineStr">
        <is>
          <t>Hugo (Program Manager)</t>
        </is>
      </c>
      <c r="F7" s="27" t="inlineStr">
        <is>
          <t>Waived</t>
        </is>
      </c>
      <c r="G7" s="29" t="n">
        <v>46185</v>
      </c>
      <c r="H7" s="30">
        <f>IF($L7=0,"",$M7)</f>
        <v/>
      </c>
      <c r="I7" s="31">
        <f>IF($N7=0,"",INDEX(Runs!$A$6:$A$105,$N7))</f>
        <v/>
      </c>
      <c r="J7" s="31">
        <f>IF($L7=0,"",IF($N7&gt;0,INDEX(Runs!$N$6:$N$105,$N7),IF(COUNTIFS(Runs!$B$6:$B$105,$A7,Runs!$N$6:$N$105,"Planned")&gt;0,"Planned","No run")))</f>
        <v/>
      </c>
      <c r="K7" s="19">
        <f>IF($L7=0,"",IF($O7+$P7+$Q7=0,"○ Clear",IF($O7=1,"△ No ID, or ID used twice",IF($P7=1,"△ Met with no passing run",IF($J7="Failed","△ Needed soon, failed, with no re-run booked","△ Needed soon, with no run booked")))&amp;IF($O7+$P7+$Q7&gt;1,", and "&amp;($O7+$P7+$Q7-1)&amp;" more",""))&amp;IF($R7=1,"  ◇ passed: the Owner can mark it Met","")&amp;IF($S7=1,"  ◇ a run is planned after Needed by","")&amp;IF($T7=1,"  ◇ no Needed by date","")&amp;IF($W7=1,"  ◇ Needed by isn't the gate map's Date",""))</f>
        <v/>
      </c>
      <c r="L7" s="32">
        <f>IF(COUNTA($A7:$G7)&gt;0,1,0)</f>
        <v/>
      </c>
      <c r="M7" s="32">
        <f>IF($L7=0,0,COUNTIF(Runs!$B$6:$B$105,$A7))</f>
        <v/>
      </c>
      <c r="N7" s="32">
        <f>IF($L7=0,0,IFERROR(MATCH($A7,Runs!$R$6:$R$105,0),0))</f>
        <v/>
      </c>
      <c r="O7" s="32">
        <f>IF($L7=0,0,IF(OR(TRIM($A7)="",COUNTIF($A$6:$A$105,$A7)&gt;1),1,0))</f>
        <v/>
      </c>
      <c r="P7" s="32">
        <f>IF($L7=0,0,IF(AND($F7="Met",$J7&lt;&gt;"Passed"),1,0))</f>
        <v/>
      </c>
      <c r="Q7" s="32">
        <f>IF(OR($L7=0,$F7="Met",$F7="Waived",NOT(ISNUMBER($G7))),0,IF(AND($G7&lt;=Summary!$B$12+N(Summary!$B$11),OR($U7=0,AND($J7="Failed",$V7=0))),1,0))</f>
        <v/>
      </c>
      <c r="R7" s="32">
        <f>IF(AND($L7=1,OR($F7="",$F7="Open"),$J7="Passed"),1,0)</f>
        <v/>
      </c>
      <c r="S7" s="32">
        <f>IF(AND($L7=1,ISNUMBER($G7)),IF(SUMPRODUCT((Runs!$B$6:$B$105=$A7)*(Runs!$N$6:$N$105="Planned")*(Runs!$C$6:$C$105&gt;$G7))&gt;0,1,0),0)</f>
        <v/>
      </c>
      <c r="T7" s="32">
        <f>IF(AND($L7=1,OR($F7="",$F7="Open"),NOT(ISNUMBER($G7))),1,0)</f>
        <v/>
      </c>
      <c r="U7" s="32">
        <f>IF($L7=0,0,$M7-COUNTIFS(Runs!$B$6:$B$105,$A7,Runs!$N$6:$N$105,"Not run"))</f>
        <v/>
      </c>
      <c r="V7" s="32">
        <f>IF($L7=0,0,COUNTIFS(Runs!$B$6:$B$105,$A7,Runs!$N$6:$N$105,"Planned"))</f>
        <v/>
      </c>
      <c r="W7" s="32">
        <f>IF(AND($L7=1,OR($F7="",$F7="Open"),ISNUMBER($G7),ISNUMBER(MATCH($B7,Summary!$G$28:$G$34,0))),IF(ISNUMBER(INDEX(Summary!$H$28:$H$34,MATCH($B7,Summary!$G$28:$G$34,0))),IF($G7&lt;&gt;INDEX(Summary!$H$28:$H$34,MATCH($B7,Summary!$G$28:$G$34,0)),1,0),0),0)</f>
        <v/>
      </c>
    </row>
    <row r="8" ht="70" customHeight="1">
      <c r="A8" s="27" t="inlineStr">
        <is>
          <t>C-03</t>
        </is>
      </c>
      <c r="B8" s="28" t="inlineStr">
        <is>
          <t>Build complete</t>
        </is>
      </c>
      <c r="C8" s="28" t="inlineStr">
        <is>
          <t>For each of 40 sample accounts, the new engine's invoice matches the old engine's</t>
        </is>
      </c>
      <c r="D8" s="28" t="inlineStr">
        <is>
          <t>40 of 40 match to the cent</t>
        </is>
      </c>
      <c r="E8" s="28" t="inlineStr">
        <is>
          <t>Rhys (Finance Operations Lead)</t>
        </is>
      </c>
      <c r="F8" s="27" t="inlineStr">
        <is>
          <t>Met</t>
        </is>
      </c>
      <c r="G8" s="29" t="n">
        <v>46339</v>
      </c>
      <c r="H8" s="30">
        <f>IF($L8=0,"",$M8)</f>
        <v/>
      </c>
      <c r="I8" s="31">
        <f>IF($N8=0,"",INDEX(Runs!$A$6:$A$105,$N8))</f>
        <v/>
      </c>
      <c r="J8" s="31">
        <f>IF($L8=0,"",IF($N8&gt;0,INDEX(Runs!$N$6:$N$105,$N8),IF(COUNTIFS(Runs!$B$6:$B$105,$A8,Runs!$N$6:$N$105,"Planned")&gt;0,"Planned","No run")))</f>
        <v/>
      </c>
      <c r="K8" s="19">
        <f>IF($L8=0,"",IF($O8+$P8+$Q8=0,"○ Clear",IF($O8=1,"△ No ID, or ID used twice",IF($P8=1,"△ Met with no passing run",IF($J8="Failed","△ Needed soon, failed, with no re-run booked","△ Needed soon, with no run booked")))&amp;IF($O8+$P8+$Q8&gt;1,", and "&amp;($O8+$P8+$Q8-1)&amp;" more",""))&amp;IF($R8=1,"  ◇ passed: the Owner can mark it Met","")&amp;IF($S8=1,"  ◇ a run is planned after Needed by","")&amp;IF($T8=1,"  ◇ no Needed by date","")&amp;IF($W8=1,"  ◇ Needed by isn't the gate map's Date",""))</f>
        <v/>
      </c>
      <c r="L8" s="32">
        <f>IF(COUNTA($A8:$G8)&gt;0,1,0)</f>
        <v/>
      </c>
      <c r="M8" s="32">
        <f>IF($L8=0,0,COUNTIF(Runs!$B$6:$B$105,$A8))</f>
        <v/>
      </c>
      <c r="N8" s="32">
        <f>IF($L8=0,0,IFERROR(MATCH($A8,Runs!$R$6:$R$105,0),0))</f>
        <v/>
      </c>
      <c r="O8" s="32">
        <f>IF($L8=0,0,IF(OR(TRIM($A8)="",COUNTIF($A$6:$A$105,$A8)&gt;1),1,0))</f>
        <v/>
      </c>
      <c r="P8" s="32">
        <f>IF($L8=0,0,IF(AND($F8="Met",$J8&lt;&gt;"Passed"),1,0))</f>
        <v/>
      </c>
      <c r="Q8" s="32">
        <f>IF(OR($L8=0,$F8="Met",$F8="Waived",NOT(ISNUMBER($G8))),0,IF(AND($G8&lt;=Summary!$B$12+N(Summary!$B$11),OR($U8=0,AND($J8="Failed",$V8=0))),1,0))</f>
        <v/>
      </c>
      <c r="R8" s="32">
        <f>IF(AND($L8=1,OR($F8="",$F8="Open"),$J8="Passed"),1,0)</f>
        <v/>
      </c>
      <c r="S8" s="32">
        <f>IF(AND($L8=1,ISNUMBER($G8)),IF(SUMPRODUCT((Runs!$B$6:$B$105=$A8)*(Runs!$N$6:$N$105="Planned")*(Runs!$C$6:$C$105&gt;$G8))&gt;0,1,0),0)</f>
        <v/>
      </c>
      <c r="T8" s="32">
        <f>IF(AND($L8=1,OR($F8="",$F8="Open"),NOT(ISNUMBER($G8))),1,0)</f>
        <v/>
      </c>
      <c r="U8" s="32">
        <f>IF($L8=0,0,$M8-COUNTIFS(Runs!$B$6:$B$105,$A8,Runs!$N$6:$N$105,"Not run"))</f>
        <v/>
      </c>
      <c r="V8" s="32">
        <f>IF($L8=0,0,COUNTIFS(Runs!$B$6:$B$105,$A8,Runs!$N$6:$N$105,"Planned"))</f>
        <v/>
      </c>
      <c r="W8" s="32">
        <f>IF(AND($L8=1,OR($F8="",$F8="Open"),ISNUMBER($G8),ISNUMBER(MATCH($B8,Summary!$G$28:$G$34,0))),IF(ISNUMBER(INDEX(Summary!$H$28:$H$34,MATCH($B8,Summary!$G$28:$G$34,0))),IF($G8&lt;&gt;INDEX(Summary!$H$28:$H$34,MATCH($B8,Summary!$G$28:$G$34,0)),1,0),0),0)</f>
        <v/>
      </c>
    </row>
    <row r="9" ht="70" customHeight="1">
      <c r="A9" s="27" t="inlineStr">
        <is>
          <t>C-04</t>
        </is>
      </c>
      <c r="B9" s="28" t="inlineStr">
        <is>
          <t>Build complete</t>
        </is>
      </c>
      <c r="C9" s="28" t="inlineStr">
        <is>
          <t>The new engine connects to the customer records Data Migration Wave 2 fills, with no invoice lost</t>
        </is>
      </c>
      <c r="D9" s="28" t="inlineStr">
        <is>
          <t>Counts match, with 0 invoices missing</t>
        </is>
      </c>
      <c r="E9" s="28" t="inlineStr">
        <is>
          <t>Rhys (Finance Operations Lead)</t>
        </is>
      </c>
      <c r="F9" s="27" t="inlineStr">
        <is>
          <t>Open</t>
        </is>
      </c>
      <c r="G9" s="29" t="n">
        <v>46339</v>
      </c>
      <c r="H9" s="30">
        <f>IF($L9=0,"",$M9)</f>
        <v/>
      </c>
      <c r="I9" s="31">
        <f>IF($N9=0,"",INDEX(Runs!$A$6:$A$105,$N9))</f>
        <v/>
      </c>
      <c r="J9" s="31">
        <f>IF($L9=0,"",IF($N9&gt;0,INDEX(Runs!$N$6:$N$105,$N9),IF(COUNTIFS(Runs!$B$6:$B$105,$A9,Runs!$N$6:$N$105,"Planned")&gt;0,"Planned","No run")))</f>
        <v/>
      </c>
      <c r="K9" s="19">
        <f>IF($L9=0,"",IF($O9+$P9+$Q9=0,"○ Clear",IF($O9=1,"△ No ID, or ID used twice",IF($P9=1,"△ Met with no passing run",IF($J9="Failed","△ Needed soon, failed, with no re-run booked","△ Needed soon, with no run booked")))&amp;IF($O9+$P9+$Q9&gt;1,", and "&amp;($O9+$P9+$Q9-1)&amp;" more",""))&amp;IF($R9=1,"  ◇ passed: the Owner can mark it Met","")&amp;IF($S9=1,"  ◇ a run is planned after Needed by","")&amp;IF($T9=1,"  ◇ no Needed by date","")&amp;IF($W9=1,"  ◇ Needed by isn't the gate map's Date",""))</f>
        <v/>
      </c>
      <c r="L9" s="32">
        <f>IF(COUNTA($A9:$G9)&gt;0,1,0)</f>
        <v/>
      </c>
      <c r="M9" s="32">
        <f>IF($L9=0,0,COUNTIF(Runs!$B$6:$B$105,$A9))</f>
        <v/>
      </c>
      <c r="N9" s="32">
        <f>IF($L9=0,0,IFERROR(MATCH($A9,Runs!$R$6:$R$105,0),0))</f>
        <v/>
      </c>
      <c r="O9" s="32">
        <f>IF($L9=0,0,IF(OR(TRIM($A9)="",COUNTIF($A$6:$A$105,$A9)&gt;1),1,0))</f>
        <v/>
      </c>
      <c r="P9" s="32">
        <f>IF($L9=0,0,IF(AND($F9="Met",$J9&lt;&gt;"Passed"),1,0))</f>
        <v/>
      </c>
      <c r="Q9" s="32">
        <f>IF(OR($L9=0,$F9="Met",$F9="Waived",NOT(ISNUMBER($G9))),0,IF(AND($G9&lt;=Summary!$B$12+N(Summary!$B$11),OR($U9=0,AND($J9="Failed",$V9=0))),1,0))</f>
        <v/>
      </c>
      <c r="R9" s="32">
        <f>IF(AND($L9=1,OR($F9="",$F9="Open"),$J9="Passed"),1,0)</f>
        <v/>
      </c>
      <c r="S9" s="32">
        <f>IF(AND($L9=1,ISNUMBER($G9)),IF(SUMPRODUCT((Runs!$B$6:$B$105=$A9)*(Runs!$N$6:$N$105="Planned")*(Runs!$C$6:$C$105&gt;$G9))&gt;0,1,0),0)</f>
        <v/>
      </c>
      <c r="T9" s="32">
        <f>IF(AND($L9=1,OR($F9="",$F9="Open"),NOT(ISNUMBER($G9))),1,0)</f>
        <v/>
      </c>
      <c r="U9" s="32">
        <f>IF($L9=0,0,$M9-COUNTIFS(Runs!$B$6:$B$105,$A9,Runs!$N$6:$N$105,"Not run"))</f>
        <v/>
      </c>
      <c r="V9" s="32">
        <f>IF($L9=0,0,COUNTIFS(Runs!$B$6:$B$105,$A9,Runs!$N$6:$N$105,"Planned"))</f>
        <v/>
      </c>
      <c r="W9" s="32">
        <f>IF(AND($L9=1,OR($F9="",$F9="Open"),ISNUMBER($G9),ISNUMBER(MATCH($B9,Summary!$G$28:$G$34,0))),IF(ISNUMBER(INDEX(Summary!$H$28:$H$34,MATCH($B9,Summary!$G$28:$G$34,0))),IF($G9&lt;&gt;INDEX(Summary!$H$28:$H$34,MATCH($B9,Summary!$G$28:$G$34,0)),1,0),0),0)</f>
        <v/>
      </c>
    </row>
    <row r="10" ht="57" customHeight="1">
      <c r="A10" s="27" t="inlineStr">
        <is>
          <t>C-05</t>
        </is>
      </c>
      <c r="B10" s="28" t="inlineStr">
        <is>
          <t>Build complete</t>
        </is>
      </c>
      <c r="C10" s="28" t="inlineStr">
        <is>
          <t>The month-end invoice run is fast enough</t>
        </is>
      </c>
      <c r="D10" s="28" t="inlineStr">
        <is>
          <t>Fast enough for month end</t>
        </is>
      </c>
      <c r="E10" s="28" t="inlineStr">
        <is>
          <t>Rhys (Finance Operations Lead)</t>
        </is>
      </c>
      <c r="F10" s="27" t="inlineStr">
        <is>
          <t>Open</t>
        </is>
      </c>
      <c r="G10" s="29" t="n">
        <v>46339</v>
      </c>
      <c r="H10" s="30">
        <f>IF($L10=0,"",$M10)</f>
        <v/>
      </c>
      <c r="I10" s="31">
        <f>IF($N10=0,"",INDEX(Runs!$A$6:$A$105,$N10))</f>
        <v/>
      </c>
      <c r="J10" s="31">
        <f>IF($L10=0,"",IF($N10&gt;0,INDEX(Runs!$N$6:$N$105,$N10),IF(COUNTIFS(Runs!$B$6:$B$105,$A10,Runs!$N$6:$N$105,"Planned")&gt;0,"Planned","No run")))</f>
        <v/>
      </c>
      <c r="K10" s="19">
        <f>IF($L10=0,"",IF($O10+$P10+$Q10=0,"○ Clear",IF($O10=1,"△ No ID, or ID used twice",IF($P10=1,"△ Met with no passing run",IF($J10="Failed","△ Needed soon, failed, with no re-run booked","△ Needed soon, with no run booked")))&amp;IF($O10+$P10+$Q10&gt;1,", and "&amp;($O10+$P10+$Q10-1)&amp;" more",""))&amp;IF($R10=1,"  ◇ passed: the Owner can mark it Met","")&amp;IF($S10=1,"  ◇ a run is planned after Needed by","")&amp;IF($T10=1,"  ◇ no Needed by date","")&amp;IF($W10=1,"  ◇ Needed by isn't the gate map's Date",""))</f>
        <v/>
      </c>
      <c r="L10" s="32">
        <f>IF(COUNTA($A10:$G10)&gt;0,1,0)</f>
        <v/>
      </c>
      <c r="M10" s="32">
        <f>IF($L10=0,0,COUNTIF(Runs!$B$6:$B$105,$A10))</f>
        <v/>
      </c>
      <c r="N10" s="32">
        <f>IF($L10=0,0,IFERROR(MATCH($A10,Runs!$R$6:$R$105,0),0))</f>
        <v/>
      </c>
      <c r="O10" s="32">
        <f>IF($L10=0,0,IF(OR(TRIM($A10)="",COUNTIF($A$6:$A$105,$A10)&gt;1),1,0))</f>
        <v/>
      </c>
      <c r="P10" s="32">
        <f>IF($L10=0,0,IF(AND($F10="Met",$J10&lt;&gt;"Passed"),1,0))</f>
        <v/>
      </c>
      <c r="Q10" s="32">
        <f>IF(OR($L10=0,$F10="Met",$F10="Waived",NOT(ISNUMBER($G10))),0,IF(AND($G10&lt;=Summary!$B$12+N(Summary!$B$11),OR($U10=0,AND($J10="Failed",$V10=0))),1,0))</f>
        <v/>
      </c>
      <c r="R10" s="32">
        <f>IF(AND($L10=1,OR($F10="",$F10="Open"),$J10="Passed"),1,0)</f>
        <v/>
      </c>
      <c r="S10" s="32">
        <f>IF(AND($L10=1,ISNUMBER($G10)),IF(SUMPRODUCT((Runs!$B$6:$B$105=$A10)*(Runs!$N$6:$N$105="Planned")*(Runs!$C$6:$C$105&gt;$G10))&gt;0,1,0),0)</f>
        <v/>
      </c>
      <c r="T10" s="32">
        <f>IF(AND($L10=1,OR($F10="",$F10="Open"),NOT(ISNUMBER($G10))),1,0)</f>
        <v/>
      </c>
      <c r="U10" s="32">
        <f>IF($L10=0,0,$M10-COUNTIFS(Runs!$B$6:$B$105,$A10,Runs!$N$6:$N$105,"Not run"))</f>
        <v/>
      </c>
      <c r="V10" s="32">
        <f>IF($L10=0,0,COUNTIFS(Runs!$B$6:$B$105,$A10,Runs!$N$6:$N$105,"Planned"))</f>
        <v/>
      </c>
      <c r="W10" s="32">
        <f>IF(AND($L10=1,OR($F10="",$F10="Open"),ISNUMBER($G10),ISNUMBER(MATCH($B10,Summary!$G$28:$G$34,0))),IF(ISNUMBER(INDEX(Summary!$H$28:$H$34,MATCH($B10,Summary!$G$28:$G$34,0))),IF($G10&lt;&gt;INDEX(Summary!$H$28:$H$34,MATCH($B10,Summary!$G$28:$G$34,0)),1,0),0),0)</f>
        <v/>
      </c>
    </row>
    <row r="11" ht="44" customHeight="1">
      <c r="A11" s="27" t="inlineStr">
        <is>
          <t>C-06</t>
        </is>
      </c>
      <c r="B11" s="28" t="inlineStr">
        <is>
          <t>Build complete</t>
        </is>
      </c>
      <c r="C11" s="28" t="inlineStr">
        <is>
          <t>Open defects at the gate are within the limit</t>
        </is>
      </c>
      <c r="D11" s="28" t="inlineStr">
        <is>
          <t>0 severity 1, 3 or fewer severity 2, 5 or fewer severity 3</t>
        </is>
      </c>
      <c r="E11" s="28" t="inlineStr">
        <is>
          <t>Noor (Support Lead)</t>
        </is>
      </c>
      <c r="F11" s="27" t="inlineStr">
        <is>
          <t>Open</t>
        </is>
      </c>
      <c r="G11" s="29" t="n">
        <v>46339</v>
      </c>
      <c r="H11" s="30">
        <f>IF($L11=0,"",$M11)</f>
        <v/>
      </c>
      <c r="I11" s="31">
        <f>IF($N11=0,"",INDEX(Runs!$A$6:$A$105,$N11))</f>
        <v/>
      </c>
      <c r="J11" s="31">
        <f>IF($L11=0,"",IF($N11&gt;0,INDEX(Runs!$N$6:$N$105,$N11),IF(COUNTIFS(Runs!$B$6:$B$105,$A11,Runs!$N$6:$N$105,"Planned")&gt;0,"Planned","No run")))</f>
        <v/>
      </c>
      <c r="K11" s="19">
        <f>IF($L11=0,"",IF($O11+$P11+$Q11=0,"○ Clear",IF($O11=1,"△ No ID, or ID used twice",IF($P11=1,"△ Met with no passing run",IF($J11="Failed","△ Needed soon, failed, with no re-run booked","△ Needed soon, with no run booked")))&amp;IF($O11+$P11+$Q11&gt;1,", and "&amp;($O11+$P11+$Q11-1)&amp;" more",""))&amp;IF($R11=1,"  ◇ passed: the Owner can mark it Met","")&amp;IF($S11=1,"  ◇ a run is planned after Needed by","")&amp;IF($T11=1,"  ◇ no Needed by date","")&amp;IF($W11=1,"  ◇ Needed by isn't the gate map's Date",""))</f>
        <v/>
      </c>
      <c r="L11" s="32">
        <f>IF(COUNTA($A11:$G11)&gt;0,1,0)</f>
        <v/>
      </c>
      <c r="M11" s="32">
        <f>IF($L11=0,0,COUNTIF(Runs!$B$6:$B$105,$A11))</f>
        <v/>
      </c>
      <c r="N11" s="32">
        <f>IF($L11=0,0,IFERROR(MATCH($A11,Runs!$R$6:$R$105,0),0))</f>
        <v/>
      </c>
      <c r="O11" s="32">
        <f>IF($L11=0,0,IF(OR(TRIM($A11)="",COUNTIF($A$6:$A$105,$A11)&gt;1),1,0))</f>
        <v/>
      </c>
      <c r="P11" s="32">
        <f>IF($L11=0,0,IF(AND($F11="Met",$J11&lt;&gt;"Passed"),1,0))</f>
        <v/>
      </c>
      <c r="Q11" s="32">
        <f>IF(OR($L11=0,$F11="Met",$F11="Waived",NOT(ISNUMBER($G11))),0,IF(AND($G11&lt;=Summary!$B$12+N(Summary!$B$11),OR($U11=0,AND($J11="Failed",$V11=0))),1,0))</f>
        <v/>
      </c>
      <c r="R11" s="32">
        <f>IF(AND($L11=1,OR($F11="",$F11="Open"),$J11="Passed"),1,0)</f>
        <v/>
      </c>
      <c r="S11" s="32">
        <f>IF(AND($L11=1,ISNUMBER($G11)),IF(SUMPRODUCT((Runs!$B$6:$B$105=$A11)*(Runs!$N$6:$N$105="Planned")*(Runs!$C$6:$C$105&gt;$G11))&gt;0,1,0),0)</f>
        <v/>
      </c>
      <c r="T11" s="32">
        <f>IF(AND($L11=1,OR($F11="",$F11="Open"),NOT(ISNUMBER($G11))),1,0)</f>
        <v/>
      </c>
      <c r="U11" s="32">
        <f>IF($L11=0,0,$M11-COUNTIFS(Runs!$B$6:$B$105,$A11,Runs!$N$6:$N$105,"Not run"))</f>
        <v/>
      </c>
      <c r="V11" s="32">
        <f>IF($L11=0,0,COUNTIFS(Runs!$B$6:$B$105,$A11,Runs!$N$6:$N$105,"Planned"))</f>
        <v/>
      </c>
      <c r="W11" s="32">
        <f>IF(AND($L11=1,OR($F11="",$F11="Open"),ISNUMBER($G11),ISNUMBER(MATCH($B11,Summary!$G$28:$G$34,0))),IF(ISNUMBER(INDEX(Summary!$H$28:$H$34,MATCH($B11,Summary!$G$28:$G$34,0))),IF($G11&lt;&gt;INDEX(Summary!$H$28:$H$34,MATCH($B11,Summary!$G$28:$G$34,0)),1,0),0),0)</f>
        <v/>
      </c>
    </row>
    <row r="12" ht="44" customHeight="1">
      <c r="A12" s="27" t="inlineStr">
        <is>
          <t>C-07</t>
        </is>
      </c>
      <c r="B12" s="28" t="inlineStr">
        <is>
          <t>Build complete</t>
        </is>
      </c>
      <c r="C12" s="28" t="inlineStr">
        <is>
          <t>All 12 invoice cases Finance listed pass on the new engine</t>
        </is>
      </c>
      <c r="D12" s="28" t="inlineStr">
        <is>
          <t>12 of 12 pass</t>
        </is>
      </c>
      <c r="E12" s="28" t="inlineStr">
        <is>
          <t>Anders (Engineering Manager)</t>
        </is>
      </c>
      <c r="F12" s="27" t="inlineStr">
        <is>
          <t>Met</t>
        </is>
      </c>
      <c r="G12" s="29" t="n">
        <v>46339</v>
      </c>
      <c r="H12" s="30">
        <f>IF($L12=0,"",$M12)</f>
        <v/>
      </c>
      <c r="I12" s="31">
        <f>IF($N12=0,"",INDEX(Runs!$A$6:$A$105,$N12))</f>
        <v/>
      </c>
      <c r="J12" s="31">
        <f>IF($L12=0,"",IF($N12&gt;0,INDEX(Runs!$N$6:$N$105,$N12),IF(COUNTIFS(Runs!$B$6:$B$105,$A12,Runs!$N$6:$N$105,"Planned")&gt;0,"Planned","No run")))</f>
        <v/>
      </c>
      <c r="K12" s="19">
        <f>IF($L12=0,"",IF($O12+$P12+$Q12=0,"○ Clear",IF($O12=1,"△ No ID, or ID used twice",IF($P12=1,"△ Met with no passing run",IF($J12="Failed","△ Needed soon, failed, with no re-run booked","△ Needed soon, with no run booked")))&amp;IF($O12+$P12+$Q12&gt;1,", and "&amp;($O12+$P12+$Q12-1)&amp;" more",""))&amp;IF($R12=1,"  ◇ passed: the Owner can mark it Met","")&amp;IF($S12=1,"  ◇ a run is planned after Needed by","")&amp;IF($T12=1,"  ◇ no Needed by date","")&amp;IF($W12=1,"  ◇ Needed by isn't the gate map's Date",""))</f>
        <v/>
      </c>
      <c r="L12" s="32">
        <f>IF(COUNTA($A12:$G12)&gt;0,1,0)</f>
        <v/>
      </c>
      <c r="M12" s="32">
        <f>IF($L12=0,0,COUNTIF(Runs!$B$6:$B$105,$A12))</f>
        <v/>
      </c>
      <c r="N12" s="32">
        <f>IF($L12=0,0,IFERROR(MATCH($A12,Runs!$R$6:$R$105,0),0))</f>
        <v/>
      </c>
      <c r="O12" s="32">
        <f>IF($L12=0,0,IF(OR(TRIM($A12)="",COUNTIF($A$6:$A$105,$A12)&gt;1),1,0))</f>
        <v/>
      </c>
      <c r="P12" s="32">
        <f>IF($L12=0,0,IF(AND($F12="Met",$J12&lt;&gt;"Passed"),1,0))</f>
        <v/>
      </c>
      <c r="Q12" s="32">
        <f>IF(OR($L12=0,$F12="Met",$F12="Waived",NOT(ISNUMBER($G12))),0,IF(AND($G12&lt;=Summary!$B$12+N(Summary!$B$11),OR($U12=0,AND($J12="Failed",$V12=0))),1,0))</f>
        <v/>
      </c>
      <c r="R12" s="32">
        <f>IF(AND($L12=1,OR($F12="",$F12="Open"),$J12="Passed"),1,0)</f>
        <v/>
      </c>
      <c r="S12" s="32">
        <f>IF(AND($L12=1,ISNUMBER($G12)),IF(SUMPRODUCT((Runs!$B$6:$B$105=$A12)*(Runs!$N$6:$N$105="Planned")*(Runs!$C$6:$C$105&gt;$G12))&gt;0,1,0),0)</f>
        <v/>
      </c>
      <c r="T12" s="32">
        <f>IF(AND($L12=1,OR($F12="",$F12="Open"),NOT(ISNUMBER($G12))),1,0)</f>
        <v/>
      </c>
      <c r="U12" s="32">
        <f>IF($L12=0,0,$M12-COUNTIFS(Runs!$B$6:$B$105,$A12,Runs!$N$6:$N$105,"Not run"))</f>
        <v/>
      </c>
      <c r="V12" s="32">
        <f>IF($L12=0,0,COUNTIFS(Runs!$B$6:$B$105,$A12,Runs!$N$6:$N$105,"Planned"))</f>
        <v/>
      </c>
      <c r="W12" s="32">
        <f>IF(AND($L12=1,OR($F12="",$F12="Open"),ISNUMBER($G12),ISNUMBER(MATCH($B12,Summary!$G$28:$G$34,0))),IF(ISNUMBER(INDEX(Summary!$H$28:$H$34,MATCH($B12,Summary!$G$28:$G$34,0))),IF($G12&lt;&gt;INDEX(Summary!$H$28:$H$34,MATCH($B12,Summary!$G$28:$G$34,0)),1,0),0),0)</f>
        <v/>
      </c>
    </row>
    <row r="13" ht="57" customHeight="1">
      <c r="A13" s="27" t="inlineStr">
        <is>
          <t>C-12</t>
        </is>
      </c>
      <c r="B13" s="28" t="inlineStr">
        <is>
          <t>Go/no-go</t>
        </is>
      </c>
      <c r="C13" s="28" t="inlineStr">
        <is>
          <t>Credit notes and refunds from the new engine match Finance's figures</t>
        </is>
      </c>
      <c r="D13" s="28" t="inlineStr">
        <is>
          <t>10 of 10 match to the cent</t>
        </is>
      </c>
      <c r="E13" s="28" t="inlineStr">
        <is>
          <t>Rhys (Finance Operations Lead)</t>
        </is>
      </c>
      <c r="F13" s="27" t="inlineStr">
        <is>
          <t>Open</t>
        </is>
      </c>
      <c r="G13" s="29" t="n">
        <v>46359</v>
      </c>
      <c r="H13" s="30">
        <f>IF($L13=0,"",$M13)</f>
        <v/>
      </c>
      <c r="I13" s="31">
        <f>IF($N13=0,"",INDEX(Runs!$A$6:$A$105,$N13))</f>
        <v/>
      </c>
      <c r="J13" s="31">
        <f>IF($L13=0,"",IF($N13&gt;0,INDEX(Runs!$N$6:$N$105,$N13),IF(COUNTIFS(Runs!$B$6:$B$105,$A13,Runs!$N$6:$N$105,"Planned")&gt;0,"Planned","No run")))</f>
        <v/>
      </c>
      <c r="K13" s="19">
        <f>IF($L13=0,"",IF($O13+$P13+$Q13=0,"○ Clear",IF($O13=1,"△ No ID, or ID used twice",IF($P13=1,"△ Met with no passing run",IF($J13="Failed","△ Needed soon, failed, with no re-run booked","△ Needed soon, with no run booked")))&amp;IF($O13+$P13+$Q13&gt;1,", and "&amp;($O13+$P13+$Q13-1)&amp;" more",""))&amp;IF($R13=1,"  ◇ passed: the Owner can mark it Met","")&amp;IF($S13=1,"  ◇ a run is planned after Needed by","")&amp;IF($T13=1,"  ◇ no Needed by date","")&amp;IF($W13=1,"  ◇ Needed by isn't the gate map's Date",""))</f>
        <v/>
      </c>
      <c r="L13" s="32">
        <f>IF(COUNTA($A13:$G13)&gt;0,1,0)</f>
        <v/>
      </c>
      <c r="M13" s="32">
        <f>IF($L13=0,0,COUNTIF(Runs!$B$6:$B$105,$A13))</f>
        <v/>
      </c>
      <c r="N13" s="32">
        <f>IF($L13=0,0,IFERROR(MATCH($A13,Runs!$R$6:$R$105,0),0))</f>
        <v/>
      </c>
      <c r="O13" s="32">
        <f>IF($L13=0,0,IF(OR(TRIM($A13)="",COUNTIF($A$6:$A$105,$A13)&gt;1),1,0))</f>
        <v/>
      </c>
      <c r="P13" s="32">
        <f>IF($L13=0,0,IF(AND($F13="Met",$J13&lt;&gt;"Passed"),1,0))</f>
        <v/>
      </c>
      <c r="Q13" s="32">
        <f>IF(OR($L13=0,$F13="Met",$F13="Waived",NOT(ISNUMBER($G13))),0,IF(AND($G13&lt;=Summary!$B$12+N(Summary!$B$11),OR($U13=0,AND($J13="Failed",$V13=0))),1,0))</f>
        <v/>
      </c>
      <c r="R13" s="32">
        <f>IF(AND($L13=1,OR($F13="",$F13="Open"),$J13="Passed"),1,0)</f>
        <v/>
      </c>
      <c r="S13" s="32">
        <f>IF(AND($L13=1,ISNUMBER($G13)),IF(SUMPRODUCT((Runs!$B$6:$B$105=$A13)*(Runs!$N$6:$N$105="Planned")*(Runs!$C$6:$C$105&gt;$G13))&gt;0,1,0),0)</f>
        <v/>
      </c>
      <c r="T13" s="32">
        <f>IF(AND($L13=1,OR($F13="",$F13="Open"),NOT(ISNUMBER($G13))),1,0)</f>
        <v/>
      </c>
      <c r="U13" s="32">
        <f>IF($L13=0,0,$M13-COUNTIFS(Runs!$B$6:$B$105,$A13,Runs!$N$6:$N$105,"Not run"))</f>
        <v/>
      </c>
      <c r="V13" s="32">
        <f>IF($L13=0,0,COUNTIFS(Runs!$B$6:$B$105,$A13,Runs!$N$6:$N$105,"Planned"))</f>
        <v/>
      </c>
      <c r="W13" s="32">
        <f>IF(AND($L13=1,OR($F13="",$F13="Open"),ISNUMBER($G13),ISNUMBER(MATCH($B13,Summary!$G$28:$G$34,0))),IF(ISNUMBER(INDEX(Summary!$H$28:$H$34,MATCH($B13,Summary!$G$28:$G$34,0))),IF($G13&lt;&gt;INDEX(Summary!$H$28:$H$34,MATCH($B13,Summary!$G$28:$G$34,0)),1,0),0),0)</f>
        <v/>
      </c>
    </row>
    <row r="14" ht="44" customHeight="1">
      <c r="A14" s="27" t="inlineStr">
        <is>
          <t>C-08</t>
        </is>
      </c>
      <c r="B14" s="28" t="inlineStr">
        <is>
          <t>Go/no-go</t>
        </is>
      </c>
      <c r="C14" s="28" t="inlineStr">
        <is>
          <t>Billing can be rolled back to the old engine after cutover</t>
        </is>
      </c>
      <c r="D14" s="28" t="inlineStr">
        <is>
          <t>Rollback finishes in 4 hours or less</t>
        </is>
      </c>
      <c r="E14" s="28" t="inlineStr">
        <is>
          <t>Priya (CTO)</t>
        </is>
      </c>
      <c r="F14" s="27" t="inlineStr">
        <is>
          <t>Open</t>
        </is>
      </c>
      <c r="G14" s="29" t="n">
        <v>46359</v>
      </c>
      <c r="H14" s="30">
        <f>IF($L14=0,"",$M14)</f>
        <v/>
      </c>
      <c r="I14" s="31">
        <f>IF($N14=0,"",INDEX(Runs!$A$6:$A$105,$N14))</f>
        <v/>
      </c>
      <c r="J14" s="31">
        <f>IF($L14=0,"",IF($N14&gt;0,INDEX(Runs!$N$6:$N$105,$N14),IF(COUNTIFS(Runs!$B$6:$B$105,$A14,Runs!$N$6:$N$105,"Planned")&gt;0,"Planned","No run")))</f>
        <v/>
      </c>
      <c r="K14" s="19">
        <f>IF($L14=0,"",IF($O14+$P14+$Q14=0,"○ Clear",IF($O14=1,"△ No ID, or ID used twice",IF($P14=1,"△ Met with no passing run",IF($J14="Failed","△ Needed soon, failed, with no re-run booked","△ Needed soon, with no run booked")))&amp;IF($O14+$P14+$Q14&gt;1,", and "&amp;($O14+$P14+$Q14-1)&amp;" more",""))&amp;IF($R14=1,"  ◇ passed: the Owner can mark it Met","")&amp;IF($S14=1,"  ◇ a run is planned after Needed by","")&amp;IF($T14=1,"  ◇ no Needed by date","")&amp;IF($W14=1,"  ◇ Needed by isn't the gate map's Date",""))</f>
        <v/>
      </c>
      <c r="L14" s="32">
        <f>IF(COUNTA($A14:$G14)&gt;0,1,0)</f>
        <v/>
      </c>
      <c r="M14" s="32">
        <f>IF($L14=0,0,COUNTIF(Runs!$B$6:$B$105,$A14))</f>
        <v/>
      </c>
      <c r="N14" s="32">
        <f>IF($L14=0,0,IFERROR(MATCH($A14,Runs!$R$6:$R$105,0),0))</f>
        <v/>
      </c>
      <c r="O14" s="32">
        <f>IF($L14=0,0,IF(OR(TRIM($A14)="",COUNTIF($A$6:$A$105,$A14)&gt;1),1,0))</f>
        <v/>
      </c>
      <c r="P14" s="32">
        <f>IF($L14=0,0,IF(AND($F14="Met",$J14&lt;&gt;"Passed"),1,0))</f>
        <v/>
      </c>
      <c r="Q14" s="32">
        <f>IF(OR($L14=0,$F14="Met",$F14="Waived",NOT(ISNUMBER($G14))),0,IF(AND($G14&lt;=Summary!$B$12+N(Summary!$B$11),OR($U14=0,AND($J14="Failed",$V14=0))),1,0))</f>
        <v/>
      </c>
      <c r="R14" s="32">
        <f>IF(AND($L14=1,OR($F14="",$F14="Open"),$J14="Passed"),1,0)</f>
        <v/>
      </c>
      <c r="S14" s="32">
        <f>IF(AND($L14=1,ISNUMBER($G14)),IF(SUMPRODUCT((Runs!$B$6:$B$105=$A14)*(Runs!$N$6:$N$105="Planned")*(Runs!$C$6:$C$105&gt;$G14))&gt;0,1,0),0)</f>
        <v/>
      </c>
      <c r="T14" s="32">
        <f>IF(AND($L14=1,OR($F14="",$F14="Open"),NOT(ISNUMBER($G14))),1,0)</f>
        <v/>
      </c>
      <c r="U14" s="32">
        <f>IF($L14=0,0,$M14-COUNTIFS(Runs!$B$6:$B$105,$A14,Runs!$N$6:$N$105,"Not run"))</f>
        <v/>
      </c>
      <c r="V14" s="32">
        <f>IF($L14=0,0,COUNTIFS(Runs!$B$6:$B$105,$A14,Runs!$N$6:$N$105,"Planned"))</f>
        <v/>
      </c>
      <c r="W14" s="32">
        <f>IF(AND($L14=1,OR($F14="",$F14="Open"),ISNUMBER($G14),ISNUMBER(MATCH($B14,Summary!$G$28:$G$34,0))),IF(ISNUMBER(INDEX(Summary!$H$28:$H$34,MATCH($B14,Summary!$G$28:$G$34,0))),IF($G14&lt;&gt;INDEX(Summary!$H$28:$H$34,MATCH($B14,Summary!$G$28:$G$34,0)),1,0),0),0)</f>
        <v/>
      </c>
    </row>
    <row r="15" ht="44" customHeight="1">
      <c r="A15" s="27" t="inlineStr">
        <is>
          <t>C-09</t>
        </is>
      </c>
      <c r="B15" s="28" t="inlineStr">
        <is>
          <t>Handover accepted</t>
        </is>
      </c>
      <c r="C15" s="28" t="inlineStr">
        <is>
          <t>Every invoice in the first live run matches the finance ledger</t>
        </is>
      </c>
      <c r="D15" s="28" t="inlineStr">
        <is>
          <t>Totals match to the cent, with 0 unexplained differences</t>
        </is>
      </c>
      <c r="E15" s="28" t="inlineStr">
        <is>
          <t>Rhys (Finance Operations Lead)</t>
        </is>
      </c>
      <c r="F15" s="27" t="inlineStr">
        <is>
          <t>Open</t>
        </is>
      </c>
      <c r="G15" s="29" t="n">
        <v>46535</v>
      </c>
      <c r="H15" s="30">
        <f>IF($L15=0,"",$M15)</f>
        <v/>
      </c>
      <c r="I15" s="31">
        <f>IF($N15=0,"",INDEX(Runs!$A$6:$A$105,$N15))</f>
        <v/>
      </c>
      <c r="J15" s="31">
        <f>IF($L15=0,"",IF($N15&gt;0,INDEX(Runs!$N$6:$N$105,$N15),IF(COUNTIFS(Runs!$B$6:$B$105,$A15,Runs!$N$6:$N$105,"Planned")&gt;0,"Planned","No run")))</f>
        <v/>
      </c>
      <c r="K15" s="19">
        <f>IF($L15=0,"",IF($O15+$P15+$Q15=0,"○ Clear",IF($O15=1,"△ No ID, or ID used twice",IF($P15=1,"△ Met with no passing run",IF($J15="Failed","△ Needed soon, failed, with no re-run booked","△ Needed soon, with no run booked")))&amp;IF($O15+$P15+$Q15&gt;1,", and "&amp;($O15+$P15+$Q15-1)&amp;" more",""))&amp;IF($R15=1,"  ◇ passed: the Owner can mark it Met","")&amp;IF($S15=1,"  ◇ a run is planned after Needed by","")&amp;IF($T15=1,"  ◇ no Needed by date","")&amp;IF($W15=1,"  ◇ Needed by isn't the gate map's Date",""))</f>
        <v/>
      </c>
      <c r="L15" s="32">
        <f>IF(COUNTA($A15:$G15)&gt;0,1,0)</f>
        <v/>
      </c>
      <c r="M15" s="32">
        <f>IF($L15=0,0,COUNTIF(Runs!$B$6:$B$105,$A15))</f>
        <v/>
      </c>
      <c r="N15" s="32">
        <f>IF($L15=0,0,IFERROR(MATCH($A15,Runs!$R$6:$R$105,0),0))</f>
        <v/>
      </c>
      <c r="O15" s="32">
        <f>IF($L15=0,0,IF(OR(TRIM($A15)="",COUNTIF($A$6:$A$105,$A15)&gt;1),1,0))</f>
        <v/>
      </c>
      <c r="P15" s="32">
        <f>IF($L15=0,0,IF(AND($F15="Met",$J15&lt;&gt;"Passed"),1,0))</f>
        <v/>
      </c>
      <c r="Q15" s="32">
        <f>IF(OR($L15=0,$F15="Met",$F15="Waived",NOT(ISNUMBER($G15))),0,IF(AND($G15&lt;=Summary!$B$12+N(Summary!$B$11),OR($U15=0,AND($J15="Failed",$V15=0))),1,0))</f>
        <v/>
      </c>
      <c r="R15" s="32">
        <f>IF(AND($L15=1,OR($F15="",$F15="Open"),$J15="Passed"),1,0)</f>
        <v/>
      </c>
      <c r="S15" s="32">
        <f>IF(AND($L15=1,ISNUMBER($G15)),IF(SUMPRODUCT((Runs!$B$6:$B$105=$A15)*(Runs!$N$6:$N$105="Planned")*(Runs!$C$6:$C$105&gt;$G15))&gt;0,1,0),0)</f>
        <v/>
      </c>
      <c r="T15" s="32">
        <f>IF(AND($L15=1,OR($F15="",$F15="Open"),NOT(ISNUMBER($G15))),1,0)</f>
        <v/>
      </c>
      <c r="U15" s="32">
        <f>IF($L15=0,0,$M15-COUNTIFS(Runs!$B$6:$B$105,$A15,Runs!$N$6:$N$105,"Not run"))</f>
        <v/>
      </c>
      <c r="V15" s="32">
        <f>IF($L15=0,0,COUNTIFS(Runs!$B$6:$B$105,$A15,Runs!$N$6:$N$105,"Planned"))</f>
        <v/>
      </c>
      <c r="W15" s="32">
        <f>IF(AND($L15=1,OR($F15="",$F15="Open"),ISNUMBER($G15),ISNUMBER(MATCH($B15,Summary!$G$28:$G$34,0))),IF(ISNUMBER(INDEX(Summary!$H$28:$H$34,MATCH($B15,Summary!$G$28:$G$34,0))),IF($G15&lt;&gt;INDEX(Summary!$H$28:$H$34,MATCH($B15,Summary!$G$28:$G$34,0)),1,0),0),0)</f>
        <v/>
      </c>
    </row>
    <row r="16" ht="44" customHeight="1">
      <c r="A16" s="27" t="inlineStr">
        <is>
          <t>C-10</t>
        </is>
      </c>
      <c r="B16" s="28" t="inlineStr">
        <is>
          <t>Go/no-go</t>
        </is>
      </c>
      <c r="C16" s="28" t="inlineStr">
        <is>
          <t>Support can answer billing questions from the runbook alone</t>
        </is>
      </c>
      <c r="D16" s="28" t="inlineStr">
        <is>
          <t>10 of 10 answered without escalation</t>
        </is>
      </c>
      <c r="E16" s="28" t="inlineStr">
        <is>
          <t>Noor (Support Lead)</t>
        </is>
      </c>
      <c r="F16" s="27" t="inlineStr">
        <is>
          <t>Open</t>
        </is>
      </c>
      <c r="G16" s="29" t="n">
        <v>46359</v>
      </c>
      <c r="H16" s="30">
        <f>IF($L16=0,"",$M16)</f>
        <v/>
      </c>
      <c r="I16" s="31">
        <f>IF($N16=0,"",INDEX(Runs!$A$6:$A$105,$N16))</f>
        <v/>
      </c>
      <c r="J16" s="31">
        <f>IF($L16=0,"",IF($N16&gt;0,INDEX(Runs!$N$6:$N$105,$N16),IF(COUNTIFS(Runs!$B$6:$B$105,$A16,Runs!$N$6:$N$105,"Planned")&gt;0,"Planned","No run")))</f>
        <v/>
      </c>
      <c r="K16" s="19">
        <f>IF($L16=0,"",IF($O16+$P16+$Q16=0,"○ Clear",IF($O16=1,"△ No ID, or ID used twice",IF($P16=1,"△ Met with no passing run",IF($J16="Failed","△ Needed soon, failed, with no re-run booked","△ Needed soon, with no run booked")))&amp;IF($O16+$P16+$Q16&gt;1,", and "&amp;($O16+$P16+$Q16-1)&amp;" more",""))&amp;IF($R16=1,"  ◇ passed: the Owner can mark it Met","")&amp;IF($S16=1,"  ◇ a run is planned after Needed by","")&amp;IF($T16=1,"  ◇ no Needed by date","")&amp;IF($W16=1,"  ◇ Needed by isn't the gate map's Date",""))</f>
        <v/>
      </c>
      <c r="L16" s="32">
        <f>IF(COUNTA($A16:$G16)&gt;0,1,0)</f>
        <v/>
      </c>
      <c r="M16" s="32">
        <f>IF($L16=0,0,COUNTIF(Runs!$B$6:$B$105,$A16))</f>
        <v/>
      </c>
      <c r="N16" s="32">
        <f>IF($L16=0,0,IFERROR(MATCH($A16,Runs!$R$6:$R$105,0),0))</f>
        <v/>
      </c>
      <c r="O16" s="32">
        <f>IF($L16=0,0,IF(OR(TRIM($A16)="",COUNTIF($A$6:$A$105,$A16)&gt;1),1,0))</f>
        <v/>
      </c>
      <c r="P16" s="32">
        <f>IF($L16=0,0,IF(AND($F16="Met",$J16&lt;&gt;"Passed"),1,0))</f>
        <v/>
      </c>
      <c r="Q16" s="32">
        <f>IF(OR($L16=0,$F16="Met",$F16="Waived",NOT(ISNUMBER($G16))),0,IF(AND($G16&lt;=Summary!$B$12+N(Summary!$B$11),OR($U16=0,AND($J16="Failed",$V16=0))),1,0))</f>
        <v/>
      </c>
      <c r="R16" s="32">
        <f>IF(AND($L16=1,OR($F16="",$F16="Open"),$J16="Passed"),1,0)</f>
        <v/>
      </c>
      <c r="S16" s="32">
        <f>IF(AND($L16=1,ISNUMBER($G16)),IF(SUMPRODUCT((Runs!$B$6:$B$105=$A16)*(Runs!$N$6:$N$105="Planned")*(Runs!$C$6:$C$105&gt;$G16))&gt;0,1,0),0)</f>
        <v/>
      </c>
      <c r="T16" s="32">
        <f>IF(AND($L16=1,OR($F16="",$F16="Open"),NOT(ISNUMBER($G16))),1,0)</f>
        <v/>
      </c>
      <c r="U16" s="32">
        <f>IF($L16=0,0,$M16-COUNTIFS(Runs!$B$6:$B$105,$A16,Runs!$N$6:$N$105,"Not run"))</f>
        <v/>
      </c>
      <c r="V16" s="32">
        <f>IF($L16=0,0,COUNTIFS(Runs!$B$6:$B$105,$A16,Runs!$N$6:$N$105,"Planned"))</f>
        <v/>
      </c>
      <c r="W16" s="32">
        <f>IF(AND($L16=1,OR($F16="",$F16="Open"),ISNUMBER($G16),ISNUMBER(MATCH($B16,Summary!$G$28:$G$34,0))),IF(ISNUMBER(INDEX(Summary!$H$28:$H$34,MATCH($B16,Summary!$G$28:$G$34,0))),IF($G16&lt;&gt;INDEX(Summary!$H$28:$H$34,MATCH($B16,Summary!$G$28:$G$34,0)),1,0),0),0)</f>
        <v/>
      </c>
    </row>
    <row r="17" ht="44" customHeight="1">
      <c r="A17" s="27" t="inlineStr">
        <is>
          <t>C-11</t>
        </is>
      </c>
      <c r="B17" s="28" t="inlineStr">
        <is>
          <t>Go-live</t>
        </is>
      </c>
      <c r="C17" s="28" t="inlineStr">
        <is>
          <t>Finance Operations runs a month-end invoice run on the new engine alone</t>
        </is>
      </c>
      <c r="D17" s="28" t="inlineStr">
        <is>
          <t>The run finishes with no engineering help</t>
        </is>
      </c>
      <c r="E17" s="28" t="inlineStr">
        <is>
          <t>Rhys (Finance Operations Lead)</t>
        </is>
      </c>
      <c r="F17" s="27" t="inlineStr">
        <is>
          <t>Open</t>
        </is>
      </c>
      <c r="G17" s="29" t="n"/>
      <c r="H17" s="30">
        <f>IF($L17=0,"",$M17)</f>
        <v/>
      </c>
      <c r="I17" s="31">
        <f>IF($N17=0,"",INDEX(Runs!$A$6:$A$105,$N17))</f>
        <v/>
      </c>
      <c r="J17" s="31">
        <f>IF($L17=0,"",IF($N17&gt;0,INDEX(Runs!$N$6:$N$105,$N17),IF(COUNTIFS(Runs!$B$6:$B$105,$A17,Runs!$N$6:$N$105,"Planned")&gt;0,"Planned","No run")))</f>
        <v/>
      </c>
      <c r="K17" s="19">
        <f>IF($L17=0,"",IF($O17+$P17+$Q17=0,"○ Clear",IF($O17=1,"△ No ID, or ID used twice",IF($P17=1,"△ Met with no passing run",IF($J17="Failed","△ Needed soon, failed, with no re-run booked","△ Needed soon, with no run booked")))&amp;IF($O17+$P17+$Q17&gt;1,", and "&amp;($O17+$P17+$Q17-1)&amp;" more",""))&amp;IF($R17=1,"  ◇ passed: the Owner can mark it Met","")&amp;IF($S17=1,"  ◇ a run is planned after Needed by","")&amp;IF($T17=1,"  ◇ no Needed by date","")&amp;IF($W17=1,"  ◇ Needed by isn't the gate map's Date",""))</f>
        <v/>
      </c>
      <c r="L17" s="32">
        <f>IF(COUNTA($A17:$G17)&gt;0,1,0)</f>
        <v/>
      </c>
      <c r="M17" s="32">
        <f>IF($L17=0,0,COUNTIF(Runs!$B$6:$B$105,$A17))</f>
        <v/>
      </c>
      <c r="N17" s="32">
        <f>IF($L17=0,0,IFERROR(MATCH($A17,Runs!$R$6:$R$105,0),0))</f>
        <v/>
      </c>
      <c r="O17" s="32">
        <f>IF($L17=0,0,IF(OR(TRIM($A17)="",COUNTIF($A$6:$A$105,$A17)&gt;1),1,0))</f>
        <v/>
      </c>
      <c r="P17" s="32">
        <f>IF($L17=0,0,IF(AND($F17="Met",$J17&lt;&gt;"Passed"),1,0))</f>
        <v/>
      </c>
      <c r="Q17" s="32">
        <f>IF(OR($L17=0,$F17="Met",$F17="Waived",NOT(ISNUMBER($G17))),0,IF(AND($G17&lt;=Summary!$B$12+N(Summary!$B$11),OR($U17=0,AND($J17="Failed",$V17=0))),1,0))</f>
        <v/>
      </c>
      <c r="R17" s="32">
        <f>IF(AND($L17=1,OR($F17="",$F17="Open"),$J17="Passed"),1,0)</f>
        <v/>
      </c>
      <c r="S17" s="32">
        <f>IF(AND($L17=1,ISNUMBER($G17)),IF(SUMPRODUCT((Runs!$B$6:$B$105=$A17)*(Runs!$N$6:$N$105="Planned")*(Runs!$C$6:$C$105&gt;$G17))&gt;0,1,0),0)</f>
        <v/>
      </c>
      <c r="T17" s="32">
        <f>IF(AND($L17=1,OR($F17="",$F17="Open"),NOT(ISNUMBER($G17))),1,0)</f>
        <v/>
      </c>
      <c r="U17" s="32">
        <f>IF($L17=0,0,$M17-COUNTIFS(Runs!$B$6:$B$105,$A17,Runs!$N$6:$N$105,"Not run"))</f>
        <v/>
      </c>
      <c r="V17" s="32">
        <f>IF($L17=0,0,COUNTIFS(Runs!$B$6:$B$105,$A17,Runs!$N$6:$N$105,"Planned"))</f>
        <v/>
      </c>
      <c r="W17" s="32">
        <f>IF(AND($L17=1,OR($F17="",$F17="Open"),ISNUMBER($G17),ISNUMBER(MATCH($B17,Summary!$G$28:$G$34,0))),IF(ISNUMBER(INDEX(Summary!$H$28:$H$34,MATCH($B17,Summary!$G$28:$G$34,0))),IF($G17&lt;&gt;INDEX(Summary!$H$28:$H$34,MATCH($B17,Summary!$G$28:$G$34,0)),1,0),0),0)</f>
        <v/>
      </c>
    </row>
    <row r="18">
      <c r="A18" s="27" t="n"/>
      <c r="B18" s="28" t="n"/>
      <c r="C18" s="28" t="n"/>
      <c r="D18" s="28" t="n"/>
      <c r="E18" s="28" t="n"/>
      <c r="F18" s="27" t="n"/>
      <c r="G18" s="29" t="n"/>
      <c r="H18" s="30">
        <f>IF($L18=0,"",$M18)</f>
        <v/>
      </c>
      <c r="I18" s="31">
        <f>IF($N18=0,"",INDEX(Runs!$A$6:$A$105,$N18))</f>
        <v/>
      </c>
      <c r="J18" s="31">
        <f>IF($L18=0,"",IF($N18&gt;0,INDEX(Runs!$N$6:$N$105,$N18),IF(COUNTIFS(Runs!$B$6:$B$105,$A18,Runs!$N$6:$N$105,"Planned")&gt;0,"Planned","No run")))</f>
        <v/>
      </c>
      <c r="K18" s="19">
        <f>IF($L18=0,"",IF($O18+$P18+$Q18=0,"○ Clear",IF($O18=1,"△ No ID, or ID used twice",IF($P18=1,"△ Met with no passing run",IF($J18="Failed","△ Needed soon, failed, with no re-run booked","△ Needed soon, with no run booked")))&amp;IF($O18+$P18+$Q18&gt;1,", and "&amp;($O18+$P18+$Q18-1)&amp;" more",""))&amp;IF($R18=1,"  ◇ passed: the Owner can mark it Met","")&amp;IF($S18=1,"  ◇ a run is planned after Needed by","")&amp;IF($T18=1,"  ◇ no Needed by date","")&amp;IF($W18=1,"  ◇ Needed by isn't the gate map's Date",""))</f>
        <v/>
      </c>
      <c r="L18" s="32">
        <f>IF(COUNTA($A18:$G18)&gt;0,1,0)</f>
        <v/>
      </c>
      <c r="M18" s="32">
        <f>IF($L18=0,0,COUNTIF(Runs!$B$6:$B$105,$A18))</f>
        <v/>
      </c>
      <c r="N18" s="32">
        <f>IF($L18=0,0,IFERROR(MATCH($A18,Runs!$R$6:$R$105,0),0))</f>
        <v/>
      </c>
      <c r="O18" s="32">
        <f>IF($L18=0,0,IF(OR(TRIM($A18)="",COUNTIF($A$6:$A$105,$A18)&gt;1),1,0))</f>
        <v/>
      </c>
      <c r="P18" s="32">
        <f>IF($L18=0,0,IF(AND($F18="Met",$J18&lt;&gt;"Passed"),1,0))</f>
        <v/>
      </c>
      <c r="Q18" s="32">
        <f>IF(OR($L18=0,$F18="Met",$F18="Waived",NOT(ISNUMBER($G18))),0,IF(AND($G18&lt;=Summary!$B$12+N(Summary!$B$11),OR($U18=0,AND($J18="Failed",$V18=0))),1,0))</f>
        <v/>
      </c>
      <c r="R18" s="32">
        <f>IF(AND($L18=1,OR($F18="",$F18="Open"),$J18="Passed"),1,0)</f>
        <v/>
      </c>
      <c r="S18" s="32">
        <f>IF(AND($L18=1,ISNUMBER($G18)),IF(SUMPRODUCT((Runs!$B$6:$B$105=$A18)*(Runs!$N$6:$N$105="Planned")*(Runs!$C$6:$C$105&gt;$G18))&gt;0,1,0),0)</f>
        <v/>
      </c>
      <c r="T18" s="32">
        <f>IF(AND($L18=1,OR($F18="",$F18="Open"),NOT(ISNUMBER($G18))),1,0)</f>
        <v/>
      </c>
      <c r="U18" s="32">
        <f>IF($L18=0,0,$M18-COUNTIFS(Runs!$B$6:$B$105,$A18,Runs!$N$6:$N$105,"Not run"))</f>
        <v/>
      </c>
      <c r="V18" s="32">
        <f>IF($L18=0,0,COUNTIFS(Runs!$B$6:$B$105,$A18,Runs!$N$6:$N$105,"Planned"))</f>
        <v/>
      </c>
      <c r="W18" s="32">
        <f>IF(AND($L18=1,OR($F18="",$F18="Open"),ISNUMBER($G18),ISNUMBER(MATCH($B18,Summary!$G$28:$G$34,0))),IF(ISNUMBER(INDEX(Summary!$H$28:$H$34,MATCH($B18,Summary!$G$28:$G$34,0))),IF($G18&lt;&gt;INDEX(Summary!$H$28:$H$34,MATCH($B18,Summary!$G$28:$G$34,0)),1,0),0),0)</f>
        <v/>
      </c>
    </row>
    <row r="19">
      <c r="A19" s="27" t="n"/>
      <c r="B19" s="28" t="n"/>
      <c r="C19" s="28" t="n"/>
      <c r="D19" s="28" t="n"/>
      <c r="E19" s="28" t="n"/>
      <c r="F19" s="27" t="n"/>
      <c r="G19" s="29" t="n"/>
      <c r="H19" s="30">
        <f>IF($L19=0,"",$M19)</f>
        <v/>
      </c>
      <c r="I19" s="31">
        <f>IF($N19=0,"",INDEX(Runs!$A$6:$A$105,$N19))</f>
        <v/>
      </c>
      <c r="J19" s="31">
        <f>IF($L19=0,"",IF($N19&gt;0,INDEX(Runs!$N$6:$N$105,$N19),IF(COUNTIFS(Runs!$B$6:$B$105,$A19,Runs!$N$6:$N$105,"Planned")&gt;0,"Planned","No run")))</f>
        <v/>
      </c>
      <c r="K19" s="19">
        <f>IF($L19=0,"",IF($O19+$P19+$Q19=0,"○ Clear",IF($O19=1,"△ No ID, or ID used twice",IF($P19=1,"△ Met with no passing run",IF($J19="Failed","△ Needed soon, failed, with no re-run booked","△ Needed soon, with no run booked")))&amp;IF($O19+$P19+$Q19&gt;1,", and "&amp;($O19+$P19+$Q19-1)&amp;" more",""))&amp;IF($R19=1,"  ◇ passed: the Owner can mark it Met","")&amp;IF($S19=1,"  ◇ a run is planned after Needed by","")&amp;IF($T19=1,"  ◇ no Needed by date","")&amp;IF($W19=1,"  ◇ Needed by isn't the gate map's Date",""))</f>
        <v/>
      </c>
      <c r="L19" s="32">
        <f>IF(COUNTA($A19:$G19)&gt;0,1,0)</f>
        <v/>
      </c>
      <c r="M19" s="32">
        <f>IF($L19=0,0,COUNTIF(Runs!$B$6:$B$105,$A19))</f>
        <v/>
      </c>
      <c r="N19" s="32">
        <f>IF($L19=0,0,IFERROR(MATCH($A19,Runs!$R$6:$R$105,0),0))</f>
        <v/>
      </c>
      <c r="O19" s="32">
        <f>IF($L19=0,0,IF(OR(TRIM($A19)="",COUNTIF($A$6:$A$105,$A19)&gt;1),1,0))</f>
        <v/>
      </c>
      <c r="P19" s="32">
        <f>IF($L19=0,0,IF(AND($F19="Met",$J19&lt;&gt;"Passed"),1,0))</f>
        <v/>
      </c>
      <c r="Q19" s="32">
        <f>IF(OR($L19=0,$F19="Met",$F19="Waived",NOT(ISNUMBER($G19))),0,IF(AND($G19&lt;=Summary!$B$12+N(Summary!$B$11),OR($U19=0,AND($J19="Failed",$V19=0))),1,0))</f>
        <v/>
      </c>
      <c r="R19" s="32">
        <f>IF(AND($L19=1,OR($F19="",$F19="Open"),$J19="Passed"),1,0)</f>
        <v/>
      </c>
      <c r="S19" s="32">
        <f>IF(AND($L19=1,ISNUMBER($G19)),IF(SUMPRODUCT((Runs!$B$6:$B$105=$A19)*(Runs!$N$6:$N$105="Planned")*(Runs!$C$6:$C$105&gt;$G19))&gt;0,1,0),0)</f>
        <v/>
      </c>
      <c r="T19" s="32">
        <f>IF(AND($L19=1,OR($F19="",$F19="Open"),NOT(ISNUMBER($G19))),1,0)</f>
        <v/>
      </c>
      <c r="U19" s="32">
        <f>IF($L19=0,0,$M19-COUNTIFS(Runs!$B$6:$B$105,$A19,Runs!$N$6:$N$105,"Not run"))</f>
        <v/>
      </c>
      <c r="V19" s="32">
        <f>IF($L19=0,0,COUNTIFS(Runs!$B$6:$B$105,$A19,Runs!$N$6:$N$105,"Planned"))</f>
        <v/>
      </c>
      <c r="W19" s="32">
        <f>IF(AND($L19=1,OR($F19="",$F19="Open"),ISNUMBER($G19),ISNUMBER(MATCH($B19,Summary!$G$28:$G$34,0))),IF(ISNUMBER(INDEX(Summary!$H$28:$H$34,MATCH($B19,Summary!$G$28:$G$34,0))),IF($G19&lt;&gt;INDEX(Summary!$H$28:$H$34,MATCH($B19,Summary!$G$28:$G$34,0)),1,0),0),0)</f>
        <v/>
      </c>
    </row>
    <row r="20">
      <c r="A20" s="27" t="n"/>
      <c r="B20" s="28" t="n"/>
      <c r="C20" s="28" t="n"/>
      <c r="D20" s="28" t="n"/>
      <c r="E20" s="28" t="n"/>
      <c r="F20" s="27" t="n"/>
      <c r="G20" s="29" t="n"/>
      <c r="H20" s="30">
        <f>IF($L20=0,"",$M20)</f>
        <v/>
      </c>
      <c r="I20" s="31">
        <f>IF($N20=0,"",INDEX(Runs!$A$6:$A$105,$N20))</f>
        <v/>
      </c>
      <c r="J20" s="31">
        <f>IF($L20=0,"",IF($N20&gt;0,INDEX(Runs!$N$6:$N$105,$N20),IF(COUNTIFS(Runs!$B$6:$B$105,$A20,Runs!$N$6:$N$105,"Planned")&gt;0,"Planned","No run")))</f>
        <v/>
      </c>
      <c r="K20" s="19">
        <f>IF($L20=0,"",IF($O20+$P20+$Q20=0,"○ Clear",IF($O20=1,"△ No ID, or ID used twice",IF($P20=1,"△ Met with no passing run",IF($J20="Failed","△ Needed soon, failed, with no re-run booked","△ Needed soon, with no run booked")))&amp;IF($O20+$P20+$Q20&gt;1,", and "&amp;($O20+$P20+$Q20-1)&amp;" more",""))&amp;IF($R20=1,"  ◇ passed: the Owner can mark it Met","")&amp;IF($S20=1,"  ◇ a run is planned after Needed by","")&amp;IF($T20=1,"  ◇ no Needed by date","")&amp;IF($W20=1,"  ◇ Needed by isn't the gate map's Date",""))</f>
        <v/>
      </c>
      <c r="L20" s="32">
        <f>IF(COUNTA($A20:$G20)&gt;0,1,0)</f>
        <v/>
      </c>
      <c r="M20" s="32">
        <f>IF($L20=0,0,COUNTIF(Runs!$B$6:$B$105,$A20))</f>
        <v/>
      </c>
      <c r="N20" s="32">
        <f>IF($L20=0,0,IFERROR(MATCH($A20,Runs!$R$6:$R$105,0),0))</f>
        <v/>
      </c>
      <c r="O20" s="32">
        <f>IF($L20=0,0,IF(OR(TRIM($A20)="",COUNTIF($A$6:$A$105,$A20)&gt;1),1,0))</f>
        <v/>
      </c>
      <c r="P20" s="32">
        <f>IF($L20=0,0,IF(AND($F20="Met",$J20&lt;&gt;"Passed"),1,0))</f>
        <v/>
      </c>
      <c r="Q20" s="32">
        <f>IF(OR($L20=0,$F20="Met",$F20="Waived",NOT(ISNUMBER($G20))),0,IF(AND($G20&lt;=Summary!$B$12+N(Summary!$B$11),OR($U20=0,AND($J20="Failed",$V20=0))),1,0))</f>
        <v/>
      </c>
      <c r="R20" s="32">
        <f>IF(AND($L20=1,OR($F20="",$F20="Open"),$J20="Passed"),1,0)</f>
        <v/>
      </c>
      <c r="S20" s="32">
        <f>IF(AND($L20=1,ISNUMBER($G20)),IF(SUMPRODUCT((Runs!$B$6:$B$105=$A20)*(Runs!$N$6:$N$105="Planned")*(Runs!$C$6:$C$105&gt;$G20))&gt;0,1,0),0)</f>
        <v/>
      </c>
      <c r="T20" s="32">
        <f>IF(AND($L20=1,OR($F20="",$F20="Open"),NOT(ISNUMBER($G20))),1,0)</f>
        <v/>
      </c>
      <c r="U20" s="32">
        <f>IF($L20=0,0,$M20-COUNTIFS(Runs!$B$6:$B$105,$A20,Runs!$N$6:$N$105,"Not run"))</f>
        <v/>
      </c>
      <c r="V20" s="32">
        <f>IF($L20=0,0,COUNTIFS(Runs!$B$6:$B$105,$A20,Runs!$N$6:$N$105,"Planned"))</f>
        <v/>
      </c>
      <c r="W20" s="32">
        <f>IF(AND($L20=1,OR($F20="",$F20="Open"),ISNUMBER($G20),ISNUMBER(MATCH($B20,Summary!$G$28:$G$34,0))),IF(ISNUMBER(INDEX(Summary!$H$28:$H$34,MATCH($B20,Summary!$G$28:$G$34,0))),IF($G20&lt;&gt;INDEX(Summary!$H$28:$H$34,MATCH($B20,Summary!$G$28:$G$34,0)),1,0),0),0)</f>
        <v/>
      </c>
    </row>
    <row r="21">
      <c r="A21" s="27" t="n"/>
      <c r="B21" s="28" t="n"/>
      <c r="C21" s="28" t="n"/>
      <c r="D21" s="28" t="n"/>
      <c r="E21" s="28" t="n"/>
      <c r="F21" s="27" t="n"/>
      <c r="G21" s="29" t="n"/>
      <c r="H21" s="30">
        <f>IF($L21=0,"",$M21)</f>
        <v/>
      </c>
      <c r="I21" s="31">
        <f>IF($N21=0,"",INDEX(Runs!$A$6:$A$105,$N21))</f>
        <v/>
      </c>
      <c r="J21" s="31">
        <f>IF($L21=0,"",IF($N21&gt;0,INDEX(Runs!$N$6:$N$105,$N21),IF(COUNTIFS(Runs!$B$6:$B$105,$A21,Runs!$N$6:$N$105,"Planned")&gt;0,"Planned","No run")))</f>
        <v/>
      </c>
      <c r="K21" s="19">
        <f>IF($L21=0,"",IF($O21+$P21+$Q21=0,"○ Clear",IF($O21=1,"△ No ID, or ID used twice",IF($P21=1,"△ Met with no passing run",IF($J21="Failed","△ Needed soon, failed, with no re-run booked","△ Needed soon, with no run booked")))&amp;IF($O21+$P21+$Q21&gt;1,", and "&amp;($O21+$P21+$Q21-1)&amp;" more",""))&amp;IF($R21=1,"  ◇ passed: the Owner can mark it Met","")&amp;IF($S21=1,"  ◇ a run is planned after Needed by","")&amp;IF($T21=1,"  ◇ no Needed by date","")&amp;IF($W21=1,"  ◇ Needed by isn't the gate map's Date",""))</f>
        <v/>
      </c>
      <c r="L21" s="32">
        <f>IF(COUNTA($A21:$G21)&gt;0,1,0)</f>
        <v/>
      </c>
      <c r="M21" s="32">
        <f>IF($L21=0,0,COUNTIF(Runs!$B$6:$B$105,$A21))</f>
        <v/>
      </c>
      <c r="N21" s="32">
        <f>IF($L21=0,0,IFERROR(MATCH($A21,Runs!$R$6:$R$105,0),0))</f>
        <v/>
      </c>
      <c r="O21" s="32">
        <f>IF($L21=0,0,IF(OR(TRIM($A21)="",COUNTIF($A$6:$A$105,$A21)&gt;1),1,0))</f>
        <v/>
      </c>
      <c r="P21" s="32">
        <f>IF($L21=0,0,IF(AND($F21="Met",$J21&lt;&gt;"Passed"),1,0))</f>
        <v/>
      </c>
      <c r="Q21" s="32">
        <f>IF(OR($L21=0,$F21="Met",$F21="Waived",NOT(ISNUMBER($G21))),0,IF(AND($G21&lt;=Summary!$B$12+N(Summary!$B$11),OR($U21=0,AND($J21="Failed",$V21=0))),1,0))</f>
        <v/>
      </c>
      <c r="R21" s="32">
        <f>IF(AND($L21=1,OR($F21="",$F21="Open"),$J21="Passed"),1,0)</f>
        <v/>
      </c>
      <c r="S21" s="32">
        <f>IF(AND($L21=1,ISNUMBER($G21)),IF(SUMPRODUCT((Runs!$B$6:$B$105=$A21)*(Runs!$N$6:$N$105="Planned")*(Runs!$C$6:$C$105&gt;$G21))&gt;0,1,0),0)</f>
        <v/>
      </c>
      <c r="T21" s="32">
        <f>IF(AND($L21=1,OR($F21="",$F21="Open"),NOT(ISNUMBER($G21))),1,0)</f>
        <v/>
      </c>
      <c r="U21" s="32">
        <f>IF($L21=0,0,$M21-COUNTIFS(Runs!$B$6:$B$105,$A21,Runs!$N$6:$N$105,"Not run"))</f>
        <v/>
      </c>
      <c r="V21" s="32">
        <f>IF($L21=0,0,COUNTIFS(Runs!$B$6:$B$105,$A21,Runs!$N$6:$N$105,"Planned"))</f>
        <v/>
      </c>
      <c r="W21" s="32">
        <f>IF(AND($L21=1,OR($F21="",$F21="Open"),ISNUMBER($G21),ISNUMBER(MATCH($B21,Summary!$G$28:$G$34,0))),IF(ISNUMBER(INDEX(Summary!$H$28:$H$34,MATCH($B21,Summary!$G$28:$G$34,0))),IF($G21&lt;&gt;INDEX(Summary!$H$28:$H$34,MATCH($B21,Summary!$G$28:$G$34,0)),1,0),0),0)</f>
        <v/>
      </c>
    </row>
    <row r="22">
      <c r="A22" s="27" t="n"/>
      <c r="B22" s="28" t="n"/>
      <c r="C22" s="28" t="n"/>
      <c r="D22" s="28" t="n"/>
      <c r="E22" s="28" t="n"/>
      <c r="F22" s="27" t="n"/>
      <c r="G22" s="29" t="n"/>
      <c r="H22" s="30">
        <f>IF($L22=0,"",$M22)</f>
        <v/>
      </c>
      <c r="I22" s="31">
        <f>IF($N22=0,"",INDEX(Runs!$A$6:$A$105,$N22))</f>
        <v/>
      </c>
      <c r="J22" s="31">
        <f>IF($L22=0,"",IF($N22&gt;0,INDEX(Runs!$N$6:$N$105,$N22),IF(COUNTIFS(Runs!$B$6:$B$105,$A22,Runs!$N$6:$N$105,"Planned")&gt;0,"Planned","No run")))</f>
        <v/>
      </c>
      <c r="K22" s="19">
        <f>IF($L22=0,"",IF($O22+$P22+$Q22=0,"○ Clear",IF($O22=1,"△ No ID, or ID used twice",IF($P22=1,"△ Met with no passing run",IF($J22="Failed","△ Needed soon, failed, with no re-run booked","△ Needed soon, with no run booked")))&amp;IF($O22+$P22+$Q22&gt;1,", and "&amp;($O22+$P22+$Q22-1)&amp;" more",""))&amp;IF($R22=1,"  ◇ passed: the Owner can mark it Met","")&amp;IF($S22=1,"  ◇ a run is planned after Needed by","")&amp;IF($T22=1,"  ◇ no Needed by date","")&amp;IF($W22=1,"  ◇ Needed by isn't the gate map's Date",""))</f>
        <v/>
      </c>
      <c r="L22" s="32">
        <f>IF(COUNTA($A22:$G22)&gt;0,1,0)</f>
        <v/>
      </c>
      <c r="M22" s="32">
        <f>IF($L22=0,0,COUNTIF(Runs!$B$6:$B$105,$A22))</f>
        <v/>
      </c>
      <c r="N22" s="32">
        <f>IF($L22=0,0,IFERROR(MATCH($A22,Runs!$R$6:$R$105,0),0))</f>
        <v/>
      </c>
      <c r="O22" s="32">
        <f>IF($L22=0,0,IF(OR(TRIM($A22)="",COUNTIF($A$6:$A$105,$A22)&gt;1),1,0))</f>
        <v/>
      </c>
      <c r="P22" s="32">
        <f>IF($L22=0,0,IF(AND($F22="Met",$J22&lt;&gt;"Passed"),1,0))</f>
        <v/>
      </c>
      <c r="Q22" s="32">
        <f>IF(OR($L22=0,$F22="Met",$F22="Waived",NOT(ISNUMBER($G22))),0,IF(AND($G22&lt;=Summary!$B$12+N(Summary!$B$11),OR($U22=0,AND($J22="Failed",$V22=0))),1,0))</f>
        <v/>
      </c>
      <c r="R22" s="32">
        <f>IF(AND($L22=1,OR($F22="",$F22="Open"),$J22="Passed"),1,0)</f>
        <v/>
      </c>
      <c r="S22" s="32">
        <f>IF(AND($L22=1,ISNUMBER($G22)),IF(SUMPRODUCT((Runs!$B$6:$B$105=$A22)*(Runs!$N$6:$N$105="Planned")*(Runs!$C$6:$C$105&gt;$G22))&gt;0,1,0),0)</f>
        <v/>
      </c>
      <c r="T22" s="32">
        <f>IF(AND($L22=1,OR($F22="",$F22="Open"),NOT(ISNUMBER($G22))),1,0)</f>
        <v/>
      </c>
      <c r="U22" s="32">
        <f>IF($L22=0,0,$M22-COUNTIFS(Runs!$B$6:$B$105,$A22,Runs!$N$6:$N$105,"Not run"))</f>
        <v/>
      </c>
      <c r="V22" s="32">
        <f>IF($L22=0,0,COUNTIFS(Runs!$B$6:$B$105,$A22,Runs!$N$6:$N$105,"Planned"))</f>
        <v/>
      </c>
      <c r="W22" s="32">
        <f>IF(AND($L22=1,OR($F22="",$F22="Open"),ISNUMBER($G22),ISNUMBER(MATCH($B22,Summary!$G$28:$G$34,0))),IF(ISNUMBER(INDEX(Summary!$H$28:$H$34,MATCH($B22,Summary!$G$28:$G$34,0))),IF($G22&lt;&gt;INDEX(Summary!$H$28:$H$34,MATCH($B22,Summary!$G$28:$G$34,0)),1,0),0),0)</f>
        <v/>
      </c>
    </row>
    <row r="23">
      <c r="A23" s="27" t="n"/>
      <c r="B23" s="28" t="n"/>
      <c r="C23" s="28" t="n"/>
      <c r="D23" s="28" t="n"/>
      <c r="E23" s="28" t="n"/>
      <c r="F23" s="27" t="n"/>
      <c r="G23" s="29" t="n"/>
      <c r="H23" s="30">
        <f>IF($L23=0,"",$M23)</f>
        <v/>
      </c>
      <c r="I23" s="31">
        <f>IF($N23=0,"",INDEX(Runs!$A$6:$A$105,$N23))</f>
        <v/>
      </c>
      <c r="J23" s="31">
        <f>IF($L23=0,"",IF($N23&gt;0,INDEX(Runs!$N$6:$N$105,$N23),IF(COUNTIFS(Runs!$B$6:$B$105,$A23,Runs!$N$6:$N$105,"Planned")&gt;0,"Planned","No run")))</f>
        <v/>
      </c>
      <c r="K23" s="19">
        <f>IF($L23=0,"",IF($O23+$P23+$Q23=0,"○ Clear",IF($O23=1,"△ No ID, or ID used twice",IF($P23=1,"△ Met with no passing run",IF($J23="Failed","△ Needed soon, failed, with no re-run booked","△ Needed soon, with no run booked")))&amp;IF($O23+$P23+$Q23&gt;1,", and "&amp;($O23+$P23+$Q23-1)&amp;" more",""))&amp;IF($R23=1,"  ◇ passed: the Owner can mark it Met","")&amp;IF($S23=1,"  ◇ a run is planned after Needed by","")&amp;IF($T23=1,"  ◇ no Needed by date","")&amp;IF($W23=1,"  ◇ Needed by isn't the gate map's Date",""))</f>
        <v/>
      </c>
      <c r="L23" s="32">
        <f>IF(COUNTA($A23:$G23)&gt;0,1,0)</f>
        <v/>
      </c>
      <c r="M23" s="32">
        <f>IF($L23=0,0,COUNTIF(Runs!$B$6:$B$105,$A23))</f>
        <v/>
      </c>
      <c r="N23" s="32">
        <f>IF($L23=0,0,IFERROR(MATCH($A23,Runs!$R$6:$R$105,0),0))</f>
        <v/>
      </c>
      <c r="O23" s="32">
        <f>IF($L23=0,0,IF(OR(TRIM($A23)="",COUNTIF($A$6:$A$105,$A23)&gt;1),1,0))</f>
        <v/>
      </c>
      <c r="P23" s="32">
        <f>IF($L23=0,0,IF(AND($F23="Met",$J23&lt;&gt;"Passed"),1,0))</f>
        <v/>
      </c>
      <c r="Q23" s="32">
        <f>IF(OR($L23=0,$F23="Met",$F23="Waived",NOT(ISNUMBER($G23))),0,IF(AND($G23&lt;=Summary!$B$12+N(Summary!$B$11),OR($U23=0,AND($J23="Failed",$V23=0))),1,0))</f>
        <v/>
      </c>
      <c r="R23" s="32">
        <f>IF(AND($L23=1,OR($F23="",$F23="Open"),$J23="Passed"),1,0)</f>
        <v/>
      </c>
      <c r="S23" s="32">
        <f>IF(AND($L23=1,ISNUMBER($G23)),IF(SUMPRODUCT((Runs!$B$6:$B$105=$A23)*(Runs!$N$6:$N$105="Planned")*(Runs!$C$6:$C$105&gt;$G23))&gt;0,1,0),0)</f>
        <v/>
      </c>
      <c r="T23" s="32">
        <f>IF(AND($L23=1,OR($F23="",$F23="Open"),NOT(ISNUMBER($G23))),1,0)</f>
        <v/>
      </c>
      <c r="U23" s="32">
        <f>IF($L23=0,0,$M23-COUNTIFS(Runs!$B$6:$B$105,$A23,Runs!$N$6:$N$105,"Not run"))</f>
        <v/>
      </c>
      <c r="V23" s="32">
        <f>IF($L23=0,0,COUNTIFS(Runs!$B$6:$B$105,$A23,Runs!$N$6:$N$105,"Planned"))</f>
        <v/>
      </c>
      <c r="W23" s="32">
        <f>IF(AND($L23=1,OR($F23="",$F23="Open"),ISNUMBER($G23),ISNUMBER(MATCH($B23,Summary!$G$28:$G$34,0))),IF(ISNUMBER(INDEX(Summary!$H$28:$H$34,MATCH($B23,Summary!$G$28:$G$34,0))),IF($G23&lt;&gt;INDEX(Summary!$H$28:$H$34,MATCH($B23,Summary!$G$28:$G$34,0)),1,0),0),0)</f>
        <v/>
      </c>
    </row>
    <row r="24">
      <c r="A24" s="27" t="n"/>
      <c r="B24" s="28" t="n"/>
      <c r="C24" s="28" t="n"/>
      <c r="D24" s="28" t="n"/>
      <c r="E24" s="28" t="n"/>
      <c r="F24" s="27" t="n"/>
      <c r="G24" s="29" t="n"/>
      <c r="H24" s="30">
        <f>IF($L24=0,"",$M24)</f>
        <v/>
      </c>
      <c r="I24" s="31">
        <f>IF($N24=0,"",INDEX(Runs!$A$6:$A$105,$N24))</f>
        <v/>
      </c>
      <c r="J24" s="31">
        <f>IF($L24=0,"",IF($N24&gt;0,INDEX(Runs!$N$6:$N$105,$N24),IF(COUNTIFS(Runs!$B$6:$B$105,$A24,Runs!$N$6:$N$105,"Planned")&gt;0,"Planned","No run")))</f>
        <v/>
      </c>
      <c r="K24" s="19">
        <f>IF($L24=0,"",IF($O24+$P24+$Q24=0,"○ Clear",IF($O24=1,"△ No ID, or ID used twice",IF($P24=1,"△ Met with no passing run",IF($J24="Failed","△ Needed soon, failed, with no re-run booked","△ Needed soon, with no run booked")))&amp;IF($O24+$P24+$Q24&gt;1,", and "&amp;($O24+$P24+$Q24-1)&amp;" more",""))&amp;IF($R24=1,"  ◇ passed: the Owner can mark it Met","")&amp;IF($S24=1,"  ◇ a run is planned after Needed by","")&amp;IF($T24=1,"  ◇ no Needed by date","")&amp;IF($W24=1,"  ◇ Needed by isn't the gate map's Date",""))</f>
        <v/>
      </c>
      <c r="L24" s="32">
        <f>IF(COUNTA($A24:$G24)&gt;0,1,0)</f>
        <v/>
      </c>
      <c r="M24" s="32">
        <f>IF($L24=0,0,COUNTIF(Runs!$B$6:$B$105,$A24))</f>
        <v/>
      </c>
      <c r="N24" s="32">
        <f>IF($L24=0,0,IFERROR(MATCH($A24,Runs!$R$6:$R$105,0),0))</f>
        <v/>
      </c>
      <c r="O24" s="32">
        <f>IF($L24=0,0,IF(OR(TRIM($A24)="",COUNTIF($A$6:$A$105,$A24)&gt;1),1,0))</f>
        <v/>
      </c>
      <c r="P24" s="32">
        <f>IF($L24=0,0,IF(AND($F24="Met",$J24&lt;&gt;"Passed"),1,0))</f>
        <v/>
      </c>
      <c r="Q24" s="32">
        <f>IF(OR($L24=0,$F24="Met",$F24="Waived",NOT(ISNUMBER($G24))),0,IF(AND($G24&lt;=Summary!$B$12+N(Summary!$B$11),OR($U24=0,AND($J24="Failed",$V24=0))),1,0))</f>
        <v/>
      </c>
      <c r="R24" s="32">
        <f>IF(AND($L24=1,OR($F24="",$F24="Open"),$J24="Passed"),1,0)</f>
        <v/>
      </c>
      <c r="S24" s="32">
        <f>IF(AND($L24=1,ISNUMBER($G24)),IF(SUMPRODUCT((Runs!$B$6:$B$105=$A24)*(Runs!$N$6:$N$105="Planned")*(Runs!$C$6:$C$105&gt;$G24))&gt;0,1,0),0)</f>
        <v/>
      </c>
      <c r="T24" s="32">
        <f>IF(AND($L24=1,OR($F24="",$F24="Open"),NOT(ISNUMBER($G24))),1,0)</f>
        <v/>
      </c>
      <c r="U24" s="32">
        <f>IF($L24=0,0,$M24-COUNTIFS(Runs!$B$6:$B$105,$A24,Runs!$N$6:$N$105,"Not run"))</f>
        <v/>
      </c>
      <c r="V24" s="32">
        <f>IF($L24=0,0,COUNTIFS(Runs!$B$6:$B$105,$A24,Runs!$N$6:$N$105,"Planned"))</f>
        <v/>
      </c>
      <c r="W24" s="32">
        <f>IF(AND($L24=1,OR($F24="",$F24="Open"),ISNUMBER($G24),ISNUMBER(MATCH($B24,Summary!$G$28:$G$34,0))),IF(ISNUMBER(INDEX(Summary!$H$28:$H$34,MATCH($B24,Summary!$G$28:$G$34,0))),IF($G24&lt;&gt;INDEX(Summary!$H$28:$H$34,MATCH($B24,Summary!$G$28:$G$34,0)),1,0),0),0)</f>
        <v/>
      </c>
    </row>
    <row r="25">
      <c r="A25" s="27" t="n"/>
      <c r="B25" s="28" t="n"/>
      <c r="C25" s="28" t="n"/>
      <c r="D25" s="28" t="n"/>
      <c r="E25" s="28" t="n"/>
      <c r="F25" s="27" t="n"/>
      <c r="G25" s="29" t="n"/>
      <c r="H25" s="30">
        <f>IF($L25=0,"",$M25)</f>
        <v/>
      </c>
      <c r="I25" s="31">
        <f>IF($N25=0,"",INDEX(Runs!$A$6:$A$105,$N25))</f>
        <v/>
      </c>
      <c r="J25" s="31">
        <f>IF($L25=0,"",IF($N25&gt;0,INDEX(Runs!$N$6:$N$105,$N25),IF(COUNTIFS(Runs!$B$6:$B$105,$A25,Runs!$N$6:$N$105,"Planned")&gt;0,"Planned","No run")))</f>
        <v/>
      </c>
      <c r="K25" s="19">
        <f>IF($L25=0,"",IF($O25+$P25+$Q25=0,"○ Clear",IF($O25=1,"△ No ID, or ID used twice",IF($P25=1,"△ Met with no passing run",IF($J25="Failed","△ Needed soon, failed, with no re-run booked","△ Needed soon, with no run booked")))&amp;IF($O25+$P25+$Q25&gt;1,", and "&amp;($O25+$P25+$Q25-1)&amp;" more",""))&amp;IF($R25=1,"  ◇ passed: the Owner can mark it Met","")&amp;IF($S25=1,"  ◇ a run is planned after Needed by","")&amp;IF($T25=1,"  ◇ no Needed by date","")&amp;IF($W25=1,"  ◇ Needed by isn't the gate map's Date",""))</f>
        <v/>
      </c>
      <c r="L25" s="32">
        <f>IF(COUNTA($A25:$G25)&gt;0,1,0)</f>
        <v/>
      </c>
      <c r="M25" s="32">
        <f>IF($L25=0,0,COUNTIF(Runs!$B$6:$B$105,$A25))</f>
        <v/>
      </c>
      <c r="N25" s="32">
        <f>IF($L25=0,0,IFERROR(MATCH($A25,Runs!$R$6:$R$105,0),0))</f>
        <v/>
      </c>
      <c r="O25" s="32">
        <f>IF($L25=0,0,IF(OR(TRIM($A25)="",COUNTIF($A$6:$A$105,$A25)&gt;1),1,0))</f>
        <v/>
      </c>
      <c r="P25" s="32">
        <f>IF($L25=0,0,IF(AND($F25="Met",$J25&lt;&gt;"Passed"),1,0))</f>
        <v/>
      </c>
      <c r="Q25" s="32">
        <f>IF(OR($L25=0,$F25="Met",$F25="Waived",NOT(ISNUMBER($G25))),0,IF(AND($G25&lt;=Summary!$B$12+N(Summary!$B$11),OR($U25=0,AND($J25="Failed",$V25=0))),1,0))</f>
        <v/>
      </c>
      <c r="R25" s="32">
        <f>IF(AND($L25=1,OR($F25="",$F25="Open"),$J25="Passed"),1,0)</f>
        <v/>
      </c>
      <c r="S25" s="32">
        <f>IF(AND($L25=1,ISNUMBER($G25)),IF(SUMPRODUCT((Runs!$B$6:$B$105=$A25)*(Runs!$N$6:$N$105="Planned")*(Runs!$C$6:$C$105&gt;$G25))&gt;0,1,0),0)</f>
        <v/>
      </c>
      <c r="T25" s="32">
        <f>IF(AND($L25=1,OR($F25="",$F25="Open"),NOT(ISNUMBER($G25))),1,0)</f>
        <v/>
      </c>
      <c r="U25" s="32">
        <f>IF($L25=0,0,$M25-COUNTIFS(Runs!$B$6:$B$105,$A25,Runs!$N$6:$N$105,"Not run"))</f>
        <v/>
      </c>
      <c r="V25" s="32">
        <f>IF($L25=0,0,COUNTIFS(Runs!$B$6:$B$105,$A25,Runs!$N$6:$N$105,"Planned"))</f>
        <v/>
      </c>
      <c r="W25" s="32">
        <f>IF(AND($L25=1,OR($F25="",$F25="Open"),ISNUMBER($G25),ISNUMBER(MATCH($B25,Summary!$G$28:$G$34,0))),IF(ISNUMBER(INDEX(Summary!$H$28:$H$34,MATCH($B25,Summary!$G$28:$G$34,0))),IF($G25&lt;&gt;INDEX(Summary!$H$28:$H$34,MATCH($B25,Summary!$G$28:$G$34,0)),1,0),0),0)</f>
        <v/>
      </c>
    </row>
    <row r="26">
      <c r="A26" s="27" t="n"/>
      <c r="B26" s="28" t="n"/>
      <c r="C26" s="28" t="n"/>
      <c r="D26" s="28" t="n"/>
      <c r="E26" s="28" t="n"/>
      <c r="F26" s="27" t="n"/>
      <c r="G26" s="29" t="n"/>
      <c r="H26" s="30">
        <f>IF($L26=0,"",$M26)</f>
        <v/>
      </c>
      <c r="I26" s="31">
        <f>IF($N26=0,"",INDEX(Runs!$A$6:$A$105,$N26))</f>
        <v/>
      </c>
      <c r="J26" s="31">
        <f>IF($L26=0,"",IF($N26&gt;0,INDEX(Runs!$N$6:$N$105,$N26),IF(COUNTIFS(Runs!$B$6:$B$105,$A26,Runs!$N$6:$N$105,"Planned")&gt;0,"Planned","No run")))</f>
        <v/>
      </c>
      <c r="K26" s="19">
        <f>IF($L26=0,"",IF($O26+$P26+$Q26=0,"○ Clear",IF($O26=1,"△ No ID, or ID used twice",IF($P26=1,"△ Met with no passing run",IF($J26="Failed","△ Needed soon, failed, with no re-run booked","△ Needed soon, with no run booked")))&amp;IF($O26+$P26+$Q26&gt;1,", and "&amp;($O26+$P26+$Q26-1)&amp;" more",""))&amp;IF($R26=1,"  ◇ passed: the Owner can mark it Met","")&amp;IF($S26=1,"  ◇ a run is planned after Needed by","")&amp;IF($T26=1,"  ◇ no Needed by date","")&amp;IF($W26=1,"  ◇ Needed by isn't the gate map's Date",""))</f>
        <v/>
      </c>
      <c r="L26" s="32">
        <f>IF(COUNTA($A26:$G26)&gt;0,1,0)</f>
        <v/>
      </c>
      <c r="M26" s="32">
        <f>IF($L26=0,0,COUNTIF(Runs!$B$6:$B$105,$A26))</f>
        <v/>
      </c>
      <c r="N26" s="32">
        <f>IF($L26=0,0,IFERROR(MATCH($A26,Runs!$R$6:$R$105,0),0))</f>
        <v/>
      </c>
      <c r="O26" s="32">
        <f>IF($L26=0,0,IF(OR(TRIM($A26)="",COUNTIF($A$6:$A$105,$A26)&gt;1),1,0))</f>
        <v/>
      </c>
      <c r="P26" s="32">
        <f>IF($L26=0,0,IF(AND($F26="Met",$J26&lt;&gt;"Passed"),1,0))</f>
        <v/>
      </c>
      <c r="Q26" s="32">
        <f>IF(OR($L26=0,$F26="Met",$F26="Waived",NOT(ISNUMBER($G26))),0,IF(AND($G26&lt;=Summary!$B$12+N(Summary!$B$11),OR($U26=0,AND($J26="Failed",$V26=0))),1,0))</f>
        <v/>
      </c>
      <c r="R26" s="32">
        <f>IF(AND($L26=1,OR($F26="",$F26="Open"),$J26="Passed"),1,0)</f>
        <v/>
      </c>
      <c r="S26" s="32">
        <f>IF(AND($L26=1,ISNUMBER($G26)),IF(SUMPRODUCT((Runs!$B$6:$B$105=$A26)*(Runs!$N$6:$N$105="Planned")*(Runs!$C$6:$C$105&gt;$G26))&gt;0,1,0),0)</f>
        <v/>
      </c>
      <c r="T26" s="32">
        <f>IF(AND($L26=1,OR($F26="",$F26="Open"),NOT(ISNUMBER($G26))),1,0)</f>
        <v/>
      </c>
      <c r="U26" s="32">
        <f>IF($L26=0,0,$M26-COUNTIFS(Runs!$B$6:$B$105,$A26,Runs!$N$6:$N$105,"Not run"))</f>
        <v/>
      </c>
      <c r="V26" s="32">
        <f>IF($L26=0,0,COUNTIFS(Runs!$B$6:$B$105,$A26,Runs!$N$6:$N$105,"Planned"))</f>
        <v/>
      </c>
      <c r="W26" s="32">
        <f>IF(AND($L26=1,OR($F26="",$F26="Open"),ISNUMBER($G26),ISNUMBER(MATCH($B26,Summary!$G$28:$G$34,0))),IF(ISNUMBER(INDEX(Summary!$H$28:$H$34,MATCH($B26,Summary!$G$28:$G$34,0))),IF($G26&lt;&gt;INDEX(Summary!$H$28:$H$34,MATCH($B26,Summary!$G$28:$G$34,0)),1,0),0),0)</f>
        <v/>
      </c>
    </row>
    <row r="27">
      <c r="A27" s="27" t="n"/>
      <c r="B27" s="28" t="n"/>
      <c r="C27" s="28" t="n"/>
      <c r="D27" s="28" t="n"/>
      <c r="E27" s="28" t="n"/>
      <c r="F27" s="27" t="n"/>
      <c r="G27" s="29" t="n"/>
      <c r="H27" s="30">
        <f>IF($L27=0,"",$M27)</f>
        <v/>
      </c>
      <c r="I27" s="31">
        <f>IF($N27=0,"",INDEX(Runs!$A$6:$A$105,$N27))</f>
        <v/>
      </c>
      <c r="J27" s="31">
        <f>IF($L27=0,"",IF($N27&gt;0,INDEX(Runs!$N$6:$N$105,$N27),IF(COUNTIFS(Runs!$B$6:$B$105,$A27,Runs!$N$6:$N$105,"Planned")&gt;0,"Planned","No run")))</f>
        <v/>
      </c>
      <c r="K27" s="19">
        <f>IF($L27=0,"",IF($O27+$P27+$Q27=0,"○ Clear",IF($O27=1,"△ No ID, or ID used twice",IF($P27=1,"△ Met with no passing run",IF($J27="Failed","△ Needed soon, failed, with no re-run booked","△ Needed soon, with no run booked")))&amp;IF($O27+$P27+$Q27&gt;1,", and "&amp;($O27+$P27+$Q27-1)&amp;" more",""))&amp;IF($R27=1,"  ◇ passed: the Owner can mark it Met","")&amp;IF($S27=1,"  ◇ a run is planned after Needed by","")&amp;IF($T27=1,"  ◇ no Needed by date","")&amp;IF($W27=1,"  ◇ Needed by isn't the gate map's Date",""))</f>
        <v/>
      </c>
      <c r="L27" s="32">
        <f>IF(COUNTA($A27:$G27)&gt;0,1,0)</f>
        <v/>
      </c>
      <c r="M27" s="32">
        <f>IF($L27=0,0,COUNTIF(Runs!$B$6:$B$105,$A27))</f>
        <v/>
      </c>
      <c r="N27" s="32">
        <f>IF($L27=0,0,IFERROR(MATCH($A27,Runs!$R$6:$R$105,0),0))</f>
        <v/>
      </c>
      <c r="O27" s="32">
        <f>IF($L27=0,0,IF(OR(TRIM($A27)="",COUNTIF($A$6:$A$105,$A27)&gt;1),1,0))</f>
        <v/>
      </c>
      <c r="P27" s="32">
        <f>IF($L27=0,0,IF(AND($F27="Met",$J27&lt;&gt;"Passed"),1,0))</f>
        <v/>
      </c>
      <c r="Q27" s="32">
        <f>IF(OR($L27=0,$F27="Met",$F27="Waived",NOT(ISNUMBER($G27))),0,IF(AND($G27&lt;=Summary!$B$12+N(Summary!$B$11),OR($U27=0,AND($J27="Failed",$V27=0))),1,0))</f>
        <v/>
      </c>
      <c r="R27" s="32">
        <f>IF(AND($L27=1,OR($F27="",$F27="Open"),$J27="Passed"),1,0)</f>
        <v/>
      </c>
      <c r="S27" s="32">
        <f>IF(AND($L27=1,ISNUMBER($G27)),IF(SUMPRODUCT((Runs!$B$6:$B$105=$A27)*(Runs!$N$6:$N$105="Planned")*(Runs!$C$6:$C$105&gt;$G27))&gt;0,1,0),0)</f>
        <v/>
      </c>
      <c r="T27" s="32">
        <f>IF(AND($L27=1,OR($F27="",$F27="Open"),NOT(ISNUMBER($G27))),1,0)</f>
        <v/>
      </c>
      <c r="U27" s="32">
        <f>IF($L27=0,0,$M27-COUNTIFS(Runs!$B$6:$B$105,$A27,Runs!$N$6:$N$105,"Not run"))</f>
        <v/>
      </c>
      <c r="V27" s="32">
        <f>IF($L27=0,0,COUNTIFS(Runs!$B$6:$B$105,$A27,Runs!$N$6:$N$105,"Planned"))</f>
        <v/>
      </c>
      <c r="W27" s="32">
        <f>IF(AND($L27=1,OR($F27="",$F27="Open"),ISNUMBER($G27),ISNUMBER(MATCH($B27,Summary!$G$28:$G$34,0))),IF(ISNUMBER(INDEX(Summary!$H$28:$H$34,MATCH($B27,Summary!$G$28:$G$34,0))),IF($G27&lt;&gt;INDEX(Summary!$H$28:$H$34,MATCH($B27,Summary!$G$28:$G$34,0)),1,0),0),0)</f>
        <v/>
      </c>
    </row>
    <row r="28">
      <c r="A28" s="27" t="n"/>
      <c r="B28" s="28" t="n"/>
      <c r="C28" s="28" t="n"/>
      <c r="D28" s="28" t="n"/>
      <c r="E28" s="28" t="n"/>
      <c r="F28" s="27" t="n"/>
      <c r="G28" s="29" t="n"/>
      <c r="H28" s="30">
        <f>IF($L28=0,"",$M28)</f>
        <v/>
      </c>
      <c r="I28" s="31">
        <f>IF($N28=0,"",INDEX(Runs!$A$6:$A$105,$N28))</f>
        <v/>
      </c>
      <c r="J28" s="31">
        <f>IF($L28=0,"",IF($N28&gt;0,INDEX(Runs!$N$6:$N$105,$N28),IF(COUNTIFS(Runs!$B$6:$B$105,$A28,Runs!$N$6:$N$105,"Planned")&gt;0,"Planned","No run")))</f>
        <v/>
      </c>
      <c r="K28" s="19">
        <f>IF($L28=0,"",IF($O28+$P28+$Q28=0,"○ Clear",IF($O28=1,"△ No ID, or ID used twice",IF($P28=1,"△ Met with no passing run",IF($J28="Failed","△ Needed soon, failed, with no re-run booked","△ Needed soon, with no run booked")))&amp;IF($O28+$P28+$Q28&gt;1,", and "&amp;($O28+$P28+$Q28-1)&amp;" more",""))&amp;IF($R28=1,"  ◇ passed: the Owner can mark it Met","")&amp;IF($S28=1,"  ◇ a run is planned after Needed by","")&amp;IF($T28=1,"  ◇ no Needed by date","")&amp;IF($W28=1,"  ◇ Needed by isn't the gate map's Date",""))</f>
        <v/>
      </c>
      <c r="L28" s="32">
        <f>IF(COUNTA($A28:$G28)&gt;0,1,0)</f>
        <v/>
      </c>
      <c r="M28" s="32">
        <f>IF($L28=0,0,COUNTIF(Runs!$B$6:$B$105,$A28))</f>
        <v/>
      </c>
      <c r="N28" s="32">
        <f>IF($L28=0,0,IFERROR(MATCH($A28,Runs!$R$6:$R$105,0),0))</f>
        <v/>
      </c>
      <c r="O28" s="32">
        <f>IF($L28=0,0,IF(OR(TRIM($A28)="",COUNTIF($A$6:$A$105,$A28)&gt;1),1,0))</f>
        <v/>
      </c>
      <c r="P28" s="32">
        <f>IF($L28=0,0,IF(AND($F28="Met",$J28&lt;&gt;"Passed"),1,0))</f>
        <v/>
      </c>
      <c r="Q28" s="32">
        <f>IF(OR($L28=0,$F28="Met",$F28="Waived",NOT(ISNUMBER($G28))),0,IF(AND($G28&lt;=Summary!$B$12+N(Summary!$B$11),OR($U28=0,AND($J28="Failed",$V28=0))),1,0))</f>
        <v/>
      </c>
      <c r="R28" s="32">
        <f>IF(AND($L28=1,OR($F28="",$F28="Open"),$J28="Passed"),1,0)</f>
        <v/>
      </c>
      <c r="S28" s="32">
        <f>IF(AND($L28=1,ISNUMBER($G28)),IF(SUMPRODUCT((Runs!$B$6:$B$105=$A28)*(Runs!$N$6:$N$105="Planned")*(Runs!$C$6:$C$105&gt;$G28))&gt;0,1,0),0)</f>
        <v/>
      </c>
      <c r="T28" s="32">
        <f>IF(AND($L28=1,OR($F28="",$F28="Open"),NOT(ISNUMBER($G28))),1,0)</f>
        <v/>
      </c>
      <c r="U28" s="32">
        <f>IF($L28=0,0,$M28-COUNTIFS(Runs!$B$6:$B$105,$A28,Runs!$N$6:$N$105,"Not run"))</f>
        <v/>
      </c>
      <c r="V28" s="32">
        <f>IF($L28=0,0,COUNTIFS(Runs!$B$6:$B$105,$A28,Runs!$N$6:$N$105,"Planned"))</f>
        <v/>
      </c>
      <c r="W28" s="32">
        <f>IF(AND($L28=1,OR($F28="",$F28="Open"),ISNUMBER($G28),ISNUMBER(MATCH($B28,Summary!$G$28:$G$34,0))),IF(ISNUMBER(INDEX(Summary!$H$28:$H$34,MATCH($B28,Summary!$G$28:$G$34,0))),IF($G28&lt;&gt;INDEX(Summary!$H$28:$H$34,MATCH($B28,Summary!$G$28:$G$34,0)),1,0),0),0)</f>
        <v/>
      </c>
    </row>
    <row r="29">
      <c r="A29" s="27" t="n"/>
      <c r="B29" s="28" t="n"/>
      <c r="C29" s="28" t="n"/>
      <c r="D29" s="28" t="n"/>
      <c r="E29" s="28" t="n"/>
      <c r="F29" s="27" t="n"/>
      <c r="G29" s="29" t="n"/>
      <c r="H29" s="30">
        <f>IF($L29=0,"",$M29)</f>
        <v/>
      </c>
      <c r="I29" s="31">
        <f>IF($N29=0,"",INDEX(Runs!$A$6:$A$105,$N29))</f>
        <v/>
      </c>
      <c r="J29" s="31">
        <f>IF($L29=0,"",IF($N29&gt;0,INDEX(Runs!$N$6:$N$105,$N29),IF(COUNTIFS(Runs!$B$6:$B$105,$A29,Runs!$N$6:$N$105,"Planned")&gt;0,"Planned","No run")))</f>
        <v/>
      </c>
      <c r="K29" s="19">
        <f>IF($L29=0,"",IF($O29+$P29+$Q29=0,"○ Clear",IF($O29=1,"△ No ID, or ID used twice",IF($P29=1,"△ Met with no passing run",IF($J29="Failed","△ Needed soon, failed, with no re-run booked","△ Needed soon, with no run booked")))&amp;IF($O29+$P29+$Q29&gt;1,", and "&amp;($O29+$P29+$Q29-1)&amp;" more",""))&amp;IF($R29=1,"  ◇ passed: the Owner can mark it Met","")&amp;IF($S29=1,"  ◇ a run is planned after Needed by","")&amp;IF($T29=1,"  ◇ no Needed by date","")&amp;IF($W29=1,"  ◇ Needed by isn't the gate map's Date",""))</f>
        <v/>
      </c>
      <c r="L29" s="32">
        <f>IF(COUNTA($A29:$G29)&gt;0,1,0)</f>
        <v/>
      </c>
      <c r="M29" s="32">
        <f>IF($L29=0,0,COUNTIF(Runs!$B$6:$B$105,$A29))</f>
        <v/>
      </c>
      <c r="N29" s="32">
        <f>IF($L29=0,0,IFERROR(MATCH($A29,Runs!$R$6:$R$105,0),0))</f>
        <v/>
      </c>
      <c r="O29" s="32">
        <f>IF($L29=0,0,IF(OR(TRIM($A29)="",COUNTIF($A$6:$A$105,$A29)&gt;1),1,0))</f>
        <v/>
      </c>
      <c r="P29" s="32">
        <f>IF($L29=0,0,IF(AND($F29="Met",$J29&lt;&gt;"Passed"),1,0))</f>
        <v/>
      </c>
      <c r="Q29" s="32">
        <f>IF(OR($L29=0,$F29="Met",$F29="Waived",NOT(ISNUMBER($G29))),0,IF(AND($G29&lt;=Summary!$B$12+N(Summary!$B$11),OR($U29=0,AND($J29="Failed",$V29=0))),1,0))</f>
        <v/>
      </c>
      <c r="R29" s="32">
        <f>IF(AND($L29=1,OR($F29="",$F29="Open"),$J29="Passed"),1,0)</f>
        <v/>
      </c>
      <c r="S29" s="32">
        <f>IF(AND($L29=1,ISNUMBER($G29)),IF(SUMPRODUCT((Runs!$B$6:$B$105=$A29)*(Runs!$N$6:$N$105="Planned")*(Runs!$C$6:$C$105&gt;$G29))&gt;0,1,0),0)</f>
        <v/>
      </c>
      <c r="T29" s="32">
        <f>IF(AND($L29=1,OR($F29="",$F29="Open"),NOT(ISNUMBER($G29))),1,0)</f>
        <v/>
      </c>
      <c r="U29" s="32">
        <f>IF($L29=0,0,$M29-COUNTIFS(Runs!$B$6:$B$105,$A29,Runs!$N$6:$N$105,"Not run"))</f>
        <v/>
      </c>
      <c r="V29" s="32">
        <f>IF($L29=0,0,COUNTIFS(Runs!$B$6:$B$105,$A29,Runs!$N$6:$N$105,"Planned"))</f>
        <v/>
      </c>
      <c r="W29" s="32">
        <f>IF(AND($L29=1,OR($F29="",$F29="Open"),ISNUMBER($G29),ISNUMBER(MATCH($B29,Summary!$G$28:$G$34,0))),IF(ISNUMBER(INDEX(Summary!$H$28:$H$34,MATCH($B29,Summary!$G$28:$G$34,0))),IF($G29&lt;&gt;INDEX(Summary!$H$28:$H$34,MATCH($B29,Summary!$G$28:$G$34,0)),1,0),0),0)</f>
        <v/>
      </c>
    </row>
    <row r="30">
      <c r="A30" s="27" t="n"/>
      <c r="B30" s="28" t="n"/>
      <c r="C30" s="28" t="n"/>
      <c r="D30" s="28" t="n"/>
      <c r="E30" s="28" t="n"/>
      <c r="F30" s="27" t="n"/>
      <c r="G30" s="29" t="n"/>
      <c r="H30" s="30">
        <f>IF($L30=0,"",$M30)</f>
        <v/>
      </c>
      <c r="I30" s="31">
        <f>IF($N30=0,"",INDEX(Runs!$A$6:$A$105,$N30))</f>
        <v/>
      </c>
      <c r="J30" s="31">
        <f>IF($L30=0,"",IF($N30&gt;0,INDEX(Runs!$N$6:$N$105,$N30),IF(COUNTIFS(Runs!$B$6:$B$105,$A30,Runs!$N$6:$N$105,"Planned")&gt;0,"Planned","No run")))</f>
        <v/>
      </c>
      <c r="K30" s="19">
        <f>IF($L30=0,"",IF($O30+$P30+$Q30=0,"○ Clear",IF($O30=1,"△ No ID, or ID used twice",IF($P30=1,"△ Met with no passing run",IF($J30="Failed","△ Needed soon, failed, with no re-run booked","△ Needed soon, with no run booked")))&amp;IF($O30+$P30+$Q30&gt;1,", and "&amp;($O30+$P30+$Q30-1)&amp;" more",""))&amp;IF($R30=1,"  ◇ passed: the Owner can mark it Met","")&amp;IF($S30=1,"  ◇ a run is planned after Needed by","")&amp;IF($T30=1,"  ◇ no Needed by date","")&amp;IF($W30=1,"  ◇ Needed by isn't the gate map's Date",""))</f>
        <v/>
      </c>
      <c r="L30" s="32">
        <f>IF(COUNTA($A30:$G30)&gt;0,1,0)</f>
        <v/>
      </c>
      <c r="M30" s="32">
        <f>IF($L30=0,0,COUNTIF(Runs!$B$6:$B$105,$A30))</f>
        <v/>
      </c>
      <c r="N30" s="32">
        <f>IF($L30=0,0,IFERROR(MATCH($A30,Runs!$R$6:$R$105,0),0))</f>
        <v/>
      </c>
      <c r="O30" s="32">
        <f>IF($L30=0,0,IF(OR(TRIM($A30)="",COUNTIF($A$6:$A$105,$A30)&gt;1),1,0))</f>
        <v/>
      </c>
      <c r="P30" s="32">
        <f>IF($L30=0,0,IF(AND($F30="Met",$J30&lt;&gt;"Passed"),1,0))</f>
        <v/>
      </c>
      <c r="Q30" s="32">
        <f>IF(OR($L30=0,$F30="Met",$F30="Waived",NOT(ISNUMBER($G30))),0,IF(AND($G30&lt;=Summary!$B$12+N(Summary!$B$11),OR($U30=0,AND($J30="Failed",$V30=0))),1,0))</f>
        <v/>
      </c>
      <c r="R30" s="32">
        <f>IF(AND($L30=1,OR($F30="",$F30="Open"),$J30="Passed"),1,0)</f>
        <v/>
      </c>
      <c r="S30" s="32">
        <f>IF(AND($L30=1,ISNUMBER($G30)),IF(SUMPRODUCT((Runs!$B$6:$B$105=$A30)*(Runs!$N$6:$N$105="Planned")*(Runs!$C$6:$C$105&gt;$G30))&gt;0,1,0),0)</f>
        <v/>
      </c>
      <c r="T30" s="32">
        <f>IF(AND($L30=1,OR($F30="",$F30="Open"),NOT(ISNUMBER($G30))),1,0)</f>
        <v/>
      </c>
      <c r="U30" s="32">
        <f>IF($L30=0,0,$M30-COUNTIFS(Runs!$B$6:$B$105,$A30,Runs!$N$6:$N$105,"Not run"))</f>
        <v/>
      </c>
      <c r="V30" s="32">
        <f>IF($L30=0,0,COUNTIFS(Runs!$B$6:$B$105,$A30,Runs!$N$6:$N$105,"Planned"))</f>
        <v/>
      </c>
      <c r="W30" s="32">
        <f>IF(AND($L30=1,OR($F30="",$F30="Open"),ISNUMBER($G30),ISNUMBER(MATCH($B30,Summary!$G$28:$G$34,0))),IF(ISNUMBER(INDEX(Summary!$H$28:$H$34,MATCH($B30,Summary!$G$28:$G$34,0))),IF($G30&lt;&gt;INDEX(Summary!$H$28:$H$34,MATCH($B30,Summary!$G$28:$G$34,0)),1,0),0),0)</f>
        <v/>
      </c>
    </row>
    <row r="31">
      <c r="A31" s="27" t="n"/>
      <c r="B31" s="28" t="n"/>
      <c r="C31" s="28" t="n"/>
      <c r="D31" s="28" t="n"/>
      <c r="E31" s="28" t="n"/>
      <c r="F31" s="27" t="n"/>
      <c r="G31" s="29" t="n"/>
      <c r="H31" s="30">
        <f>IF($L31=0,"",$M31)</f>
        <v/>
      </c>
      <c r="I31" s="31">
        <f>IF($N31=0,"",INDEX(Runs!$A$6:$A$105,$N31))</f>
        <v/>
      </c>
      <c r="J31" s="31">
        <f>IF($L31=0,"",IF($N31&gt;0,INDEX(Runs!$N$6:$N$105,$N31),IF(COUNTIFS(Runs!$B$6:$B$105,$A31,Runs!$N$6:$N$105,"Planned")&gt;0,"Planned","No run")))</f>
        <v/>
      </c>
      <c r="K31" s="19">
        <f>IF($L31=0,"",IF($O31+$P31+$Q31=0,"○ Clear",IF($O31=1,"△ No ID, or ID used twice",IF($P31=1,"△ Met with no passing run",IF($J31="Failed","△ Needed soon, failed, with no re-run booked","△ Needed soon, with no run booked")))&amp;IF($O31+$P31+$Q31&gt;1,", and "&amp;($O31+$P31+$Q31-1)&amp;" more",""))&amp;IF($R31=1,"  ◇ passed: the Owner can mark it Met","")&amp;IF($S31=1,"  ◇ a run is planned after Needed by","")&amp;IF($T31=1,"  ◇ no Needed by date","")&amp;IF($W31=1,"  ◇ Needed by isn't the gate map's Date",""))</f>
        <v/>
      </c>
      <c r="L31" s="32">
        <f>IF(COUNTA($A31:$G31)&gt;0,1,0)</f>
        <v/>
      </c>
      <c r="M31" s="32">
        <f>IF($L31=0,0,COUNTIF(Runs!$B$6:$B$105,$A31))</f>
        <v/>
      </c>
      <c r="N31" s="32">
        <f>IF($L31=0,0,IFERROR(MATCH($A31,Runs!$R$6:$R$105,0),0))</f>
        <v/>
      </c>
      <c r="O31" s="32">
        <f>IF($L31=0,0,IF(OR(TRIM($A31)="",COUNTIF($A$6:$A$105,$A31)&gt;1),1,0))</f>
        <v/>
      </c>
      <c r="P31" s="32">
        <f>IF($L31=0,0,IF(AND($F31="Met",$J31&lt;&gt;"Passed"),1,0))</f>
        <v/>
      </c>
      <c r="Q31" s="32">
        <f>IF(OR($L31=0,$F31="Met",$F31="Waived",NOT(ISNUMBER($G31))),0,IF(AND($G31&lt;=Summary!$B$12+N(Summary!$B$11),OR($U31=0,AND($J31="Failed",$V31=0))),1,0))</f>
        <v/>
      </c>
      <c r="R31" s="32">
        <f>IF(AND($L31=1,OR($F31="",$F31="Open"),$J31="Passed"),1,0)</f>
        <v/>
      </c>
      <c r="S31" s="32">
        <f>IF(AND($L31=1,ISNUMBER($G31)),IF(SUMPRODUCT((Runs!$B$6:$B$105=$A31)*(Runs!$N$6:$N$105="Planned")*(Runs!$C$6:$C$105&gt;$G31))&gt;0,1,0),0)</f>
        <v/>
      </c>
      <c r="T31" s="32">
        <f>IF(AND($L31=1,OR($F31="",$F31="Open"),NOT(ISNUMBER($G31))),1,0)</f>
        <v/>
      </c>
      <c r="U31" s="32">
        <f>IF($L31=0,0,$M31-COUNTIFS(Runs!$B$6:$B$105,$A31,Runs!$N$6:$N$105,"Not run"))</f>
        <v/>
      </c>
      <c r="V31" s="32">
        <f>IF($L31=0,0,COUNTIFS(Runs!$B$6:$B$105,$A31,Runs!$N$6:$N$105,"Planned"))</f>
        <v/>
      </c>
      <c r="W31" s="32">
        <f>IF(AND($L31=1,OR($F31="",$F31="Open"),ISNUMBER($G31),ISNUMBER(MATCH($B31,Summary!$G$28:$G$34,0))),IF(ISNUMBER(INDEX(Summary!$H$28:$H$34,MATCH($B31,Summary!$G$28:$G$34,0))),IF($G31&lt;&gt;INDEX(Summary!$H$28:$H$34,MATCH($B31,Summary!$G$28:$G$34,0)),1,0),0),0)</f>
        <v/>
      </c>
    </row>
    <row r="32">
      <c r="A32" s="27" t="n"/>
      <c r="B32" s="28" t="n"/>
      <c r="C32" s="28" t="n"/>
      <c r="D32" s="28" t="n"/>
      <c r="E32" s="28" t="n"/>
      <c r="F32" s="27" t="n"/>
      <c r="G32" s="29" t="n"/>
      <c r="H32" s="30">
        <f>IF($L32=0,"",$M32)</f>
        <v/>
      </c>
      <c r="I32" s="31">
        <f>IF($N32=0,"",INDEX(Runs!$A$6:$A$105,$N32))</f>
        <v/>
      </c>
      <c r="J32" s="31">
        <f>IF($L32=0,"",IF($N32&gt;0,INDEX(Runs!$N$6:$N$105,$N32),IF(COUNTIFS(Runs!$B$6:$B$105,$A32,Runs!$N$6:$N$105,"Planned")&gt;0,"Planned","No run")))</f>
        <v/>
      </c>
      <c r="K32" s="19">
        <f>IF($L32=0,"",IF($O32+$P32+$Q32=0,"○ Clear",IF($O32=1,"△ No ID, or ID used twice",IF($P32=1,"△ Met with no passing run",IF($J32="Failed","△ Needed soon, failed, with no re-run booked","△ Needed soon, with no run booked")))&amp;IF($O32+$P32+$Q32&gt;1,", and "&amp;($O32+$P32+$Q32-1)&amp;" more",""))&amp;IF($R32=1,"  ◇ passed: the Owner can mark it Met","")&amp;IF($S32=1,"  ◇ a run is planned after Needed by","")&amp;IF($T32=1,"  ◇ no Needed by date","")&amp;IF($W32=1,"  ◇ Needed by isn't the gate map's Date",""))</f>
        <v/>
      </c>
      <c r="L32" s="32">
        <f>IF(COUNTA($A32:$G32)&gt;0,1,0)</f>
        <v/>
      </c>
      <c r="M32" s="32">
        <f>IF($L32=0,0,COUNTIF(Runs!$B$6:$B$105,$A32))</f>
        <v/>
      </c>
      <c r="N32" s="32">
        <f>IF($L32=0,0,IFERROR(MATCH($A32,Runs!$R$6:$R$105,0),0))</f>
        <v/>
      </c>
      <c r="O32" s="32">
        <f>IF($L32=0,0,IF(OR(TRIM($A32)="",COUNTIF($A$6:$A$105,$A32)&gt;1),1,0))</f>
        <v/>
      </c>
      <c r="P32" s="32">
        <f>IF($L32=0,0,IF(AND($F32="Met",$J32&lt;&gt;"Passed"),1,0))</f>
        <v/>
      </c>
      <c r="Q32" s="32">
        <f>IF(OR($L32=0,$F32="Met",$F32="Waived",NOT(ISNUMBER($G32))),0,IF(AND($G32&lt;=Summary!$B$12+N(Summary!$B$11),OR($U32=0,AND($J32="Failed",$V32=0))),1,0))</f>
        <v/>
      </c>
      <c r="R32" s="32">
        <f>IF(AND($L32=1,OR($F32="",$F32="Open"),$J32="Passed"),1,0)</f>
        <v/>
      </c>
      <c r="S32" s="32">
        <f>IF(AND($L32=1,ISNUMBER($G32)),IF(SUMPRODUCT((Runs!$B$6:$B$105=$A32)*(Runs!$N$6:$N$105="Planned")*(Runs!$C$6:$C$105&gt;$G32))&gt;0,1,0),0)</f>
        <v/>
      </c>
      <c r="T32" s="32">
        <f>IF(AND($L32=1,OR($F32="",$F32="Open"),NOT(ISNUMBER($G32))),1,0)</f>
        <v/>
      </c>
      <c r="U32" s="32">
        <f>IF($L32=0,0,$M32-COUNTIFS(Runs!$B$6:$B$105,$A32,Runs!$N$6:$N$105,"Not run"))</f>
        <v/>
      </c>
      <c r="V32" s="32">
        <f>IF($L32=0,0,COUNTIFS(Runs!$B$6:$B$105,$A32,Runs!$N$6:$N$105,"Planned"))</f>
        <v/>
      </c>
      <c r="W32" s="32">
        <f>IF(AND($L32=1,OR($F32="",$F32="Open"),ISNUMBER($G32),ISNUMBER(MATCH($B32,Summary!$G$28:$G$34,0))),IF(ISNUMBER(INDEX(Summary!$H$28:$H$34,MATCH($B32,Summary!$G$28:$G$34,0))),IF($G32&lt;&gt;INDEX(Summary!$H$28:$H$34,MATCH($B32,Summary!$G$28:$G$34,0)),1,0),0),0)</f>
        <v/>
      </c>
    </row>
    <row r="33">
      <c r="A33" s="27" t="n"/>
      <c r="B33" s="28" t="n"/>
      <c r="C33" s="28" t="n"/>
      <c r="D33" s="28" t="n"/>
      <c r="E33" s="28" t="n"/>
      <c r="F33" s="27" t="n"/>
      <c r="G33" s="29" t="n"/>
      <c r="H33" s="30">
        <f>IF($L33=0,"",$M33)</f>
        <v/>
      </c>
      <c r="I33" s="31">
        <f>IF($N33=0,"",INDEX(Runs!$A$6:$A$105,$N33))</f>
        <v/>
      </c>
      <c r="J33" s="31">
        <f>IF($L33=0,"",IF($N33&gt;0,INDEX(Runs!$N$6:$N$105,$N33),IF(COUNTIFS(Runs!$B$6:$B$105,$A33,Runs!$N$6:$N$105,"Planned")&gt;0,"Planned","No run")))</f>
        <v/>
      </c>
      <c r="K33" s="19">
        <f>IF($L33=0,"",IF($O33+$P33+$Q33=0,"○ Clear",IF($O33=1,"△ No ID, or ID used twice",IF($P33=1,"△ Met with no passing run",IF($J33="Failed","△ Needed soon, failed, with no re-run booked","△ Needed soon, with no run booked")))&amp;IF($O33+$P33+$Q33&gt;1,", and "&amp;($O33+$P33+$Q33-1)&amp;" more",""))&amp;IF($R33=1,"  ◇ passed: the Owner can mark it Met","")&amp;IF($S33=1,"  ◇ a run is planned after Needed by","")&amp;IF($T33=1,"  ◇ no Needed by date","")&amp;IF($W33=1,"  ◇ Needed by isn't the gate map's Date",""))</f>
        <v/>
      </c>
      <c r="L33" s="32">
        <f>IF(COUNTA($A33:$G33)&gt;0,1,0)</f>
        <v/>
      </c>
      <c r="M33" s="32">
        <f>IF($L33=0,0,COUNTIF(Runs!$B$6:$B$105,$A33))</f>
        <v/>
      </c>
      <c r="N33" s="32">
        <f>IF($L33=0,0,IFERROR(MATCH($A33,Runs!$R$6:$R$105,0),0))</f>
        <v/>
      </c>
      <c r="O33" s="32">
        <f>IF($L33=0,0,IF(OR(TRIM($A33)="",COUNTIF($A$6:$A$105,$A33)&gt;1),1,0))</f>
        <v/>
      </c>
      <c r="P33" s="32">
        <f>IF($L33=0,0,IF(AND($F33="Met",$J33&lt;&gt;"Passed"),1,0))</f>
        <v/>
      </c>
      <c r="Q33" s="32">
        <f>IF(OR($L33=0,$F33="Met",$F33="Waived",NOT(ISNUMBER($G33))),0,IF(AND($G33&lt;=Summary!$B$12+N(Summary!$B$11),OR($U33=0,AND($J33="Failed",$V33=0))),1,0))</f>
        <v/>
      </c>
      <c r="R33" s="32">
        <f>IF(AND($L33=1,OR($F33="",$F33="Open"),$J33="Passed"),1,0)</f>
        <v/>
      </c>
      <c r="S33" s="32">
        <f>IF(AND($L33=1,ISNUMBER($G33)),IF(SUMPRODUCT((Runs!$B$6:$B$105=$A33)*(Runs!$N$6:$N$105="Planned")*(Runs!$C$6:$C$105&gt;$G33))&gt;0,1,0),0)</f>
        <v/>
      </c>
      <c r="T33" s="32">
        <f>IF(AND($L33=1,OR($F33="",$F33="Open"),NOT(ISNUMBER($G33))),1,0)</f>
        <v/>
      </c>
      <c r="U33" s="32">
        <f>IF($L33=0,0,$M33-COUNTIFS(Runs!$B$6:$B$105,$A33,Runs!$N$6:$N$105,"Not run"))</f>
        <v/>
      </c>
      <c r="V33" s="32">
        <f>IF($L33=0,0,COUNTIFS(Runs!$B$6:$B$105,$A33,Runs!$N$6:$N$105,"Planned"))</f>
        <v/>
      </c>
      <c r="W33" s="32">
        <f>IF(AND($L33=1,OR($F33="",$F33="Open"),ISNUMBER($G33),ISNUMBER(MATCH($B33,Summary!$G$28:$G$34,0))),IF(ISNUMBER(INDEX(Summary!$H$28:$H$34,MATCH($B33,Summary!$G$28:$G$34,0))),IF($G33&lt;&gt;INDEX(Summary!$H$28:$H$34,MATCH($B33,Summary!$G$28:$G$34,0)),1,0),0),0)</f>
        <v/>
      </c>
    </row>
    <row r="34">
      <c r="A34" s="27" t="n"/>
      <c r="B34" s="28" t="n"/>
      <c r="C34" s="28" t="n"/>
      <c r="D34" s="28" t="n"/>
      <c r="E34" s="28" t="n"/>
      <c r="F34" s="27" t="n"/>
      <c r="G34" s="29" t="n"/>
      <c r="H34" s="30">
        <f>IF($L34=0,"",$M34)</f>
        <v/>
      </c>
      <c r="I34" s="31">
        <f>IF($N34=0,"",INDEX(Runs!$A$6:$A$105,$N34))</f>
        <v/>
      </c>
      <c r="J34" s="31">
        <f>IF($L34=0,"",IF($N34&gt;0,INDEX(Runs!$N$6:$N$105,$N34),IF(COUNTIFS(Runs!$B$6:$B$105,$A34,Runs!$N$6:$N$105,"Planned")&gt;0,"Planned","No run")))</f>
        <v/>
      </c>
      <c r="K34" s="19">
        <f>IF($L34=0,"",IF($O34+$P34+$Q34=0,"○ Clear",IF($O34=1,"△ No ID, or ID used twice",IF($P34=1,"△ Met with no passing run",IF($J34="Failed","△ Needed soon, failed, with no re-run booked","△ Needed soon, with no run booked")))&amp;IF($O34+$P34+$Q34&gt;1,", and "&amp;($O34+$P34+$Q34-1)&amp;" more",""))&amp;IF($R34=1,"  ◇ passed: the Owner can mark it Met","")&amp;IF($S34=1,"  ◇ a run is planned after Needed by","")&amp;IF($T34=1,"  ◇ no Needed by date","")&amp;IF($W34=1,"  ◇ Needed by isn't the gate map's Date",""))</f>
        <v/>
      </c>
      <c r="L34" s="32">
        <f>IF(COUNTA($A34:$G34)&gt;0,1,0)</f>
        <v/>
      </c>
      <c r="M34" s="32">
        <f>IF($L34=0,0,COUNTIF(Runs!$B$6:$B$105,$A34))</f>
        <v/>
      </c>
      <c r="N34" s="32">
        <f>IF($L34=0,0,IFERROR(MATCH($A34,Runs!$R$6:$R$105,0),0))</f>
        <v/>
      </c>
      <c r="O34" s="32">
        <f>IF($L34=0,0,IF(OR(TRIM($A34)="",COUNTIF($A$6:$A$105,$A34)&gt;1),1,0))</f>
        <v/>
      </c>
      <c r="P34" s="32">
        <f>IF($L34=0,0,IF(AND($F34="Met",$J34&lt;&gt;"Passed"),1,0))</f>
        <v/>
      </c>
      <c r="Q34" s="32">
        <f>IF(OR($L34=0,$F34="Met",$F34="Waived",NOT(ISNUMBER($G34))),0,IF(AND($G34&lt;=Summary!$B$12+N(Summary!$B$11),OR($U34=0,AND($J34="Failed",$V34=0))),1,0))</f>
        <v/>
      </c>
      <c r="R34" s="32">
        <f>IF(AND($L34=1,OR($F34="",$F34="Open"),$J34="Passed"),1,0)</f>
        <v/>
      </c>
      <c r="S34" s="32">
        <f>IF(AND($L34=1,ISNUMBER($G34)),IF(SUMPRODUCT((Runs!$B$6:$B$105=$A34)*(Runs!$N$6:$N$105="Planned")*(Runs!$C$6:$C$105&gt;$G34))&gt;0,1,0),0)</f>
        <v/>
      </c>
      <c r="T34" s="32">
        <f>IF(AND($L34=1,OR($F34="",$F34="Open"),NOT(ISNUMBER($G34))),1,0)</f>
        <v/>
      </c>
      <c r="U34" s="32">
        <f>IF($L34=0,0,$M34-COUNTIFS(Runs!$B$6:$B$105,$A34,Runs!$N$6:$N$105,"Not run"))</f>
        <v/>
      </c>
      <c r="V34" s="32">
        <f>IF($L34=0,0,COUNTIFS(Runs!$B$6:$B$105,$A34,Runs!$N$6:$N$105,"Planned"))</f>
        <v/>
      </c>
      <c r="W34" s="32">
        <f>IF(AND($L34=1,OR($F34="",$F34="Open"),ISNUMBER($G34),ISNUMBER(MATCH($B34,Summary!$G$28:$G$34,0))),IF(ISNUMBER(INDEX(Summary!$H$28:$H$34,MATCH($B34,Summary!$G$28:$G$34,0))),IF($G34&lt;&gt;INDEX(Summary!$H$28:$H$34,MATCH($B34,Summary!$G$28:$G$34,0)),1,0),0),0)</f>
        <v/>
      </c>
    </row>
    <row r="35">
      <c r="A35" s="27" t="n"/>
      <c r="B35" s="28" t="n"/>
      <c r="C35" s="28" t="n"/>
      <c r="D35" s="28" t="n"/>
      <c r="E35" s="28" t="n"/>
      <c r="F35" s="27" t="n"/>
      <c r="G35" s="29" t="n"/>
      <c r="H35" s="30">
        <f>IF($L35=0,"",$M35)</f>
        <v/>
      </c>
      <c r="I35" s="31">
        <f>IF($N35=0,"",INDEX(Runs!$A$6:$A$105,$N35))</f>
        <v/>
      </c>
      <c r="J35" s="31">
        <f>IF($L35=0,"",IF($N35&gt;0,INDEX(Runs!$N$6:$N$105,$N35),IF(COUNTIFS(Runs!$B$6:$B$105,$A35,Runs!$N$6:$N$105,"Planned")&gt;0,"Planned","No run")))</f>
        <v/>
      </c>
      <c r="K35" s="19">
        <f>IF($L35=0,"",IF($O35+$P35+$Q35=0,"○ Clear",IF($O35=1,"△ No ID, or ID used twice",IF($P35=1,"△ Met with no passing run",IF($J35="Failed","△ Needed soon, failed, with no re-run booked","△ Needed soon, with no run booked")))&amp;IF($O35+$P35+$Q35&gt;1,", and "&amp;($O35+$P35+$Q35-1)&amp;" more",""))&amp;IF($R35=1,"  ◇ passed: the Owner can mark it Met","")&amp;IF($S35=1,"  ◇ a run is planned after Needed by","")&amp;IF($T35=1,"  ◇ no Needed by date","")&amp;IF($W35=1,"  ◇ Needed by isn't the gate map's Date",""))</f>
        <v/>
      </c>
      <c r="L35" s="32">
        <f>IF(COUNTA($A35:$G35)&gt;0,1,0)</f>
        <v/>
      </c>
      <c r="M35" s="32">
        <f>IF($L35=0,0,COUNTIF(Runs!$B$6:$B$105,$A35))</f>
        <v/>
      </c>
      <c r="N35" s="32">
        <f>IF($L35=0,0,IFERROR(MATCH($A35,Runs!$R$6:$R$105,0),0))</f>
        <v/>
      </c>
      <c r="O35" s="32">
        <f>IF($L35=0,0,IF(OR(TRIM($A35)="",COUNTIF($A$6:$A$105,$A35)&gt;1),1,0))</f>
        <v/>
      </c>
      <c r="P35" s="32">
        <f>IF($L35=0,0,IF(AND($F35="Met",$J35&lt;&gt;"Passed"),1,0))</f>
        <v/>
      </c>
      <c r="Q35" s="32">
        <f>IF(OR($L35=0,$F35="Met",$F35="Waived",NOT(ISNUMBER($G35))),0,IF(AND($G35&lt;=Summary!$B$12+N(Summary!$B$11),OR($U35=0,AND($J35="Failed",$V35=0))),1,0))</f>
        <v/>
      </c>
      <c r="R35" s="32">
        <f>IF(AND($L35=1,OR($F35="",$F35="Open"),$J35="Passed"),1,0)</f>
        <v/>
      </c>
      <c r="S35" s="32">
        <f>IF(AND($L35=1,ISNUMBER($G35)),IF(SUMPRODUCT((Runs!$B$6:$B$105=$A35)*(Runs!$N$6:$N$105="Planned")*(Runs!$C$6:$C$105&gt;$G35))&gt;0,1,0),0)</f>
        <v/>
      </c>
      <c r="T35" s="32">
        <f>IF(AND($L35=1,OR($F35="",$F35="Open"),NOT(ISNUMBER($G35))),1,0)</f>
        <v/>
      </c>
      <c r="U35" s="32">
        <f>IF($L35=0,0,$M35-COUNTIFS(Runs!$B$6:$B$105,$A35,Runs!$N$6:$N$105,"Not run"))</f>
        <v/>
      </c>
      <c r="V35" s="32">
        <f>IF($L35=0,0,COUNTIFS(Runs!$B$6:$B$105,$A35,Runs!$N$6:$N$105,"Planned"))</f>
        <v/>
      </c>
      <c r="W35" s="32">
        <f>IF(AND($L35=1,OR($F35="",$F35="Open"),ISNUMBER($G35),ISNUMBER(MATCH($B35,Summary!$G$28:$G$34,0))),IF(ISNUMBER(INDEX(Summary!$H$28:$H$34,MATCH($B35,Summary!$G$28:$G$34,0))),IF($G35&lt;&gt;INDEX(Summary!$H$28:$H$34,MATCH($B35,Summary!$G$28:$G$34,0)),1,0),0),0)</f>
        <v/>
      </c>
    </row>
    <row r="36">
      <c r="A36" s="27" t="n"/>
      <c r="B36" s="28" t="n"/>
      <c r="C36" s="28" t="n"/>
      <c r="D36" s="28" t="n"/>
      <c r="E36" s="28" t="n"/>
      <c r="F36" s="27" t="n"/>
      <c r="G36" s="29" t="n"/>
      <c r="H36" s="30">
        <f>IF($L36=0,"",$M36)</f>
        <v/>
      </c>
      <c r="I36" s="31">
        <f>IF($N36=0,"",INDEX(Runs!$A$6:$A$105,$N36))</f>
        <v/>
      </c>
      <c r="J36" s="31">
        <f>IF($L36=0,"",IF($N36&gt;0,INDEX(Runs!$N$6:$N$105,$N36),IF(COUNTIFS(Runs!$B$6:$B$105,$A36,Runs!$N$6:$N$105,"Planned")&gt;0,"Planned","No run")))</f>
        <v/>
      </c>
      <c r="K36" s="19">
        <f>IF($L36=0,"",IF($O36+$P36+$Q36=0,"○ Clear",IF($O36=1,"△ No ID, or ID used twice",IF($P36=1,"△ Met with no passing run",IF($J36="Failed","△ Needed soon, failed, with no re-run booked","△ Needed soon, with no run booked")))&amp;IF($O36+$P36+$Q36&gt;1,", and "&amp;($O36+$P36+$Q36-1)&amp;" more",""))&amp;IF($R36=1,"  ◇ passed: the Owner can mark it Met","")&amp;IF($S36=1,"  ◇ a run is planned after Needed by","")&amp;IF($T36=1,"  ◇ no Needed by date","")&amp;IF($W36=1,"  ◇ Needed by isn't the gate map's Date",""))</f>
        <v/>
      </c>
      <c r="L36" s="32">
        <f>IF(COUNTA($A36:$G36)&gt;0,1,0)</f>
        <v/>
      </c>
      <c r="M36" s="32">
        <f>IF($L36=0,0,COUNTIF(Runs!$B$6:$B$105,$A36))</f>
        <v/>
      </c>
      <c r="N36" s="32">
        <f>IF($L36=0,0,IFERROR(MATCH($A36,Runs!$R$6:$R$105,0),0))</f>
        <v/>
      </c>
      <c r="O36" s="32">
        <f>IF($L36=0,0,IF(OR(TRIM($A36)="",COUNTIF($A$6:$A$105,$A36)&gt;1),1,0))</f>
        <v/>
      </c>
      <c r="P36" s="32">
        <f>IF($L36=0,0,IF(AND($F36="Met",$J36&lt;&gt;"Passed"),1,0))</f>
        <v/>
      </c>
      <c r="Q36" s="32">
        <f>IF(OR($L36=0,$F36="Met",$F36="Waived",NOT(ISNUMBER($G36))),0,IF(AND($G36&lt;=Summary!$B$12+N(Summary!$B$11),OR($U36=0,AND($J36="Failed",$V36=0))),1,0))</f>
        <v/>
      </c>
      <c r="R36" s="32">
        <f>IF(AND($L36=1,OR($F36="",$F36="Open"),$J36="Passed"),1,0)</f>
        <v/>
      </c>
      <c r="S36" s="32">
        <f>IF(AND($L36=1,ISNUMBER($G36)),IF(SUMPRODUCT((Runs!$B$6:$B$105=$A36)*(Runs!$N$6:$N$105="Planned")*(Runs!$C$6:$C$105&gt;$G36))&gt;0,1,0),0)</f>
        <v/>
      </c>
      <c r="T36" s="32">
        <f>IF(AND($L36=1,OR($F36="",$F36="Open"),NOT(ISNUMBER($G36))),1,0)</f>
        <v/>
      </c>
      <c r="U36" s="32">
        <f>IF($L36=0,0,$M36-COUNTIFS(Runs!$B$6:$B$105,$A36,Runs!$N$6:$N$105,"Not run"))</f>
        <v/>
      </c>
      <c r="V36" s="32">
        <f>IF($L36=0,0,COUNTIFS(Runs!$B$6:$B$105,$A36,Runs!$N$6:$N$105,"Planned"))</f>
        <v/>
      </c>
      <c r="W36" s="32">
        <f>IF(AND($L36=1,OR($F36="",$F36="Open"),ISNUMBER($G36),ISNUMBER(MATCH($B36,Summary!$G$28:$G$34,0))),IF(ISNUMBER(INDEX(Summary!$H$28:$H$34,MATCH($B36,Summary!$G$28:$G$34,0))),IF($G36&lt;&gt;INDEX(Summary!$H$28:$H$34,MATCH($B36,Summary!$G$28:$G$34,0)),1,0),0),0)</f>
        <v/>
      </c>
    </row>
    <row r="37">
      <c r="A37" s="27" t="n"/>
      <c r="B37" s="28" t="n"/>
      <c r="C37" s="28" t="n"/>
      <c r="D37" s="28" t="n"/>
      <c r="E37" s="28" t="n"/>
      <c r="F37" s="27" t="n"/>
      <c r="G37" s="29" t="n"/>
      <c r="H37" s="30">
        <f>IF($L37=0,"",$M37)</f>
        <v/>
      </c>
      <c r="I37" s="31">
        <f>IF($N37=0,"",INDEX(Runs!$A$6:$A$105,$N37))</f>
        <v/>
      </c>
      <c r="J37" s="31">
        <f>IF($L37=0,"",IF($N37&gt;0,INDEX(Runs!$N$6:$N$105,$N37),IF(COUNTIFS(Runs!$B$6:$B$105,$A37,Runs!$N$6:$N$105,"Planned")&gt;0,"Planned","No run")))</f>
        <v/>
      </c>
      <c r="K37" s="19">
        <f>IF($L37=0,"",IF($O37+$P37+$Q37=0,"○ Clear",IF($O37=1,"△ No ID, or ID used twice",IF($P37=1,"△ Met with no passing run",IF($J37="Failed","△ Needed soon, failed, with no re-run booked","△ Needed soon, with no run booked")))&amp;IF($O37+$P37+$Q37&gt;1,", and "&amp;($O37+$P37+$Q37-1)&amp;" more",""))&amp;IF($R37=1,"  ◇ passed: the Owner can mark it Met","")&amp;IF($S37=1,"  ◇ a run is planned after Needed by","")&amp;IF($T37=1,"  ◇ no Needed by date","")&amp;IF($W37=1,"  ◇ Needed by isn't the gate map's Date",""))</f>
        <v/>
      </c>
      <c r="L37" s="32">
        <f>IF(COUNTA($A37:$G37)&gt;0,1,0)</f>
        <v/>
      </c>
      <c r="M37" s="32">
        <f>IF($L37=0,0,COUNTIF(Runs!$B$6:$B$105,$A37))</f>
        <v/>
      </c>
      <c r="N37" s="32">
        <f>IF($L37=0,0,IFERROR(MATCH($A37,Runs!$R$6:$R$105,0),0))</f>
        <v/>
      </c>
      <c r="O37" s="32">
        <f>IF($L37=0,0,IF(OR(TRIM($A37)="",COUNTIF($A$6:$A$105,$A37)&gt;1),1,0))</f>
        <v/>
      </c>
      <c r="P37" s="32">
        <f>IF($L37=0,0,IF(AND($F37="Met",$J37&lt;&gt;"Passed"),1,0))</f>
        <v/>
      </c>
      <c r="Q37" s="32">
        <f>IF(OR($L37=0,$F37="Met",$F37="Waived",NOT(ISNUMBER($G37))),0,IF(AND($G37&lt;=Summary!$B$12+N(Summary!$B$11),OR($U37=0,AND($J37="Failed",$V37=0))),1,0))</f>
        <v/>
      </c>
      <c r="R37" s="32">
        <f>IF(AND($L37=1,OR($F37="",$F37="Open"),$J37="Passed"),1,0)</f>
        <v/>
      </c>
      <c r="S37" s="32">
        <f>IF(AND($L37=1,ISNUMBER($G37)),IF(SUMPRODUCT((Runs!$B$6:$B$105=$A37)*(Runs!$N$6:$N$105="Planned")*(Runs!$C$6:$C$105&gt;$G37))&gt;0,1,0),0)</f>
        <v/>
      </c>
      <c r="T37" s="32">
        <f>IF(AND($L37=1,OR($F37="",$F37="Open"),NOT(ISNUMBER($G37))),1,0)</f>
        <v/>
      </c>
      <c r="U37" s="32">
        <f>IF($L37=0,0,$M37-COUNTIFS(Runs!$B$6:$B$105,$A37,Runs!$N$6:$N$105,"Not run"))</f>
        <v/>
      </c>
      <c r="V37" s="32">
        <f>IF($L37=0,0,COUNTIFS(Runs!$B$6:$B$105,$A37,Runs!$N$6:$N$105,"Planned"))</f>
        <v/>
      </c>
      <c r="W37" s="32">
        <f>IF(AND($L37=1,OR($F37="",$F37="Open"),ISNUMBER($G37),ISNUMBER(MATCH($B37,Summary!$G$28:$G$34,0))),IF(ISNUMBER(INDEX(Summary!$H$28:$H$34,MATCH($B37,Summary!$G$28:$G$34,0))),IF($G37&lt;&gt;INDEX(Summary!$H$28:$H$34,MATCH($B37,Summary!$G$28:$G$34,0)),1,0),0),0)</f>
        <v/>
      </c>
    </row>
    <row r="38">
      <c r="A38" s="27" t="n"/>
      <c r="B38" s="28" t="n"/>
      <c r="C38" s="28" t="n"/>
      <c r="D38" s="28" t="n"/>
      <c r="E38" s="28" t="n"/>
      <c r="F38" s="27" t="n"/>
      <c r="G38" s="29" t="n"/>
      <c r="H38" s="30">
        <f>IF($L38=0,"",$M38)</f>
        <v/>
      </c>
      <c r="I38" s="31">
        <f>IF($N38=0,"",INDEX(Runs!$A$6:$A$105,$N38))</f>
        <v/>
      </c>
      <c r="J38" s="31">
        <f>IF($L38=0,"",IF($N38&gt;0,INDEX(Runs!$N$6:$N$105,$N38),IF(COUNTIFS(Runs!$B$6:$B$105,$A38,Runs!$N$6:$N$105,"Planned")&gt;0,"Planned","No run")))</f>
        <v/>
      </c>
      <c r="K38" s="19">
        <f>IF($L38=0,"",IF($O38+$P38+$Q38=0,"○ Clear",IF($O38=1,"△ No ID, or ID used twice",IF($P38=1,"△ Met with no passing run",IF($J38="Failed","△ Needed soon, failed, with no re-run booked","△ Needed soon, with no run booked")))&amp;IF($O38+$P38+$Q38&gt;1,", and "&amp;($O38+$P38+$Q38-1)&amp;" more",""))&amp;IF($R38=1,"  ◇ passed: the Owner can mark it Met","")&amp;IF($S38=1,"  ◇ a run is planned after Needed by","")&amp;IF($T38=1,"  ◇ no Needed by date","")&amp;IF($W38=1,"  ◇ Needed by isn't the gate map's Date",""))</f>
        <v/>
      </c>
      <c r="L38" s="32">
        <f>IF(COUNTA($A38:$G38)&gt;0,1,0)</f>
        <v/>
      </c>
      <c r="M38" s="32">
        <f>IF($L38=0,0,COUNTIF(Runs!$B$6:$B$105,$A38))</f>
        <v/>
      </c>
      <c r="N38" s="32">
        <f>IF($L38=0,0,IFERROR(MATCH($A38,Runs!$R$6:$R$105,0),0))</f>
        <v/>
      </c>
      <c r="O38" s="32">
        <f>IF($L38=0,0,IF(OR(TRIM($A38)="",COUNTIF($A$6:$A$105,$A38)&gt;1),1,0))</f>
        <v/>
      </c>
      <c r="P38" s="32">
        <f>IF($L38=0,0,IF(AND($F38="Met",$J38&lt;&gt;"Passed"),1,0))</f>
        <v/>
      </c>
      <c r="Q38" s="32">
        <f>IF(OR($L38=0,$F38="Met",$F38="Waived",NOT(ISNUMBER($G38))),0,IF(AND($G38&lt;=Summary!$B$12+N(Summary!$B$11),OR($U38=0,AND($J38="Failed",$V38=0))),1,0))</f>
        <v/>
      </c>
      <c r="R38" s="32">
        <f>IF(AND($L38=1,OR($F38="",$F38="Open"),$J38="Passed"),1,0)</f>
        <v/>
      </c>
      <c r="S38" s="32">
        <f>IF(AND($L38=1,ISNUMBER($G38)),IF(SUMPRODUCT((Runs!$B$6:$B$105=$A38)*(Runs!$N$6:$N$105="Planned")*(Runs!$C$6:$C$105&gt;$G38))&gt;0,1,0),0)</f>
        <v/>
      </c>
      <c r="T38" s="32">
        <f>IF(AND($L38=1,OR($F38="",$F38="Open"),NOT(ISNUMBER($G38))),1,0)</f>
        <v/>
      </c>
      <c r="U38" s="32">
        <f>IF($L38=0,0,$M38-COUNTIFS(Runs!$B$6:$B$105,$A38,Runs!$N$6:$N$105,"Not run"))</f>
        <v/>
      </c>
      <c r="V38" s="32">
        <f>IF($L38=0,0,COUNTIFS(Runs!$B$6:$B$105,$A38,Runs!$N$6:$N$105,"Planned"))</f>
        <v/>
      </c>
      <c r="W38" s="32">
        <f>IF(AND($L38=1,OR($F38="",$F38="Open"),ISNUMBER($G38),ISNUMBER(MATCH($B38,Summary!$G$28:$G$34,0))),IF(ISNUMBER(INDEX(Summary!$H$28:$H$34,MATCH($B38,Summary!$G$28:$G$34,0))),IF($G38&lt;&gt;INDEX(Summary!$H$28:$H$34,MATCH($B38,Summary!$G$28:$G$34,0)),1,0),0),0)</f>
        <v/>
      </c>
    </row>
    <row r="39">
      <c r="A39" s="27" t="n"/>
      <c r="B39" s="28" t="n"/>
      <c r="C39" s="28" t="n"/>
      <c r="D39" s="28" t="n"/>
      <c r="E39" s="28" t="n"/>
      <c r="F39" s="27" t="n"/>
      <c r="G39" s="29" t="n"/>
      <c r="H39" s="30">
        <f>IF($L39=0,"",$M39)</f>
        <v/>
      </c>
      <c r="I39" s="31">
        <f>IF($N39=0,"",INDEX(Runs!$A$6:$A$105,$N39))</f>
        <v/>
      </c>
      <c r="J39" s="31">
        <f>IF($L39=0,"",IF($N39&gt;0,INDEX(Runs!$N$6:$N$105,$N39),IF(COUNTIFS(Runs!$B$6:$B$105,$A39,Runs!$N$6:$N$105,"Planned")&gt;0,"Planned","No run")))</f>
        <v/>
      </c>
      <c r="K39" s="19">
        <f>IF($L39=0,"",IF($O39+$P39+$Q39=0,"○ Clear",IF($O39=1,"△ No ID, or ID used twice",IF($P39=1,"△ Met with no passing run",IF($J39="Failed","△ Needed soon, failed, with no re-run booked","△ Needed soon, with no run booked")))&amp;IF($O39+$P39+$Q39&gt;1,", and "&amp;($O39+$P39+$Q39-1)&amp;" more",""))&amp;IF($R39=1,"  ◇ passed: the Owner can mark it Met","")&amp;IF($S39=1,"  ◇ a run is planned after Needed by","")&amp;IF($T39=1,"  ◇ no Needed by date","")&amp;IF($W39=1,"  ◇ Needed by isn't the gate map's Date",""))</f>
        <v/>
      </c>
      <c r="L39" s="32">
        <f>IF(COUNTA($A39:$G39)&gt;0,1,0)</f>
        <v/>
      </c>
      <c r="M39" s="32">
        <f>IF($L39=0,0,COUNTIF(Runs!$B$6:$B$105,$A39))</f>
        <v/>
      </c>
      <c r="N39" s="32">
        <f>IF($L39=0,0,IFERROR(MATCH($A39,Runs!$R$6:$R$105,0),0))</f>
        <v/>
      </c>
      <c r="O39" s="32">
        <f>IF($L39=0,0,IF(OR(TRIM($A39)="",COUNTIF($A$6:$A$105,$A39)&gt;1),1,0))</f>
        <v/>
      </c>
      <c r="P39" s="32">
        <f>IF($L39=0,0,IF(AND($F39="Met",$J39&lt;&gt;"Passed"),1,0))</f>
        <v/>
      </c>
      <c r="Q39" s="32">
        <f>IF(OR($L39=0,$F39="Met",$F39="Waived",NOT(ISNUMBER($G39))),0,IF(AND($G39&lt;=Summary!$B$12+N(Summary!$B$11),OR($U39=0,AND($J39="Failed",$V39=0))),1,0))</f>
        <v/>
      </c>
      <c r="R39" s="32">
        <f>IF(AND($L39=1,OR($F39="",$F39="Open"),$J39="Passed"),1,0)</f>
        <v/>
      </c>
      <c r="S39" s="32">
        <f>IF(AND($L39=1,ISNUMBER($G39)),IF(SUMPRODUCT((Runs!$B$6:$B$105=$A39)*(Runs!$N$6:$N$105="Planned")*(Runs!$C$6:$C$105&gt;$G39))&gt;0,1,0),0)</f>
        <v/>
      </c>
      <c r="T39" s="32">
        <f>IF(AND($L39=1,OR($F39="",$F39="Open"),NOT(ISNUMBER($G39))),1,0)</f>
        <v/>
      </c>
      <c r="U39" s="32">
        <f>IF($L39=0,0,$M39-COUNTIFS(Runs!$B$6:$B$105,$A39,Runs!$N$6:$N$105,"Not run"))</f>
        <v/>
      </c>
      <c r="V39" s="32">
        <f>IF($L39=0,0,COUNTIFS(Runs!$B$6:$B$105,$A39,Runs!$N$6:$N$105,"Planned"))</f>
        <v/>
      </c>
      <c r="W39" s="32">
        <f>IF(AND($L39=1,OR($F39="",$F39="Open"),ISNUMBER($G39),ISNUMBER(MATCH($B39,Summary!$G$28:$G$34,0))),IF(ISNUMBER(INDEX(Summary!$H$28:$H$34,MATCH($B39,Summary!$G$28:$G$34,0))),IF($G39&lt;&gt;INDEX(Summary!$H$28:$H$34,MATCH($B39,Summary!$G$28:$G$34,0)),1,0),0),0)</f>
        <v/>
      </c>
    </row>
    <row r="40">
      <c r="A40" s="27" t="n"/>
      <c r="B40" s="28" t="n"/>
      <c r="C40" s="28" t="n"/>
      <c r="D40" s="28" t="n"/>
      <c r="E40" s="28" t="n"/>
      <c r="F40" s="27" t="n"/>
      <c r="G40" s="29" t="n"/>
      <c r="H40" s="30">
        <f>IF($L40=0,"",$M40)</f>
        <v/>
      </c>
      <c r="I40" s="31">
        <f>IF($N40=0,"",INDEX(Runs!$A$6:$A$105,$N40))</f>
        <v/>
      </c>
      <c r="J40" s="31">
        <f>IF($L40=0,"",IF($N40&gt;0,INDEX(Runs!$N$6:$N$105,$N40),IF(COUNTIFS(Runs!$B$6:$B$105,$A40,Runs!$N$6:$N$105,"Planned")&gt;0,"Planned","No run")))</f>
        <v/>
      </c>
      <c r="K40" s="19">
        <f>IF($L40=0,"",IF($O40+$P40+$Q40=0,"○ Clear",IF($O40=1,"△ No ID, or ID used twice",IF($P40=1,"△ Met with no passing run",IF($J40="Failed","△ Needed soon, failed, with no re-run booked","△ Needed soon, with no run booked")))&amp;IF($O40+$P40+$Q40&gt;1,", and "&amp;($O40+$P40+$Q40-1)&amp;" more",""))&amp;IF($R40=1,"  ◇ passed: the Owner can mark it Met","")&amp;IF($S40=1,"  ◇ a run is planned after Needed by","")&amp;IF($T40=1,"  ◇ no Needed by date","")&amp;IF($W40=1,"  ◇ Needed by isn't the gate map's Date",""))</f>
        <v/>
      </c>
      <c r="L40" s="32">
        <f>IF(COUNTA($A40:$G40)&gt;0,1,0)</f>
        <v/>
      </c>
      <c r="M40" s="32">
        <f>IF($L40=0,0,COUNTIF(Runs!$B$6:$B$105,$A40))</f>
        <v/>
      </c>
      <c r="N40" s="32">
        <f>IF($L40=0,0,IFERROR(MATCH($A40,Runs!$R$6:$R$105,0),0))</f>
        <v/>
      </c>
      <c r="O40" s="32">
        <f>IF($L40=0,0,IF(OR(TRIM($A40)="",COUNTIF($A$6:$A$105,$A40)&gt;1),1,0))</f>
        <v/>
      </c>
      <c r="P40" s="32">
        <f>IF($L40=0,0,IF(AND($F40="Met",$J40&lt;&gt;"Passed"),1,0))</f>
        <v/>
      </c>
      <c r="Q40" s="32">
        <f>IF(OR($L40=0,$F40="Met",$F40="Waived",NOT(ISNUMBER($G40))),0,IF(AND($G40&lt;=Summary!$B$12+N(Summary!$B$11),OR($U40=0,AND($J40="Failed",$V40=0))),1,0))</f>
        <v/>
      </c>
      <c r="R40" s="32">
        <f>IF(AND($L40=1,OR($F40="",$F40="Open"),$J40="Passed"),1,0)</f>
        <v/>
      </c>
      <c r="S40" s="32">
        <f>IF(AND($L40=1,ISNUMBER($G40)),IF(SUMPRODUCT((Runs!$B$6:$B$105=$A40)*(Runs!$N$6:$N$105="Planned")*(Runs!$C$6:$C$105&gt;$G40))&gt;0,1,0),0)</f>
        <v/>
      </c>
      <c r="T40" s="32">
        <f>IF(AND($L40=1,OR($F40="",$F40="Open"),NOT(ISNUMBER($G40))),1,0)</f>
        <v/>
      </c>
      <c r="U40" s="32">
        <f>IF($L40=0,0,$M40-COUNTIFS(Runs!$B$6:$B$105,$A40,Runs!$N$6:$N$105,"Not run"))</f>
        <v/>
      </c>
      <c r="V40" s="32">
        <f>IF($L40=0,0,COUNTIFS(Runs!$B$6:$B$105,$A40,Runs!$N$6:$N$105,"Planned"))</f>
        <v/>
      </c>
      <c r="W40" s="32">
        <f>IF(AND($L40=1,OR($F40="",$F40="Open"),ISNUMBER($G40),ISNUMBER(MATCH($B40,Summary!$G$28:$G$34,0))),IF(ISNUMBER(INDEX(Summary!$H$28:$H$34,MATCH($B40,Summary!$G$28:$G$34,0))),IF($G40&lt;&gt;INDEX(Summary!$H$28:$H$34,MATCH($B40,Summary!$G$28:$G$34,0)),1,0),0),0)</f>
        <v/>
      </c>
    </row>
    <row r="41">
      <c r="A41" s="27" t="n"/>
      <c r="B41" s="28" t="n"/>
      <c r="C41" s="28" t="n"/>
      <c r="D41" s="28" t="n"/>
      <c r="E41" s="28" t="n"/>
      <c r="F41" s="27" t="n"/>
      <c r="G41" s="29" t="n"/>
      <c r="H41" s="30">
        <f>IF($L41=0,"",$M41)</f>
        <v/>
      </c>
      <c r="I41" s="31">
        <f>IF($N41=0,"",INDEX(Runs!$A$6:$A$105,$N41))</f>
        <v/>
      </c>
      <c r="J41" s="31">
        <f>IF($L41=0,"",IF($N41&gt;0,INDEX(Runs!$N$6:$N$105,$N41),IF(COUNTIFS(Runs!$B$6:$B$105,$A41,Runs!$N$6:$N$105,"Planned")&gt;0,"Planned","No run")))</f>
        <v/>
      </c>
      <c r="K41" s="19">
        <f>IF($L41=0,"",IF($O41+$P41+$Q41=0,"○ Clear",IF($O41=1,"△ No ID, or ID used twice",IF($P41=1,"△ Met with no passing run",IF($J41="Failed","△ Needed soon, failed, with no re-run booked","△ Needed soon, with no run booked")))&amp;IF($O41+$P41+$Q41&gt;1,", and "&amp;($O41+$P41+$Q41-1)&amp;" more",""))&amp;IF($R41=1,"  ◇ passed: the Owner can mark it Met","")&amp;IF($S41=1,"  ◇ a run is planned after Needed by","")&amp;IF($T41=1,"  ◇ no Needed by date","")&amp;IF($W41=1,"  ◇ Needed by isn't the gate map's Date",""))</f>
        <v/>
      </c>
      <c r="L41" s="32">
        <f>IF(COUNTA($A41:$G41)&gt;0,1,0)</f>
        <v/>
      </c>
      <c r="M41" s="32">
        <f>IF($L41=0,0,COUNTIF(Runs!$B$6:$B$105,$A41))</f>
        <v/>
      </c>
      <c r="N41" s="32">
        <f>IF($L41=0,0,IFERROR(MATCH($A41,Runs!$R$6:$R$105,0),0))</f>
        <v/>
      </c>
      <c r="O41" s="32">
        <f>IF($L41=0,0,IF(OR(TRIM($A41)="",COUNTIF($A$6:$A$105,$A41)&gt;1),1,0))</f>
        <v/>
      </c>
      <c r="P41" s="32">
        <f>IF($L41=0,0,IF(AND($F41="Met",$J41&lt;&gt;"Passed"),1,0))</f>
        <v/>
      </c>
      <c r="Q41" s="32">
        <f>IF(OR($L41=0,$F41="Met",$F41="Waived",NOT(ISNUMBER($G41))),0,IF(AND($G41&lt;=Summary!$B$12+N(Summary!$B$11),OR($U41=0,AND($J41="Failed",$V41=0))),1,0))</f>
        <v/>
      </c>
      <c r="R41" s="32">
        <f>IF(AND($L41=1,OR($F41="",$F41="Open"),$J41="Passed"),1,0)</f>
        <v/>
      </c>
      <c r="S41" s="32">
        <f>IF(AND($L41=1,ISNUMBER($G41)),IF(SUMPRODUCT((Runs!$B$6:$B$105=$A41)*(Runs!$N$6:$N$105="Planned")*(Runs!$C$6:$C$105&gt;$G41))&gt;0,1,0),0)</f>
        <v/>
      </c>
      <c r="T41" s="32">
        <f>IF(AND($L41=1,OR($F41="",$F41="Open"),NOT(ISNUMBER($G41))),1,0)</f>
        <v/>
      </c>
      <c r="U41" s="32">
        <f>IF($L41=0,0,$M41-COUNTIFS(Runs!$B$6:$B$105,$A41,Runs!$N$6:$N$105,"Not run"))</f>
        <v/>
      </c>
      <c r="V41" s="32">
        <f>IF($L41=0,0,COUNTIFS(Runs!$B$6:$B$105,$A41,Runs!$N$6:$N$105,"Planned"))</f>
        <v/>
      </c>
      <c r="W41" s="32">
        <f>IF(AND($L41=1,OR($F41="",$F41="Open"),ISNUMBER($G41),ISNUMBER(MATCH($B41,Summary!$G$28:$G$34,0))),IF(ISNUMBER(INDEX(Summary!$H$28:$H$34,MATCH($B41,Summary!$G$28:$G$34,0))),IF($G41&lt;&gt;INDEX(Summary!$H$28:$H$34,MATCH($B41,Summary!$G$28:$G$34,0)),1,0),0),0)</f>
        <v/>
      </c>
    </row>
    <row r="42">
      <c r="A42" s="27" t="n"/>
      <c r="B42" s="28" t="n"/>
      <c r="C42" s="28" t="n"/>
      <c r="D42" s="28" t="n"/>
      <c r="E42" s="28" t="n"/>
      <c r="F42" s="27" t="n"/>
      <c r="G42" s="29" t="n"/>
      <c r="H42" s="30">
        <f>IF($L42=0,"",$M42)</f>
        <v/>
      </c>
      <c r="I42" s="31">
        <f>IF($N42=0,"",INDEX(Runs!$A$6:$A$105,$N42))</f>
        <v/>
      </c>
      <c r="J42" s="31">
        <f>IF($L42=0,"",IF($N42&gt;0,INDEX(Runs!$N$6:$N$105,$N42),IF(COUNTIFS(Runs!$B$6:$B$105,$A42,Runs!$N$6:$N$105,"Planned")&gt;0,"Planned","No run")))</f>
        <v/>
      </c>
      <c r="K42" s="19">
        <f>IF($L42=0,"",IF($O42+$P42+$Q42=0,"○ Clear",IF($O42=1,"△ No ID, or ID used twice",IF($P42=1,"△ Met with no passing run",IF($J42="Failed","△ Needed soon, failed, with no re-run booked","△ Needed soon, with no run booked")))&amp;IF($O42+$P42+$Q42&gt;1,", and "&amp;($O42+$P42+$Q42-1)&amp;" more",""))&amp;IF($R42=1,"  ◇ passed: the Owner can mark it Met","")&amp;IF($S42=1,"  ◇ a run is planned after Needed by","")&amp;IF($T42=1,"  ◇ no Needed by date","")&amp;IF($W42=1,"  ◇ Needed by isn't the gate map's Date",""))</f>
        <v/>
      </c>
      <c r="L42" s="32">
        <f>IF(COUNTA($A42:$G42)&gt;0,1,0)</f>
        <v/>
      </c>
      <c r="M42" s="32">
        <f>IF($L42=0,0,COUNTIF(Runs!$B$6:$B$105,$A42))</f>
        <v/>
      </c>
      <c r="N42" s="32">
        <f>IF($L42=0,0,IFERROR(MATCH($A42,Runs!$R$6:$R$105,0),0))</f>
        <v/>
      </c>
      <c r="O42" s="32">
        <f>IF($L42=0,0,IF(OR(TRIM($A42)="",COUNTIF($A$6:$A$105,$A42)&gt;1),1,0))</f>
        <v/>
      </c>
      <c r="P42" s="32">
        <f>IF($L42=0,0,IF(AND($F42="Met",$J42&lt;&gt;"Passed"),1,0))</f>
        <v/>
      </c>
      <c r="Q42" s="32">
        <f>IF(OR($L42=0,$F42="Met",$F42="Waived",NOT(ISNUMBER($G42))),0,IF(AND($G42&lt;=Summary!$B$12+N(Summary!$B$11),OR($U42=0,AND($J42="Failed",$V42=0))),1,0))</f>
        <v/>
      </c>
      <c r="R42" s="32">
        <f>IF(AND($L42=1,OR($F42="",$F42="Open"),$J42="Passed"),1,0)</f>
        <v/>
      </c>
      <c r="S42" s="32">
        <f>IF(AND($L42=1,ISNUMBER($G42)),IF(SUMPRODUCT((Runs!$B$6:$B$105=$A42)*(Runs!$N$6:$N$105="Planned")*(Runs!$C$6:$C$105&gt;$G42))&gt;0,1,0),0)</f>
        <v/>
      </c>
      <c r="T42" s="32">
        <f>IF(AND($L42=1,OR($F42="",$F42="Open"),NOT(ISNUMBER($G42))),1,0)</f>
        <v/>
      </c>
      <c r="U42" s="32">
        <f>IF($L42=0,0,$M42-COUNTIFS(Runs!$B$6:$B$105,$A42,Runs!$N$6:$N$105,"Not run"))</f>
        <v/>
      </c>
      <c r="V42" s="32">
        <f>IF($L42=0,0,COUNTIFS(Runs!$B$6:$B$105,$A42,Runs!$N$6:$N$105,"Planned"))</f>
        <v/>
      </c>
      <c r="W42" s="32">
        <f>IF(AND($L42=1,OR($F42="",$F42="Open"),ISNUMBER($G42),ISNUMBER(MATCH($B42,Summary!$G$28:$G$34,0))),IF(ISNUMBER(INDEX(Summary!$H$28:$H$34,MATCH($B42,Summary!$G$28:$G$34,0))),IF($G42&lt;&gt;INDEX(Summary!$H$28:$H$34,MATCH($B42,Summary!$G$28:$G$34,0)),1,0),0),0)</f>
        <v/>
      </c>
    </row>
    <row r="43">
      <c r="A43" s="27" t="n"/>
      <c r="B43" s="28" t="n"/>
      <c r="C43" s="28" t="n"/>
      <c r="D43" s="28" t="n"/>
      <c r="E43" s="28" t="n"/>
      <c r="F43" s="27" t="n"/>
      <c r="G43" s="29" t="n"/>
      <c r="H43" s="30">
        <f>IF($L43=0,"",$M43)</f>
        <v/>
      </c>
      <c r="I43" s="31">
        <f>IF($N43=0,"",INDEX(Runs!$A$6:$A$105,$N43))</f>
        <v/>
      </c>
      <c r="J43" s="31">
        <f>IF($L43=0,"",IF($N43&gt;0,INDEX(Runs!$N$6:$N$105,$N43),IF(COUNTIFS(Runs!$B$6:$B$105,$A43,Runs!$N$6:$N$105,"Planned")&gt;0,"Planned","No run")))</f>
        <v/>
      </c>
      <c r="K43" s="19">
        <f>IF($L43=0,"",IF($O43+$P43+$Q43=0,"○ Clear",IF($O43=1,"△ No ID, or ID used twice",IF($P43=1,"△ Met with no passing run",IF($J43="Failed","△ Needed soon, failed, with no re-run booked","△ Needed soon, with no run booked")))&amp;IF($O43+$P43+$Q43&gt;1,", and "&amp;($O43+$P43+$Q43-1)&amp;" more",""))&amp;IF($R43=1,"  ◇ passed: the Owner can mark it Met","")&amp;IF($S43=1,"  ◇ a run is planned after Needed by","")&amp;IF($T43=1,"  ◇ no Needed by date","")&amp;IF($W43=1,"  ◇ Needed by isn't the gate map's Date",""))</f>
        <v/>
      </c>
      <c r="L43" s="32">
        <f>IF(COUNTA($A43:$G43)&gt;0,1,0)</f>
        <v/>
      </c>
      <c r="M43" s="32">
        <f>IF($L43=0,0,COUNTIF(Runs!$B$6:$B$105,$A43))</f>
        <v/>
      </c>
      <c r="N43" s="32">
        <f>IF($L43=0,0,IFERROR(MATCH($A43,Runs!$R$6:$R$105,0),0))</f>
        <v/>
      </c>
      <c r="O43" s="32">
        <f>IF($L43=0,0,IF(OR(TRIM($A43)="",COUNTIF($A$6:$A$105,$A43)&gt;1),1,0))</f>
        <v/>
      </c>
      <c r="P43" s="32">
        <f>IF($L43=0,0,IF(AND($F43="Met",$J43&lt;&gt;"Passed"),1,0))</f>
        <v/>
      </c>
      <c r="Q43" s="32">
        <f>IF(OR($L43=0,$F43="Met",$F43="Waived",NOT(ISNUMBER($G43))),0,IF(AND($G43&lt;=Summary!$B$12+N(Summary!$B$11),OR($U43=0,AND($J43="Failed",$V43=0))),1,0))</f>
        <v/>
      </c>
      <c r="R43" s="32">
        <f>IF(AND($L43=1,OR($F43="",$F43="Open"),$J43="Passed"),1,0)</f>
        <v/>
      </c>
      <c r="S43" s="32">
        <f>IF(AND($L43=1,ISNUMBER($G43)),IF(SUMPRODUCT((Runs!$B$6:$B$105=$A43)*(Runs!$N$6:$N$105="Planned")*(Runs!$C$6:$C$105&gt;$G43))&gt;0,1,0),0)</f>
        <v/>
      </c>
      <c r="T43" s="32">
        <f>IF(AND($L43=1,OR($F43="",$F43="Open"),NOT(ISNUMBER($G43))),1,0)</f>
        <v/>
      </c>
      <c r="U43" s="32">
        <f>IF($L43=0,0,$M43-COUNTIFS(Runs!$B$6:$B$105,$A43,Runs!$N$6:$N$105,"Not run"))</f>
        <v/>
      </c>
      <c r="V43" s="32">
        <f>IF($L43=0,0,COUNTIFS(Runs!$B$6:$B$105,$A43,Runs!$N$6:$N$105,"Planned"))</f>
        <v/>
      </c>
      <c r="W43" s="32">
        <f>IF(AND($L43=1,OR($F43="",$F43="Open"),ISNUMBER($G43),ISNUMBER(MATCH($B43,Summary!$G$28:$G$34,0))),IF(ISNUMBER(INDEX(Summary!$H$28:$H$34,MATCH($B43,Summary!$G$28:$G$34,0))),IF($G43&lt;&gt;INDEX(Summary!$H$28:$H$34,MATCH($B43,Summary!$G$28:$G$34,0)),1,0),0),0)</f>
        <v/>
      </c>
    </row>
    <row r="44">
      <c r="A44" s="27" t="n"/>
      <c r="B44" s="28" t="n"/>
      <c r="C44" s="28" t="n"/>
      <c r="D44" s="28" t="n"/>
      <c r="E44" s="28" t="n"/>
      <c r="F44" s="27" t="n"/>
      <c r="G44" s="29" t="n"/>
      <c r="H44" s="30">
        <f>IF($L44=0,"",$M44)</f>
        <v/>
      </c>
      <c r="I44" s="31">
        <f>IF($N44=0,"",INDEX(Runs!$A$6:$A$105,$N44))</f>
        <v/>
      </c>
      <c r="J44" s="31">
        <f>IF($L44=0,"",IF($N44&gt;0,INDEX(Runs!$N$6:$N$105,$N44),IF(COUNTIFS(Runs!$B$6:$B$105,$A44,Runs!$N$6:$N$105,"Planned")&gt;0,"Planned","No run")))</f>
        <v/>
      </c>
      <c r="K44" s="19">
        <f>IF($L44=0,"",IF($O44+$P44+$Q44=0,"○ Clear",IF($O44=1,"△ No ID, or ID used twice",IF($P44=1,"△ Met with no passing run",IF($J44="Failed","△ Needed soon, failed, with no re-run booked","△ Needed soon, with no run booked")))&amp;IF($O44+$P44+$Q44&gt;1,", and "&amp;($O44+$P44+$Q44-1)&amp;" more",""))&amp;IF($R44=1,"  ◇ passed: the Owner can mark it Met","")&amp;IF($S44=1,"  ◇ a run is planned after Needed by","")&amp;IF($T44=1,"  ◇ no Needed by date","")&amp;IF($W44=1,"  ◇ Needed by isn't the gate map's Date",""))</f>
        <v/>
      </c>
      <c r="L44" s="32">
        <f>IF(COUNTA($A44:$G44)&gt;0,1,0)</f>
        <v/>
      </c>
      <c r="M44" s="32">
        <f>IF($L44=0,0,COUNTIF(Runs!$B$6:$B$105,$A44))</f>
        <v/>
      </c>
      <c r="N44" s="32">
        <f>IF($L44=0,0,IFERROR(MATCH($A44,Runs!$R$6:$R$105,0),0))</f>
        <v/>
      </c>
      <c r="O44" s="32">
        <f>IF($L44=0,0,IF(OR(TRIM($A44)="",COUNTIF($A$6:$A$105,$A44)&gt;1),1,0))</f>
        <v/>
      </c>
      <c r="P44" s="32">
        <f>IF($L44=0,0,IF(AND($F44="Met",$J44&lt;&gt;"Passed"),1,0))</f>
        <v/>
      </c>
      <c r="Q44" s="32">
        <f>IF(OR($L44=0,$F44="Met",$F44="Waived",NOT(ISNUMBER($G44))),0,IF(AND($G44&lt;=Summary!$B$12+N(Summary!$B$11),OR($U44=0,AND($J44="Failed",$V44=0))),1,0))</f>
        <v/>
      </c>
      <c r="R44" s="32">
        <f>IF(AND($L44=1,OR($F44="",$F44="Open"),$J44="Passed"),1,0)</f>
        <v/>
      </c>
      <c r="S44" s="32">
        <f>IF(AND($L44=1,ISNUMBER($G44)),IF(SUMPRODUCT((Runs!$B$6:$B$105=$A44)*(Runs!$N$6:$N$105="Planned")*(Runs!$C$6:$C$105&gt;$G44))&gt;0,1,0),0)</f>
        <v/>
      </c>
      <c r="T44" s="32">
        <f>IF(AND($L44=1,OR($F44="",$F44="Open"),NOT(ISNUMBER($G44))),1,0)</f>
        <v/>
      </c>
      <c r="U44" s="32">
        <f>IF($L44=0,0,$M44-COUNTIFS(Runs!$B$6:$B$105,$A44,Runs!$N$6:$N$105,"Not run"))</f>
        <v/>
      </c>
      <c r="V44" s="32">
        <f>IF($L44=0,0,COUNTIFS(Runs!$B$6:$B$105,$A44,Runs!$N$6:$N$105,"Planned"))</f>
        <v/>
      </c>
      <c r="W44" s="32">
        <f>IF(AND($L44=1,OR($F44="",$F44="Open"),ISNUMBER($G44),ISNUMBER(MATCH($B44,Summary!$G$28:$G$34,0))),IF(ISNUMBER(INDEX(Summary!$H$28:$H$34,MATCH($B44,Summary!$G$28:$G$34,0))),IF($G44&lt;&gt;INDEX(Summary!$H$28:$H$34,MATCH($B44,Summary!$G$28:$G$34,0)),1,0),0),0)</f>
        <v/>
      </c>
    </row>
    <row r="45">
      <c r="A45" s="27" t="n"/>
      <c r="B45" s="28" t="n"/>
      <c r="C45" s="28" t="n"/>
      <c r="D45" s="28" t="n"/>
      <c r="E45" s="28" t="n"/>
      <c r="F45" s="27" t="n"/>
      <c r="G45" s="29" t="n"/>
      <c r="H45" s="30">
        <f>IF($L45=0,"",$M45)</f>
        <v/>
      </c>
      <c r="I45" s="31">
        <f>IF($N45=0,"",INDEX(Runs!$A$6:$A$105,$N45))</f>
        <v/>
      </c>
      <c r="J45" s="31">
        <f>IF($L45=0,"",IF($N45&gt;0,INDEX(Runs!$N$6:$N$105,$N45),IF(COUNTIFS(Runs!$B$6:$B$105,$A45,Runs!$N$6:$N$105,"Planned")&gt;0,"Planned","No run")))</f>
        <v/>
      </c>
      <c r="K45" s="19">
        <f>IF($L45=0,"",IF($O45+$P45+$Q45=0,"○ Clear",IF($O45=1,"△ No ID, or ID used twice",IF($P45=1,"△ Met with no passing run",IF($J45="Failed","△ Needed soon, failed, with no re-run booked","△ Needed soon, with no run booked")))&amp;IF($O45+$P45+$Q45&gt;1,", and "&amp;($O45+$P45+$Q45-1)&amp;" more",""))&amp;IF($R45=1,"  ◇ passed: the Owner can mark it Met","")&amp;IF($S45=1,"  ◇ a run is planned after Needed by","")&amp;IF($T45=1,"  ◇ no Needed by date","")&amp;IF($W45=1,"  ◇ Needed by isn't the gate map's Date",""))</f>
        <v/>
      </c>
      <c r="L45" s="32">
        <f>IF(COUNTA($A45:$G45)&gt;0,1,0)</f>
        <v/>
      </c>
      <c r="M45" s="32">
        <f>IF($L45=0,0,COUNTIF(Runs!$B$6:$B$105,$A45))</f>
        <v/>
      </c>
      <c r="N45" s="32">
        <f>IF($L45=0,0,IFERROR(MATCH($A45,Runs!$R$6:$R$105,0),0))</f>
        <v/>
      </c>
      <c r="O45" s="32">
        <f>IF($L45=0,0,IF(OR(TRIM($A45)="",COUNTIF($A$6:$A$105,$A45)&gt;1),1,0))</f>
        <v/>
      </c>
      <c r="P45" s="32">
        <f>IF($L45=0,0,IF(AND($F45="Met",$J45&lt;&gt;"Passed"),1,0))</f>
        <v/>
      </c>
      <c r="Q45" s="32">
        <f>IF(OR($L45=0,$F45="Met",$F45="Waived",NOT(ISNUMBER($G45))),0,IF(AND($G45&lt;=Summary!$B$12+N(Summary!$B$11),OR($U45=0,AND($J45="Failed",$V45=0))),1,0))</f>
        <v/>
      </c>
      <c r="R45" s="32">
        <f>IF(AND($L45=1,OR($F45="",$F45="Open"),$J45="Passed"),1,0)</f>
        <v/>
      </c>
      <c r="S45" s="32">
        <f>IF(AND($L45=1,ISNUMBER($G45)),IF(SUMPRODUCT((Runs!$B$6:$B$105=$A45)*(Runs!$N$6:$N$105="Planned")*(Runs!$C$6:$C$105&gt;$G45))&gt;0,1,0),0)</f>
        <v/>
      </c>
      <c r="T45" s="32">
        <f>IF(AND($L45=1,OR($F45="",$F45="Open"),NOT(ISNUMBER($G45))),1,0)</f>
        <v/>
      </c>
      <c r="U45" s="32">
        <f>IF($L45=0,0,$M45-COUNTIFS(Runs!$B$6:$B$105,$A45,Runs!$N$6:$N$105,"Not run"))</f>
        <v/>
      </c>
      <c r="V45" s="32">
        <f>IF($L45=0,0,COUNTIFS(Runs!$B$6:$B$105,$A45,Runs!$N$6:$N$105,"Planned"))</f>
        <v/>
      </c>
      <c r="W45" s="32">
        <f>IF(AND($L45=1,OR($F45="",$F45="Open"),ISNUMBER($G45),ISNUMBER(MATCH($B45,Summary!$G$28:$G$34,0))),IF(ISNUMBER(INDEX(Summary!$H$28:$H$34,MATCH($B45,Summary!$G$28:$G$34,0))),IF($G45&lt;&gt;INDEX(Summary!$H$28:$H$34,MATCH($B45,Summary!$G$28:$G$34,0)),1,0),0),0)</f>
        <v/>
      </c>
    </row>
    <row r="46">
      <c r="A46" s="27" t="n"/>
      <c r="B46" s="28" t="n"/>
      <c r="C46" s="28" t="n"/>
      <c r="D46" s="28" t="n"/>
      <c r="E46" s="28" t="n"/>
      <c r="F46" s="27" t="n"/>
      <c r="G46" s="29" t="n"/>
      <c r="H46" s="30">
        <f>IF($L46=0,"",$M46)</f>
        <v/>
      </c>
      <c r="I46" s="31">
        <f>IF($N46=0,"",INDEX(Runs!$A$6:$A$105,$N46))</f>
        <v/>
      </c>
      <c r="J46" s="31">
        <f>IF($L46=0,"",IF($N46&gt;0,INDEX(Runs!$N$6:$N$105,$N46),IF(COUNTIFS(Runs!$B$6:$B$105,$A46,Runs!$N$6:$N$105,"Planned")&gt;0,"Planned","No run")))</f>
        <v/>
      </c>
      <c r="K46" s="19">
        <f>IF($L46=0,"",IF($O46+$P46+$Q46=0,"○ Clear",IF($O46=1,"△ No ID, or ID used twice",IF($P46=1,"△ Met with no passing run",IF($J46="Failed","△ Needed soon, failed, with no re-run booked","△ Needed soon, with no run booked")))&amp;IF($O46+$P46+$Q46&gt;1,", and "&amp;($O46+$P46+$Q46-1)&amp;" more",""))&amp;IF($R46=1,"  ◇ passed: the Owner can mark it Met","")&amp;IF($S46=1,"  ◇ a run is planned after Needed by","")&amp;IF($T46=1,"  ◇ no Needed by date","")&amp;IF($W46=1,"  ◇ Needed by isn't the gate map's Date",""))</f>
        <v/>
      </c>
      <c r="L46" s="32">
        <f>IF(COUNTA($A46:$G46)&gt;0,1,0)</f>
        <v/>
      </c>
      <c r="M46" s="32">
        <f>IF($L46=0,0,COUNTIF(Runs!$B$6:$B$105,$A46))</f>
        <v/>
      </c>
      <c r="N46" s="32">
        <f>IF($L46=0,0,IFERROR(MATCH($A46,Runs!$R$6:$R$105,0),0))</f>
        <v/>
      </c>
      <c r="O46" s="32">
        <f>IF($L46=0,0,IF(OR(TRIM($A46)="",COUNTIF($A$6:$A$105,$A46)&gt;1),1,0))</f>
        <v/>
      </c>
      <c r="P46" s="32">
        <f>IF($L46=0,0,IF(AND($F46="Met",$J46&lt;&gt;"Passed"),1,0))</f>
        <v/>
      </c>
      <c r="Q46" s="32">
        <f>IF(OR($L46=0,$F46="Met",$F46="Waived",NOT(ISNUMBER($G46))),0,IF(AND($G46&lt;=Summary!$B$12+N(Summary!$B$11),OR($U46=0,AND($J46="Failed",$V46=0))),1,0))</f>
        <v/>
      </c>
      <c r="R46" s="32">
        <f>IF(AND($L46=1,OR($F46="",$F46="Open"),$J46="Passed"),1,0)</f>
        <v/>
      </c>
      <c r="S46" s="32">
        <f>IF(AND($L46=1,ISNUMBER($G46)),IF(SUMPRODUCT((Runs!$B$6:$B$105=$A46)*(Runs!$N$6:$N$105="Planned")*(Runs!$C$6:$C$105&gt;$G46))&gt;0,1,0),0)</f>
        <v/>
      </c>
      <c r="T46" s="32">
        <f>IF(AND($L46=1,OR($F46="",$F46="Open"),NOT(ISNUMBER($G46))),1,0)</f>
        <v/>
      </c>
      <c r="U46" s="32">
        <f>IF($L46=0,0,$M46-COUNTIFS(Runs!$B$6:$B$105,$A46,Runs!$N$6:$N$105,"Not run"))</f>
        <v/>
      </c>
      <c r="V46" s="32">
        <f>IF($L46=0,0,COUNTIFS(Runs!$B$6:$B$105,$A46,Runs!$N$6:$N$105,"Planned"))</f>
        <v/>
      </c>
      <c r="W46" s="32">
        <f>IF(AND($L46=1,OR($F46="",$F46="Open"),ISNUMBER($G46),ISNUMBER(MATCH($B46,Summary!$G$28:$G$34,0))),IF(ISNUMBER(INDEX(Summary!$H$28:$H$34,MATCH($B46,Summary!$G$28:$G$34,0))),IF($G46&lt;&gt;INDEX(Summary!$H$28:$H$34,MATCH($B46,Summary!$G$28:$G$34,0)),1,0),0),0)</f>
        <v/>
      </c>
    </row>
    <row r="47">
      <c r="A47" s="27" t="n"/>
      <c r="B47" s="28" t="n"/>
      <c r="C47" s="28" t="n"/>
      <c r="D47" s="28" t="n"/>
      <c r="E47" s="28" t="n"/>
      <c r="F47" s="27" t="n"/>
      <c r="G47" s="29" t="n"/>
      <c r="H47" s="30">
        <f>IF($L47=0,"",$M47)</f>
        <v/>
      </c>
      <c r="I47" s="31">
        <f>IF($N47=0,"",INDEX(Runs!$A$6:$A$105,$N47))</f>
        <v/>
      </c>
      <c r="J47" s="31">
        <f>IF($L47=0,"",IF($N47&gt;0,INDEX(Runs!$N$6:$N$105,$N47),IF(COUNTIFS(Runs!$B$6:$B$105,$A47,Runs!$N$6:$N$105,"Planned")&gt;0,"Planned","No run")))</f>
        <v/>
      </c>
      <c r="K47" s="19">
        <f>IF($L47=0,"",IF($O47+$P47+$Q47=0,"○ Clear",IF($O47=1,"△ No ID, or ID used twice",IF($P47=1,"△ Met with no passing run",IF($J47="Failed","△ Needed soon, failed, with no re-run booked","△ Needed soon, with no run booked")))&amp;IF($O47+$P47+$Q47&gt;1,", and "&amp;($O47+$P47+$Q47-1)&amp;" more",""))&amp;IF($R47=1,"  ◇ passed: the Owner can mark it Met","")&amp;IF($S47=1,"  ◇ a run is planned after Needed by","")&amp;IF($T47=1,"  ◇ no Needed by date","")&amp;IF($W47=1,"  ◇ Needed by isn't the gate map's Date",""))</f>
        <v/>
      </c>
      <c r="L47" s="32">
        <f>IF(COUNTA($A47:$G47)&gt;0,1,0)</f>
        <v/>
      </c>
      <c r="M47" s="32">
        <f>IF($L47=0,0,COUNTIF(Runs!$B$6:$B$105,$A47))</f>
        <v/>
      </c>
      <c r="N47" s="32">
        <f>IF($L47=0,0,IFERROR(MATCH($A47,Runs!$R$6:$R$105,0),0))</f>
        <v/>
      </c>
      <c r="O47" s="32">
        <f>IF($L47=0,0,IF(OR(TRIM($A47)="",COUNTIF($A$6:$A$105,$A47)&gt;1),1,0))</f>
        <v/>
      </c>
      <c r="P47" s="32">
        <f>IF($L47=0,0,IF(AND($F47="Met",$J47&lt;&gt;"Passed"),1,0))</f>
        <v/>
      </c>
      <c r="Q47" s="32">
        <f>IF(OR($L47=0,$F47="Met",$F47="Waived",NOT(ISNUMBER($G47))),0,IF(AND($G47&lt;=Summary!$B$12+N(Summary!$B$11),OR($U47=0,AND($J47="Failed",$V47=0))),1,0))</f>
        <v/>
      </c>
      <c r="R47" s="32">
        <f>IF(AND($L47=1,OR($F47="",$F47="Open"),$J47="Passed"),1,0)</f>
        <v/>
      </c>
      <c r="S47" s="32">
        <f>IF(AND($L47=1,ISNUMBER($G47)),IF(SUMPRODUCT((Runs!$B$6:$B$105=$A47)*(Runs!$N$6:$N$105="Planned")*(Runs!$C$6:$C$105&gt;$G47))&gt;0,1,0),0)</f>
        <v/>
      </c>
      <c r="T47" s="32">
        <f>IF(AND($L47=1,OR($F47="",$F47="Open"),NOT(ISNUMBER($G47))),1,0)</f>
        <v/>
      </c>
      <c r="U47" s="32">
        <f>IF($L47=0,0,$M47-COUNTIFS(Runs!$B$6:$B$105,$A47,Runs!$N$6:$N$105,"Not run"))</f>
        <v/>
      </c>
      <c r="V47" s="32">
        <f>IF($L47=0,0,COUNTIFS(Runs!$B$6:$B$105,$A47,Runs!$N$6:$N$105,"Planned"))</f>
        <v/>
      </c>
      <c r="W47" s="32">
        <f>IF(AND($L47=1,OR($F47="",$F47="Open"),ISNUMBER($G47),ISNUMBER(MATCH($B47,Summary!$G$28:$G$34,0))),IF(ISNUMBER(INDEX(Summary!$H$28:$H$34,MATCH($B47,Summary!$G$28:$G$34,0))),IF($G47&lt;&gt;INDEX(Summary!$H$28:$H$34,MATCH($B47,Summary!$G$28:$G$34,0)),1,0),0),0)</f>
        <v/>
      </c>
    </row>
    <row r="48">
      <c r="A48" s="27" t="n"/>
      <c r="B48" s="28" t="n"/>
      <c r="C48" s="28" t="n"/>
      <c r="D48" s="28" t="n"/>
      <c r="E48" s="28" t="n"/>
      <c r="F48" s="27" t="n"/>
      <c r="G48" s="29" t="n"/>
      <c r="H48" s="30">
        <f>IF($L48=0,"",$M48)</f>
        <v/>
      </c>
      <c r="I48" s="31">
        <f>IF($N48=0,"",INDEX(Runs!$A$6:$A$105,$N48))</f>
        <v/>
      </c>
      <c r="J48" s="31">
        <f>IF($L48=0,"",IF($N48&gt;0,INDEX(Runs!$N$6:$N$105,$N48),IF(COUNTIFS(Runs!$B$6:$B$105,$A48,Runs!$N$6:$N$105,"Planned")&gt;0,"Planned","No run")))</f>
        <v/>
      </c>
      <c r="K48" s="19">
        <f>IF($L48=0,"",IF($O48+$P48+$Q48=0,"○ Clear",IF($O48=1,"△ No ID, or ID used twice",IF($P48=1,"△ Met with no passing run",IF($J48="Failed","△ Needed soon, failed, with no re-run booked","△ Needed soon, with no run booked")))&amp;IF($O48+$P48+$Q48&gt;1,", and "&amp;($O48+$P48+$Q48-1)&amp;" more",""))&amp;IF($R48=1,"  ◇ passed: the Owner can mark it Met","")&amp;IF($S48=1,"  ◇ a run is planned after Needed by","")&amp;IF($T48=1,"  ◇ no Needed by date","")&amp;IF($W48=1,"  ◇ Needed by isn't the gate map's Date",""))</f>
        <v/>
      </c>
      <c r="L48" s="32">
        <f>IF(COUNTA($A48:$G48)&gt;0,1,0)</f>
        <v/>
      </c>
      <c r="M48" s="32">
        <f>IF($L48=0,0,COUNTIF(Runs!$B$6:$B$105,$A48))</f>
        <v/>
      </c>
      <c r="N48" s="32">
        <f>IF($L48=0,0,IFERROR(MATCH($A48,Runs!$R$6:$R$105,0),0))</f>
        <v/>
      </c>
      <c r="O48" s="32">
        <f>IF($L48=0,0,IF(OR(TRIM($A48)="",COUNTIF($A$6:$A$105,$A48)&gt;1),1,0))</f>
        <v/>
      </c>
      <c r="P48" s="32">
        <f>IF($L48=0,0,IF(AND($F48="Met",$J48&lt;&gt;"Passed"),1,0))</f>
        <v/>
      </c>
      <c r="Q48" s="32">
        <f>IF(OR($L48=0,$F48="Met",$F48="Waived",NOT(ISNUMBER($G48))),0,IF(AND($G48&lt;=Summary!$B$12+N(Summary!$B$11),OR($U48=0,AND($J48="Failed",$V48=0))),1,0))</f>
        <v/>
      </c>
      <c r="R48" s="32">
        <f>IF(AND($L48=1,OR($F48="",$F48="Open"),$J48="Passed"),1,0)</f>
        <v/>
      </c>
      <c r="S48" s="32">
        <f>IF(AND($L48=1,ISNUMBER($G48)),IF(SUMPRODUCT((Runs!$B$6:$B$105=$A48)*(Runs!$N$6:$N$105="Planned")*(Runs!$C$6:$C$105&gt;$G48))&gt;0,1,0),0)</f>
        <v/>
      </c>
      <c r="T48" s="32">
        <f>IF(AND($L48=1,OR($F48="",$F48="Open"),NOT(ISNUMBER($G48))),1,0)</f>
        <v/>
      </c>
      <c r="U48" s="32">
        <f>IF($L48=0,0,$M48-COUNTIFS(Runs!$B$6:$B$105,$A48,Runs!$N$6:$N$105,"Not run"))</f>
        <v/>
      </c>
      <c r="V48" s="32">
        <f>IF($L48=0,0,COUNTIFS(Runs!$B$6:$B$105,$A48,Runs!$N$6:$N$105,"Planned"))</f>
        <v/>
      </c>
      <c r="W48" s="32">
        <f>IF(AND($L48=1,OR($F48="",$F48="Open"),ISNUMBER($G48),ISNUMBER(MATCH($B48,Summary!$G$28:$G$34,0))),IF(ISNUMBER(INDEX(Summary!$H$28:$H$34,MATCH($B48,Summary!$G$28:$G$34,0))),IF($G48&lt;&gt;INDEX(Summary!$H$28:$H$34,MATCH($B48,Summary!$G$28:$G$34,0)),1,0),0),0)</f>
        <v/>
      </c>
    </row>
    <row r="49">
      <c r="A49" s="27" t="n"/>
      <c r="B49" s="28" t="n"/>
      <c r="C49" s="28" t="n"/>
      <c r="D49" s="28" t="n"/>
      <c r="E49" s="28" t="n"/>
      <c r="F49" s="27" t="n"/>
      <c r="G49" s="29" t="n"/>
      <c r="H49" s="30">
        <f>IF($L49=0,"",$M49)</f>
        <v/>
      </c>
      <c r="I49" s="31">
        <f>IF($N49=0,"",INDEX(Runs!$A$6:$A$105,$N49))</f>
        <v/>
      </c>
      <c r="J49" s="31">
        <f>IF($L49=0,"",IF($N49&gt;0,INDEX(Runs!$N$6:$N$105,$N49),IF(COUNTIFS(Runs!$B$6:$B$105,$A49,Runs!$N$6:$N$105,"Planned")&gt;0,"Planned","No run")))</f>
        <v/>
      </c>
      <c r="K49" s="19">
        <f>IF($L49=0,"",IF($O49+$P49+$Q49=0,"○ Clear",IF($O49=1,"△ No ID, or ID used twice",IF($P49=1,"△ Met with no passing run",IF($J49="Failed","△ Needed soon, failed, with no re-run booked","△ Needed soon, with no run booked")))&amp;IF($O49+$P49+$Q49&gt;1,", and "&amp;($O49+$P49+$Q49-1)&amp;" more",""))&amp;IF($R49=1,"  ◇ passed: the Owner can mark it Met","")&amp;IF($S49=1,"  ◇ a run is planned after Needed by","")&amp;IF($T49=1,"  ◇ no Needed by date","")&amp;IF($W49=1,"  ◇ Needed by isn't the gate map's Date",""))</f>
        <v/>
      </c>
      <c r="L49" s="32">
        <f>IF(COUNTA($A49:$G49)&gt;0,1,0)</f>
        <v/>
      </c>
      <c r="M49" s="32">
        <f>IF($L49=0,0,COUNTIF(Runs!$B$6:$B$105,$A49))</f>
        <v/>
      </c>
      <c r="N49" s="32">
        <f>IF($L49=0,0,IFERROR(MATCH($A49,Runs!$R$6:$R$105,0),0))</f>
        <v/>
      </c>
      <c r="O49" s="32">
        <f>IF($L49=0,0,IF(OR(TRIM($A49)="",COUNTIF($A$6:$A$105,$A49)&gt;1),1,0))</f>
        <v/>
      </c>
      <c r="P49" s="32">
        <f>IF($L49=0,0,IF(AND($F49="Met",$J49&lt;&gt;"Passed"),1,0))</f>
        <v/>
      </c>
      <c r="Q49" s="32">
        <f>IF(OR($L49=0,$F49="Met",$F49="Waived",NOT(ISNUMBER($G49))),0,IF(AND($G49&lt;=Summary!$B$12+N(Summary!$B$11),OR($U49=0,AND($J49="Failed",$V49=0))),1,0))</f>
        <v/>
      </c>
      <c r="R49" s="32">
        <f>IF(AND($L49=1,OR($F49="",$F49="Open"),$J49="Passed"),1,0)</f>
        <v/>
      </c>
      <c r="S49" s="32">
        <f>IF(AND($L49=1,ISNUMBER($G49)),IF(SUMPRODUCT((Runs!$B$6:$B$105=$A49)*(Runs!$N$6:$N$105="Planned")*(Runs!$C$6:$C$105&gt;$G49))&gt;0,1,0),0)</f>
        <v/>
      </c>
      <c r="T49" s="32">
        <f>IF(AND($L49=1,OR($F49="",$F49="Open"),NOT(ISNUMBER($G49))),1,0)</f>
        <v/>
      </c>
      <c r="U49" s="32">
        <f>IF($L49=0,0,$M49-COUNTIFS(Runs!$B$6:$B$105,$A49,Runs!$N$6:$N$105,"Not run"))</f>
        <v/>
      </c>
      <c r="V49" s="32">
        <f>IF($L49=0,0,COUNTIFS(Runs!$B$6:$B$105,$A49,Runs!$N$6:$N$105,"Planned"))</f>
        <v/>
      </c>
      <c r="W49" s="32">
        <f>IF(AND($L49=1,OR($F49="",$F49="Open"),ISNUMBER($G49),ISNUMBER(MATCH($B49,Summary!$G$28:$G$34,0))),IF(ISNUMBER(INDEX(Summary!$H$28:$H$34,MATCH($B49,Summary!$G$28:$G$34,0))),IF($G49&lt;&gt;INDEX(Summary!$H$28:$H$34,MATCH($B49,Summary!$G$28:$G$34,0)),1,0),0),0)</f>
        <v/>
      </c>
    </row>
    <row r="50">
      <c r="A50" s="27" t="n"/>
      <c r="B50" s="28" t="n"/>
      <c r="C50" s="28" t="n"/>
      <c r="D50" s="28" t="n"/>
      <c r="E50" s="28" t="n"/>
      <c r="F50" s="27" t="n"/>
      <c r="G50" s="29" t="n"/>
      <c r="H50" s="30">
        <f>IF($L50=0,"",$M50)</f>
        <v/>
      </c>
      <c r="I50" s="31">
        <f>IF($N50=0,"",INDEX(Runs!$A$6:$A$105,$N50))</f>
        <v/>
      </c>
      <c r="J50" s="31">
        <f>IF($L50=0,"",IF($N50&gt;0,INDEX(Runs!$N$6:$N$105,$N50),IF(COUNTIFS(Runs!$B$6:$B$105,$A50,Runs!$N$6:$N$105,"Planned")&gt;0,"Planned","No run")))</f>
        <v/>
      </c>
      <c r="K50" s="19">
        <f>IF($L50=0,"",IF($O50+$P50+$Q50=0,"○ Clear",IF($O50=1,"△ No ID, or ID used twice",IF($P50=1,"△ Met with no passing run",IF($J50="Failed","△ Needed soon, failed, with no re-run booked","△ Needed soon, with no run booked")))&amp;IF($O50+$P50+$Q50&gt;1,", and "&amp;($O50+$P50+$Q50-1)&amp;" more",""))&amp;IF($R50=1,"  ◇ passed: the Owner can mark it Met","")&amp;IF($S50=1,"  ◇ a run is planned after Needed by","")&amp;IF($T50=1,"  ◇ no Needed by date","")&amp;IF($W50=1,"  ◇ Needed by isn't the gate map's Date",""))</f>
        <v/>
      </c>
      <c r="L50" s="32">
        <f>IF(COUNTA($A50:$G50)&gt;0,1,0)</f>
        <v/>
      </c>
      <c r="M50" s="32">
        <f>IF($L50=0,0,COUNTIF(Runs!$B$6:$B$105,$A50))</f>
        <v/>
      </c>
      <c r="N50" s="32">
        <f>IF($L50=0,0,IFERROR(MATCH($A50,Runs!$R$6:$R$105,0),0))</f>
        <v/>
      </c>
      <c r="O50" s="32">
        <f>IF($L50=0,0,IF(OR(TRIM($A50)="",COUNTIF($A$6:$A$105,$A50)&gt;1),1,0))</f>
        <v/>
      </c>
      <c r="P50" s="32">
        <f>IF($L50=0,0,IF(AND($F50="Met",$J50&lt;&gt;"Passed"),1,0))</f>
        <v/>
      </c>
      <c r="Q50" s="32">
        <f>IF(OR($L50=0,$F50="Met",$F50="Waived",NOT(ISNUMBER($G50))),0,IF(AND($G50&lt;=Summary!$B$12+N(Summary!$B$11),OR($U50=0,AND($J50="Failed",$V50=0))),1,0))</f>
        <v/>
      </c>
      <c r="R50" s="32">
        <f>IF(AND($L50=1,OR($F50="",$F50="Open"),$J50="Passed"),1,0)</f>
        <v/>
      </c>
      <c r="S50" s="32">
        <f>IF(AND($L50=1,ISNUMBER($G50)),IF(SUMPRODUCT((Runs!$B$6:$B$105=$A50)*(Runs!$N$6:$N$105="Planned")*(Runs!$C$6:$C$105&gt;$G50))&gt;0,1,0),0)</f>
        <v/>
      </c>
      <c r="T50" s="32">
        <f>IF(AND($L50=1,OR($F50="",$F50="Open"),NOT(ISNUMBER($G50))),1,0)</f>
        <v/>
      </c>
      <c r="U50" s="32">
        <f>IF($L50=0,0,$M50-COUNTIFS(Runs!$B$6:$B$105,$A50,Runs!$N$6:$N$105,"Not run"))</f>
        <v/>
      </c>
      <c r="V50" s="32">
        <f>IF($L50=0,0,COUNTIFS(Runs!$B$6:$B$105,$A50,Runs!$N$6:$N$105,"Planned"))</f>
        <v/>
      </c>
      <c r="W50" s="32">
        <f>IF(AND($L50=1,OR($F50="",$F50="Open"),ISNUMBER($G50),ISNUMBER(MATCH($B50,Summary!$G$28:$G$34,0))),IF(ISNUMBER(INDEX(Summary!$H$28:$H$34,MATCH($B50,Summary!$G$28:$G$34,0))),IF($G50&lt;&gt;INDEX(Summary!$H$28:$H$34,MATCH($B50,Summary!$G$28:$G$34,0)),1,0),0),0)</f>
        <v/>
      </c>
    </row>
    <row r="51">
      <c r="A51" s="27" t="n"/>
      <c r="B51" s="28" t="n"/>
      <c r="C51" s="28" t="n"/>
      <c r="D51" s="28" t="n"/>
      <c r="E51" s="28" t="n"/>
      <c r="F51" s="27" t="n"/>
      <c r="G51" s="29" t="n"/>
      <c r="H51" s="30">
        <f>IF($L51=0,"",$M51)</f>
        <v/>
      </c>
      <c r="I51" s="31">
        <f>IF($N51=0,"",INDEX(Runs!$A$6:$A$105,$N51))</f>
        <v/>
      </c>
      <c r="J51" s="31">
        <f>IF($L51=0,"",IF($N51&gt;0,INDEX(Runs!$N$6:$N$105,$N51),IF(COUNTIFS(Runs!$B$6:$B$105,$A51,Runs!$N$6:$N$105,"Planned")&gt;0,"Planned","No run")))</f>
        <v/>
      </c>
      <c r="K51" s="19">
        <f>IF($L51=0,"",IF($O51+$P51+$Q51=0,"○ Clear",IF($O51=1,"△ No ID, or ID used twice",IF($P51=1,"△ Met with no passing run",IF($J51="Failed","△ Needed soon, failed, with no re-run booked","△ Needed soon, with no run booked")))&amp;IF($O51+$P51+$Q51&gt;1,", and "&amp;($O51+$P51+$Q51-1)&amp;" more",""))&amp;IF($R51=1,"  ◇ passed: the Owner can mark it Met","")&amp;IF($S51=1,"  ◇ a run is planned after Needed by","")&amp;IF($T51=1,"  ◇ no Needed by date","")&amp;IF($W51=1,"  ◇ Needed by isn't the gate map's Date",""))</f>
        <v/>
      </c>
      <c r="L51" s="32">
        <f>IF(COUNTA($A51:$G51)&gt;0,1,0)</f>
        <v/>
      </c>
      <c r="M51" s="32">
        <f>IF($L51=0,0,COUNTIF(Runs!$B$6:$B$105,$A51))</f>
        <v/>
      </c>
      <c r="N51" s="32">
        <f>IF($L51=0,0,IFERROR(MATCH($A51,Runs!$R$6:$R$105,0),0))</f>
        <v/>
      </c>
      <c r="O51" s="32">
        <f>IF($L51=0,0,IF(OR(TRIM($A51)="",COUNTIF($A$6:$A$105,$A51)&gt;1),1,0))</f>
        <v/>
      </c>
      <c r="P51" s="32">
        <f>IF($L51=0,0,IF(AND($F51="Met",$J51&lt;&gt;"Passed"),1,0))</f>
        <v/>
      </c>
      <c r="Q51" s="32">
        <f>IF(OR($L51=0,$F51="Met",$F51="Waived",NOT(ISNUMBER($G51))),0,IF(AND($G51&lt;=Summary!$B$12+N(Summary!$B$11),OR($U51=0,AND($J51="Failed",$V51=0))),1,0))</f>
        <v/>
      </c>
      <c r="R51" s="32">
        <f>IF(AND($L51=1,OR($F51="",$F51="Open"),$J51="Passed"),1,0)</f>
        <v/>
      </c>
      <c r="S51" s="32">
        <f>IF(AND($L51=1,ISNUMBER($G51)),IF(SUMPRODUCT((Runs!$B$6:$B$105=$A51)*(Runs!$N$6:$N$105="Planned")*(Runs!$C$6:$C$105&gt;$G51))&gt;0,1,0),0)</f>
        <v/>
      </c>
      <c r="T51" s="32">
        <f>IF(AND($L51=1,OR($F51="",$F51="Open"),NOT(ISNUMBER($G51))),1,0)</f>
        <v/>
      </c>
      <c r="U51" s="32">
        <f>IF($L51=0,0,$M51-COUNTIFS(Runs!$B$6:$B$105,$A51,Runs!$N$6:$N$105,"Not run"))</f>
        <v/>
      </c>
      <c r="V51" s="32">
        <f>IF($L51=0,0,COUNTIFS(Runs!$B$6:$B$105,$A51,Runs!$N$6:$N$105,"Planned"))</f>
        <v/>
      </c>
      <c r="W51" s="32">
        <f>IF(AND($L51=1,OR($F51="",$F51="Open"),ISNUMBER($G51),ISNUMBER(MATCH($B51,Summary!$G$28:$G$34,0))),IF(ISNUMBER(INDEX(Summary!$H$28:$H$34,MATCH($B51,Summary!$G$28:$G$34,0))),IF($G51&lt;&gt;INDEX(Summary!$H$28:$H$34,MATCH($B51,Summary!$G$28:$G$34,0)),1,0),0),0)</f>
        <v/>
      </c>
    </row>
    <row r="52">
      <c r="A52" s="27" t="n"/>
      <c r="B52" s="28" t="n"/>
      <c r="C52" s="28" t="n"/>
      <c r="D52" s="28" t="n"/>
      <c r="E52" s="28" t="n"/>
      <c r="F52" s="27" t="n"/>
      <c r="G52" s="29" t="n"/>
      <c r="H52" s="30">
        <f>IF($L52=0,"",$M52)</f>
        <v/>
      </c>
      <c r="I52" s="31">
        <f>IF($N52=0,"",INDEX(Runs!$A$6:$A$105,$N52))</f>
        <v/>
      </c>
      <c r="J52" s="31">
        <f>IF($L52=0,"",IF($N52&gt;0,INDEX(Runs!$N$6:$N$105,$N52),IF(COUNTIFS(Runs!$B$6:$B$105,$A52,Runs!$N$6:$N$105,"Planned")&gt;0,"Planned","No run")))</f>
        <v/>
      </c>
      <c r="K52" s="19">
        <f>IF($L52=0,"",IF($O52+$P52+$Q52=0,"○ Clear",IF($O52=1,"△ No ID, or ID used twice",IF($P52=1,"△ Met with no passing run",IF($J52="Failed","△ Needed soon, failed, with no re-run booked","△ Needed soon, with no run booked")))&amp;IF($O52+$P52+$Q52&gt;1,", and "&amp;($O52+$P52+$Q52-1)&amp;" more",""))&amp;IF($R52=1,"  ◇ passed: the Owner can mark it Met","")&amp;IF($S52=1,"  ◇ a run is planned after Needed by","")&amp;IF($T52=1,"  ◇ no Needed by date","")&amp;IF($W52=1,"  ◇ Needed by isn't the gate map's Date",""))</f>
        <v/>
      </c>
      <c r="L52" s="32">
        <f>IF(COUNTA($A52:$G52)&gt;0,1,0)</f>
        <v/>
      </c>
      <c r="M52" s="32">
        <f>IF($L52=0,0,COUNTIF(Runs!$B$6:$B$105,$A52))</f>
        <v/>
      </c>
      <c r="N52" s="32">
        <f>IF($L52=0,0,IFERROR(MATCH($A52,Runs!$R$6:$R$105,0),0))</f>
        <v/>
      </c>
      <c r="O52" s="32">
        <f>IF($L52=0,0,IF(OR(TRIM($A52)="",COUNTIF($A$6:$A$105,$A52)&gt;1),1,0))</f>
        <v/>
      </c>
      <c r="P52" s="32">
        <f>IF($L52=0,0,IF(AND($F52="Met",$J52&lt;&gt;"Passed"),1,0))</f>
        <v/>
      </c>
      <c r="Q52" s="32">
        <f>IF(OR($L52=0,$F52="Met",$F52="Waived",NOT(ISNUMBER($G52))),0,IF(AND($G52&lt;=Summary!$B$12+N(Summary!$B$11),OR($U52=0,AND($J52="Failed",$V52=0))),1,0))</f>
        <v/>
      </c>
      <c r="R52" s="32">
        <f>IF(AND($L52=1,OR($F52="",$F52="Open"),$J52="Passed"),1,0)</f>
        <v/>
      </c>
      <c r="S52" s="32">
        <f>IF(AND($L52=1,ISNUMBER($G52)),IF(SUMPRODUCT((Runs!$B$6:$B$105=$A52)*(Runs!$N$6:$N$105="Planned")*(Runs!$C$6:$C$105&gt;$G52))&gt;0,1,0),0)</f>
        <v/>
      </c>
      <c r="T52" s="32">
        <f>IF(AND($L52=1,OR($F52="",$F52="Open"),NOT(ISNUMBER($G52))),1,0)</f>
        <v/>
      </c>
      <c r="U52" s="32">
        <f>IF($L52=0,0,$M52-COUNTIFS(Runs!$B$6:$B$105,$A52,Runs!$N$6:$N$105,"Not run"))</f>
        <v/>
      </c>
      <c r="V52" s="32">
        <f>IF($L52=0,0,COUNTIFS(Runs!$B$6:$B$105,$A52,Runs!$N$6:$N$105,"Planned"))</f>
        <v/>
      </c>
      <c r="W52" s="32">
        <f>IF(AND($L52=1,OR($F52="",$F52="Open"),ISNUMBER($G52),ISNUMBER(MATCH($B52,Summary!$G$28:$G$34,0))),IF(ISNUMBER(INDEX(Summary!$H$28:$H$34,MATCH($B52,Summary!$G$28:$G$34,0))),IF($G52&lt;&gt;INDEX(Summary!$H$28:$H$34,MATCH($B52,Summary!$G$28:$G$34,0)),1,0),0),0)</f>
        <v/>
      </c>
    </row>
    <row r="53">
      <c r="A53" s="27" t="n"/>
      <c r="B53" s="28" t="n"/>
      <c r="C53" s="28" t="n"/>
      <c r="D53" s="28" t="n"/>
      <c r="E53" s="28" t="n"/>
      <c r="F53" s="27" t="n"/>
      <c r="G53" s="29" t="n"/>
      <c r="H53" s="30">
        <f>IF($L53=0,"",$M53)</f>
        <v/>
      </c>
      <c r="I53" s="31">
        <f>IF($N53=0,"",INDEX(Runs!$A$6:$A$105,$N53))</f>
        <v/>
      </c>
      <c r="J53" s="31">
        <f>IF($L53=0,"",IF($N53&gt;0,INDEX(Runs!$N$6:$N$105,$N53),IF(COUNTIFS(Runs!$B$6:$B$105,$A53,Runs!$N$6:$N$105,"Planned")&gt;0,"Planned","No run")))</f>
        <v/>
      </c>
      <c r="K53" s="19">
        <f>IF($L53=0,"",IF($O53+$P53+$Q53=0,"○ Clear",IF($O53=1,"△ No ID, or ID used twice",IF($P53=1,"△ Met with no passing run",IF($J53="Failed","△ Needed soon, failed, with no re-run booked","△ Needed soon, with no run booked")))&amp;IF($O53+$P53+$Q53&gt;1,", and "&amp;($O53+$P53+$Q53-1)&amp;" more",""))&amp;IF($R53=1,"  ◇ passed: the Owner can mark it Met","")&amp;IF($S53=1,"  ◇ a run is planned after Needed by","")&amp;IF($T53=1,"  ◇ no Needed by date","")&amp;IF($W53=1,"  ◇ Needed by isn't the gate map's Date",""))</f>
        <v/>
      </c>
      <c r="L53" s="32">
        <f>IF(COUNTA($A53:$G53)&gt;0,1,0)</f>
        <v/>
      </c>
      <c r="M53" s="32">
        <f>IF($L53=0,0,COUNTIF(Runs!$B$6:$B$105,$A53))</f>
        <v/>
      </c>
      <c r="N53" s="32">
        <f>IF($L53=0,0,IFERROR(MATCH($A53,Runs!$R$6:$R$105,0),0))</f>
        <v/>
      </c>
      <c r="O53" s="32">
        <f>IF($L53=0,0,IF(OR(TRIM($A53)="",COUNTIF($A$6:$A$105,$A53)&gt;1),1,0))</f>
        <v/>
      </c>
      <c r="P53" s="32">
        <f>IF($L53=0,0,IF(AND($F53="Met",$J53&lt;&gt;"Passed"),1,0))</f>
        <v/>
      </c>
      <c r="Q53" s="32">
        <f>IF(OR($L53=0,$F53="Met",$F53="Waived",NOT(ISNUMBER($G53))),0,IF(AND($G53&lt;=Summary!$B$12+N(Summary!$B$11),OR($U53=0,AND($J53="Failed",$V53=0))),1,0))</f>
        <v/>
      </c>
      <c r="R53" s="32">
        <f>IF(AND($L53=1,OR($F53="",$F53="Open"),$J53="Passed"),1,0)</f>
        <v/>
      </c>
      <c r="S53" s="32">
        <f>IF(AND($L53=1,ISNUMBER($G53)),IF(SUMPRODUCT((Runs!$B$6:$B$105=$A53)*(Runs!$N$6:$N$105="Planned")*(Runs!$C$6:$C$105&gt;$G53))&gt;0,1,0),0)</f>
        <v/>
      </c>
      <c r="T53" s="32">
        <f>IF(AND($L53=1,OR($F53="",$F53="Open"),NOT(ISNUMBER($G53))),1,0)</f>
        <v/>
      </c>
      <c r="U53" s="32">
        <f>IF($L53=0,0,$M53-COUNTIFS(Runs!$B$6:$B$105,$A53,Runs!$N$6:$N$105,"Not run"))</f>
        <v/>
      </c>
      <c r="V53" s="32">
        <f>IF($L53=0,0,COUNTIFS(Runs!$B$6:$B$105,$A53,Runs!$N$6:$N$105,"Planned"))</f>
        <v/>
      </c>
      <c r="W53" s="32">
        <f>IF(AND($L53=1,OR($F53="",$F53="Open"),ISNUMBER($G53),ISNUMBER(MATCH($B53,Summary!$G$28:$G$34,0))),IF(ISNUMBER(INDEX(Summary!$H$28:$H$34,MATCH($B53,Summary!$G$28:$G$34,0))),IF($G53&lt;&gt;INDEX(Summary!$H$28:$H$34,MATCH($B53,Summary!$G$28:$G$34,0)),1,0),0),0)</f>
        <v/>
      </c>
    </row>
    <row r="54">
      <c r="A54" s="27" t="n"/>
      <c r="B54" s="28" t="n"/>
      <c r="C54" s="28" t="n"/>
      <c r="D54" s="28" t="n"/>
      <c r="E54" s="28" t="n"/>
      <c r="F54" s="27" t="n"/>
      <c r="G54" s="29" t="n"/>
      <c r="H54" s="30">
        <f>IF($L54=0,"",$M54)</f>
        <v/>
      </c>
      <c r="I54" s="31">
        <f>IF($N54=0,"",INDEX(Runs!$A$6:$A$105,$N54))</f>
        <v/>
      </c>
      <c r="J54" s="31">
        <f>IF($L54=0,"",IF($N54&gt;0,INDEX(Runs!$N$6:$N$105,$N54),IF(COUNTIFS(Runs!$B$6:$B$105,$A54,Runs!$N$6:$N$105,"Planned")&gt;0,"Planned","No run")))</f>
        <v/>
      </c>
      <c r="K54" s="19">
        <f>IF($L54=0,"",IF($O54+$P54+$Q54=0,"○ Clear",IF($O54=1,"△ No ID, or ID used twice",IF($P54=1,"△ Met with no passing run",IF($J54="Failed","△ Needed soon, failed, with no re-run booked","△ Needed soon, with no run booked")))&amp;IF($O54+$P54+$Q54&gt;1,", and "&amp;($O54+$P54+$Q54-1)&amp;" more",""))&amp;IF($R54=1,"  ◇ passed: the Owner can mark it Met","")&amp;IF($S54=1,"  ◇ a run is planned after Needed by","")&amp;IF($T54=1,"  ◇ no Needed by date","")&amp;IF($W54=1,"  ◇ Needed by isn't the gate map's Date",""))</f>
        <v/>
      </c>
      <c r="L54" s="32">
        <f>IF(COUNTA($A54:$G54)&gt;0,1,0)</f>
        <v/>
      </c>
      <c r="M54" s="32">
        <f>IF($L54=0,0,COUNTIF(Runs!$B$6:$B$105,$A54))</f>
        <v/>
      </c>
      <c r="N54" s="32">
        <f>IF($L54=0,0,IFERROR(MATCH($A54,Runs!$R$6:$R$105,0),0))</f>
        <v/>
      </c>
      <c r="O54" s="32">
        <f>IF($L54=0,0,IF(OR(TRIM($A54)="",COUNTIF($A$6:$A$105,$A54)&gt;1),1,0))</f>
        <v/>
      </c>
      <c r="P54" s="32">
        <f>IF($L54=0,0,IF(AND($F54="Met",$J54&lt;&gt;"Passed"),1,0))</f>
        <v/>
      </c>
      <c r="Q54" s="32">
        <f>IF(OR($L54=0,$F54="Met",$F54="Waived",NOT(ISNUMBER($G54))),0,IF(AND($G54&lt;=Summary!$B$12+N(Summary!$B$11),OR($U54=0,AND($J54="Failed",$V54=0))),1,0))</f>
        <v/>
      </c>
      <c r="R54" s="32">
        <f>IF(AND($L54=1,OR($F54="",$F54="Open"),$J54="Passed"),1,0)</f>
        <v/>
      </c>
      <c r="S54" s="32">
        <f>IF(AND($L54=1,ISNUMBER($G54)),IF(SUMPRODUCT((Runs!$B$6:$B$105=$A54)*(Runs!$N$6:$N$105="Planned")*(Runs!$C$6:$C$105&gt;$G54))&gt;0,1,0),0)</f>
        <v/>
      </c>
      <c r="T54" s="32">
        <f>IF(AND($L54=1,OR($F54="",$F54="Open"),NOT(ISNUMBER($G54))),1,0)</f>
        <v/>
      </c>
      <c r="U54" s="32">
        <f>IF($L54=0,0,$M54-COUNTIFS(Runs!$B$6:$B$105,$A54,Runs!$N$6:$N$105,"Not run"))</f>
        <v/>
      </c>
      <c r="V54" s="32">
        <f>IF($L54=0,0,COUNTIFS(Runs!$B$6:$B$105,$A54,Runs!$N$6:$N$105,"Planned"))</f>
        <v/>
      </c>
      <c r="W54" s="32">
        <f>IF(AND($L54=1,OR($F54="",$F54="Open"),ISNUMBER($G54),ISNUMBER(MATCH($B54,Summary!$G$28:$G$34,0))),IF(ISNUMBER(INDEX(Summary!$H$28:$H$34,MATCH($B54,Summary!$G$28:$G$34,0))),IF($G54&lt;&gt;INDEX(Summary!$H$28:$H$34,MATCH($B54,Summary!$G$28:$G$34,0)),1,0),0),0)</f>
        <v/>
      </c>
    </row>
    <row r="55">
      <c r="A55" s="27" t="n"/>
      <c r="B55" s="28" t="n"/>
      <c r="C55" s="28" t="n"/>
      <c r="D55" s="28" t="n"/>
      <c r="E55" s="28" t="n"/>
      <c r="F55" s="27" t="n"/>
      <c r="G55" s="29" t="n"/>
      <c r="H55" s="30">
        <f>IF($L55=0,"",$M55)</f>
        <v/>
      </c>
      <c r="I55" s="31">
        <f>IF($N55=0,"",INDEX(Runs!$A$6:$A$105,$N55))</f>
        <v/>
      </c>
      <c r="J55" s="31">
        <f>IF($L55=0,"",IF($N55&gt;0,INDEX(Runs!$N$6:$N$105,$N55),IF(COUNTIFS(Runs!$B$6:$B$105,$A55,Runs!$N$6:$N$105,"Planned")&gt;0,"Planned","No run")))</f>
        <v/>
      </c>
      <c r="K55" s="19">
        <f>IF($L55=0,"",IF($O55+$P55+$Q55=0,"○ Clear",IF($O55=1,"△ No ID, or ID used twice",IF($P55=1,"△ Met with no passing run",IF($J55="Failed","△ Needed soon, failed, with no re-run booked","△ Needed soon, with no run booked")))&amp;IF($O55+$P55+$Q55&gt;1,", and "&amp;($O55+$P55+$Q55-1)&amp;" more",""))&amp;IF($R55=1,"  ◇ passed: the Owner can mark it Met","")&amp;IF($S55=1,"  ◇ a run is planned after Needed by","")&amp;IF($T55=1,"  ◇ no Needed by date","")&amp;IF($W55=1,"  ◇ Needed by isn't the gate map's Date",""))</f>
        <v/>
      </c>
      <c r="L55" s="32">
        <f>IF(COUNTA($A55:$G55)&gt;0,1,0)</f>
        <v/>
      </c>
      <c r="M55" s="32">
        <f>IF($L55=0,0,COUNTIF(Runs!$B$6:$B$105,$A55))</f>
        <v/>
      </c>
      <c r="N55" s="32">
        <f>IF($L55=0,0,IFERROR(MATCH($A55,Runs!$R$6:$R$105,0),0))</f>
        <v/>
      </c>
      <c r="O55" s="32">
        <f>IF($L55=0,0,IF(OR(TRIM($A55)="",COUNTIF($A$6:$A$105,$A55)&gt;1),1,0))</f>
        <v/>
      </c>
      <c r="P55" s="32">
        <f>IF($L55=0,0,IF(AND($F55="Met",$J55&lt;&gt;"Passed"),1,0))</f>
        <v/>
      </c>
      <c r="Q55" s="32">
        <f>IF(OR($L55=0,$F55="Met",$F55="Waived",NOT(ISNUMBER($G55))),0,IF(AND($G55&lt;=Summary!$B$12+N(Summary!$B$11),OR($U55=0,AND($J55="Failed",$V55=0))),1,0))</f>
        <v/>
      </c>
      <c r="R55" s="32">
        <f>IF(AND($L55=1,OR($F55="",$F55="Open"),$J55="Passed"),1,0)</f>
        <v/>
      </c>
      <c r="S55" s="32">
        <f>IF(AND($L55=1,ISNUMBER($G55)),IF(SUMPRODUCT((Runs!$B$6:$B$105=$A55)*(Runs!$N$6:$N$105="Planned")*(Runs!$C$6:$C$105&gt;$G55))&gt;0,1,0),0)</f>
        <v/>
      </c>
      <c r="T55" s="32">
        <f>IF(AND($L55=1,OR($F55="",$F55="Open"),NOT(ISNUMBER($G55))),1,0)</f>
        <v/>
      </c>
      <c r="U55" s="32">
        <f>IF($L55=0,0,$M55-COUNTIFS(Runs!$B$6:$B$105,$A55,Runs!$N$6:$N$105,"Not run"))</f>
        <v/>
      </c>
      <c r="V55" s="32">
        <f>IF($L55=0,0,COUNTIFS(Runs!$B$6:$B$105,$A55,Runs!$N$6:$N$105,"Planned"))</f>
        <v/>
      </c>
      <c r="W55" s="32">
        <f>IF(AND($L55=1,OR($F55="",$F55="Open"),ISNUMBER($G55),ISNUMBER(MATCH($B55,Summary!$G$28:$G$34,0))),IF(ISNUMBER(INDEX(Summary!$H$28:$H$34,MATCH($B55,Summary!$G$28:$G$34,0))),IF($G55&lt;&gt;INDEX(Summary!$H$28:$H$34,MATCH($B55,Summary!$G$28:$G$34,0)),1,0),0),0)</f>
        <v/>
      </c>
    </row>
    <row r="56">
      <c r="A56" s="27" t="n"/>
      <c r="B56" s="28" t="n"/>
      <c r="C56" s="28" t="n"/>
      <c r="D56" s="28" t="n"/>
      <c r="E56" s="28" t="n"/>
      <c r="F56" s="27" t="n"/>
      <c r="G56" s="29" t="n"/>
      <c r="H56" s="30">
        <f>IF($L56=0,"",$M56)</f>
        <v/>
      </c>
      <c r="I56" s="31">
        <f>IF($N56=0,"",INDEX(Runs!$A$6:$A$105,$N56))</f>
        <v/>
      </c>
      <c r="J56" s="31">
        <f>IF($L56=0,"",IF($N56&gt;0,INDEX(Runs!$N$6:$N$105,$N56),IF(COUNTIFS(Runs!$B$6:$B$105,$A56,Runs!$N$6:$N$105,"Planned")&gt;0,"Planned","No run")))</f>
        <v/>
      </c>
      <c r="K56" s="19">
        <f>IF($L56=0,"",IF($O56+$P56+$Q56=0,"○ Clear",IF($O56=1,"△ No ID, or ID used twice",IF($P56=1,"△ Met with no passing run",IF($J56="Failed","△ Needed soon, failed, with no re-run booked","△ Needed soon, with no run booked")))&amp;IF($O56+$P56+$Q56&gt;1,", and "&amp;($O56+$P56+$Q56-1)&amp;" more",""))&amp;IF($R56=1,"  ◇ passed: the Owner can mark it Met","")&amp;IF($S56=1,"  ◇ a run is planned after Needed by","")&amp;IF($T56=1,"  ◇ no Needed by date","")&amp;IF($W56=1,"  ◇ Needed by isn't the gate map's Date",""))</f>
        <v/>
      </c>
      <c r="L56" s="32">
        <f>IF(COUNTA($A56:$G56)&gt;0,1,0)</f>
        <v/>
      </c>
      <c r="M56" s="32">
        <f>IF($L56=0,0,COUNTIF(Runs!$B$6:$B$105,$A56))</f>
        <v/>
      </c>
      <c r="N56" s="32">
        <f>IF($L56=0,0,IFERROR(MATCH($A56,Runs!$R$6:$R$105,0),0))</f>
        <v/>
      </c>
      <c r="O56" s="32">
        <f>IF($L56=0,0,IF(OR(TRIM($A56)="",COUNTIF($A$6:$A$105,$A56)&gt;1),1,0))</f>
        <v/>
      </c>
      <c r="P56" s="32">
        <f>IF($L56=0,0,IF(AND($F56="Met",$J56&lt;&gt;"Passed"),1,0))</f>
        <v/>
      </c>
      <c r="Q56" s="32">
        <f>IF(OR($L56=0,$F56="Met",$F56="Waived",NOT(ISNUMBER($G56))),0,IF(AND($G56&lt;=Summary!$B$12+N(Summary!$B$11),OR($U56=0,AND($J56="Failed",$V56=0))),1,0))</f>
        <v/>
      </c>
      <c r="R56" s="32">
        <f>IF(AND($L56=1,OR($F56="",$F56="Open"),$J56="Passed"),1,0)</f>
        <v/>
      </c>
      <c r="S56" s="32">
        <f>IF(AND($L56=1,ISNUMBER($G56)),IF(SUMPRODUCT((Runs!$B$6:$B$105=$A56)*(Runs!$N$6:$N$105="Planned")*(Runs!$C$6:$C$105&gt;$G56))&gt;0,1,0),0)</f>
        <v/>
      </c>
      <c r="T56" s="32">
        <f>IF(AND($L56=1,OR($F56="",$F56="Open"),NOT(ISNUMBER($G56))),1,0)</f>
        <v/>
      </c>
      <c r="U56" s="32">
        <f>IF($L56=0,0,$M56-COUNTIFS(Runs!$B$6:$B$105,$A56,Runs!$N$6:$N$105,"Not run"))</f>
        <v/>
      </c>
      <c r="V56" s="32">
        <f>IF($L56=0,0,COUNTIFS(Runs!$B$6:$B$105,$A56,Runs!$N$6:$N$105,"Planned"))</f>
        <v/>
      </c>
      <c r="W56" s="32">
        <f>IF(AND($L56=1,OR($F56="",$F56="Open"),ISNUMBER($G56),ISNUMBER(MATCH($B56,Summary!$G$28:$G$34,0))),IF(ISNUMBER(INDEX(Summary!$H$28:$H$34,MATCH($B56,Summary!$G$28:$G$34,0))),IF($G56&lt;&gt;INDEX(Summary!$H$28:$H$34,MATCH($B56,Summary!$G$28:$G$34,0)),1,0),0),0)</f>
        <v/>
      </c>
    </row>
    <row r="57">
      <c r="A57" s="27" t="n"/>
      <c r="B57" s="28" t="n"/>
      <c r="C57" s="28" t="n"/>
      <c r="D57" s="28" t="n"/>
      <c r="E57" s="28" t="n"/>
      <c r="F57" s="27" t="n"/>
      <c r="G57" s="29" t="n"/>
      <c r="H57" s="30">
        <f>IF($L57=0,"",$M57)</f>
        <v/>
      </c>
      <c r="I57" s="31">
        <f>IF($N57=0,"",INDEX(Runs!$A$6:$A$105,$N57))</f>
        <v/>
      </c>
      <c r="J57" s="31">
        <f>IF($L57=0,"",IF($N57&gt;0,INDEX(Runs!$N$6:$N$105,$N57),IF(COUNTIFS(Runs!$B$6:$B$105,$A57,Runs!$N$6:$N$105,"Planned")&gt;0,"Planned","No run")))</f>
        <v/>
      </c>
      <c r="K57" s="19">
        <f>IF($L57=0,"",IF($O57+$P57+$Q57=0,"○ Clear",IF($O57=1,"△ No ID, or ID used twice",IF($P57=1,"△ Met with no passing run",IF($J57="Failed","△ Needed soon, failed, with no re-run booked","△ Needed soon, with no run booked")))&amp;IF($O57+$P57+$Q57&gt;1,", and "&amp;($O57+$P57+$Q57-1)&amp;" more",""))&amp;IF($R57=1,"  ◇ passed: the Owner can mark it Met","")&amp;IF($S57=1,"  ◇ a run is planned after Needed by","")&amp;IF($T57=1,"  ◇ no Needed by date","")&amp;IF($W57=1,"  ◇ Needed by isn't the gate map's Date",""))</f>
        <v/>
      </c>
      <c r="L57" s="32">
        <f>IF(COUNTA($A57:$G57)&gt;0,1,0)</f>
        <v/>
      </c>
      <c r="M57" s="32">
        <f>IF($L57=0,0,COUNTIF(Runs!$B$6:$B$105,$A57))</f>
        <v/>
      </c>
      <c r="N57" s="32">
        <f>IF($L57=0,0,IFERROR(MATCH($A57,Runs!$R$6:$R$105,0),0))</f>
        <v/>
      </c>
      <c r="O57" s="32">
        <f>IF($L57=0,0,IF(OR(TRIM($A57)="",COUNTIF($A$6:$A$105,$A57)&gt;1),1,0))</f>
        <v/>
      </c>
      <c r="P57" s="32">
        <f>IF($L57=0,0,IF(AND($F57="Met",$J57&lt;&gt;"Passed"),1,0))</f>
        <v/>
      </c>
      <c r="Q57" s="32">
        <f>IF(OR($L57=0,$F57="Met",$F57="Waived",NOT(ISNUMBER($G57))),0,IF(AND($G57&lt;=Summary!$B$12+N(Summary!$B$11),OR($U57=0,AND($J57="Failed",$V57=0))),1,0))</f>
        <v/>
      </c>
      <c r="R57" s="32">
        <f>IF(AND($L57=1,OR($F57="",$F57="Open"),$J57="Passed"),1,0)</f>
        <v/>
      </c>
      <c r="S57" s="32">
        <f>IF(AND($L57=1,ISNUMBER($G57)),IF(SUMPRODUCT((Runs!$B$6:$B$105=$A57)*(Runs!$N$6:$N$105="Planned")*(Runs!$C$6:$C$105&gt;$G57))&gt;0,1,0),0)</f>
        <v/>
      </c>
      <c r="T57" s="32">
        <f>IF(AND($L57=1,OR($F57="",$F57="Open"),NOT(ISNUMBER($G57))),1,0)</f>
        <v/>
      </c>
      <c r="U57" s="32">
        <f>IF($L57=0,0,$M57-COUNTIFS(Runs!$B$6:$B$105,$A57,Runs!$N$6:$N$105,"Not run"))</f>
        <v/>
      </c>
      <c r="V57" s="32">
        <f>IF($L57=0,0,COUNTIFS(Runs!$B$6:$B$105,$A57,Runs!$N$6:$N$105,"Planned"))</f>
        <v/>
      </c>
      <c r="W57" s="32">
        <f>IF(AND($L57=1,OR($F57="",$F57="Open"),ISNUMBER($G57),ISNUMBER(MATCH($B57,Summary!$G$28:$G$34,0))),IF(ISNUMBER(INDEX(Summary!$H$28:$H$34,MATCH($B57,Summary!$G$28:$G$34,0))),IF($G57&lt;&gt;INDEX(Summary!$H$28:$H$34,MATCH($B57,Summary!$G$28:$G$34,0)),1,0),0),0)</f>
        <v/>
      </c>
    </row>
    <row r="58">
      <c r="A58" s="27" t="n"/>
      <c r="B58" s="28" t="n"/>
      <c r="C58" s="28" t="n"/>
      <c r="D58" s="28" t="n"/>
      <c r="E58" s="28" t="n"/>
      <c r="F58" s="27" t="n"/>
      <c r="G58" s="29" t="n"/>
      <c r="H58" s="30">
        <f>IF($L58=0,"",$M58)</f>
        <v/>
      </c>
      <c r="I58" s="31">
        <f>IF($N58=0,"",INDEX(Runs!$A$6:$A$105,$N58))</f>
        <v/>
      </c>
      <c r="J58" s="31">
        <f>IF($L58=0,"",IF($N58&gt;0,INDEX(Runs!$N$6:$N$105,$N58),IF(COUNTIFS(Runs!$B$6:$B$105,$A58,Runs!$N$6:$N$105,"Planned")&gt;0,"Planned","No run")))</f>
        <v/>
      </c>
      <c r="K58" s="19">
        <f>IF($L58=0,"",IF($O58+$P58+$Q58=0,"○ Clear",IF($O58=1,"△ No ID, or ID used twice",IF($P58=1,"△ Met with no passing run",IF($J58="Failed","△ Needed soon, failed, with no re-run booked","△ Needed soon, with no run booked")))&amp;IF($O58+$P58+$Q58&gt;1,", and "&amp;($O58+$P58+$Q58-1)&amp;" more",""))&amp;IF($R58=1,"  ◇ passed: the Owner can mark it Met","")&amp;IF($S58=1,"  ◇ a run is planned after Needed by","")&amp;IF($T58=1,"  ◇ no Needed by date","")&amp;IF($W58=1,"  ◇ Needed by isn't the gate map's Date",""))</f>
        <v/>
      </c>
      <c r="L58" s="32">
        <f>IF(COUNTA($A58:$G58)&gt;0,1,0)</f>
        <v/>
      </c>
      <c r="M58" s="32">
        <f>IF($L58=0,0,COUNTIF(Runs!$B$6:$B$105,$A58))</f>
        <v/>
      </c>
      <c r="N58" s="32">
        <f>IF($L58=0,0,IFERROR(MATCH($A58,Runs!$R$6:$R$105,0),0))</f>
        <v/>
      </c>
      <c r="O58" s="32">
        <f>IF($L58=0,0,IF(OR(TRIM($A58)="",COUNTIF($A$6:$A$105,$A58)&gt;1),1,0))</f>
        <v/>
      </c>
      <c r="P58" s="32">
        <f>IF($L58=0,0,IF(AND($F58="Met",$J58&lt;&gt;"Passed"),1,0))</f>
        <v/>
      </c>
      <c r="Q58" s="32">
        <f>IF(OR($L58=0,$F58="Met",$F58="Waived",NOT(ISNUMBER($G58))),0,IF(AND($G58&lt;=Summary!$B$12+N(Summary!$B$11),OR($U58=0,AND($J58="Failed",$V58=0))),1,0))</f>
        <v/>
      </c>
      <c r="R58" s="32">
        <f>IF(AND($L58=1,OR($F58="",$F58="Open"),$J58="Passed"),1,0)</f>
        <v/>
      </c>
      <c r="S58" s="32">
        <f>IF(AND($L58=1,ISNUMBER($G58)),IF(SUMPRODUCT((Runs!$B$6:$B$105=$A58)*(Runs!$N$6:$N$105="Planned")*(Runs!$C$6:$C$105&gt;$G58))&gt;0,1,0),0)</f>
        <v/>
      </c>
      <c r="T58" s="32">
        <f>IF(AND($L58=1,OR($F58="",$F58="Open"),NOT(ISNUMBER($G58))),1,0)</f>
        <v/>
      </c>
      <c r="U58" s="32">
        <f>IF($L58=0,0,$M58-COUNTIFS(Runs!$B$6:$B$105,$A58,Runs!$N$6:$N$105,"Not run"))</f>
        <v/>
      </c>
      <c r="V58" s="32">
        <f>IF($L58=0,0,COUNTIFS(Runs!$B$6:$B$105,$A58,Runs!$N$6:$N$105,"Planned"))</f>
        <v/>
      </c>
      <c r="W58" s="32">
        <f>IF(AND($L58=1,OR($F58="",$F58="Open"),ISNUMBER($G58),ISNUMBER(MATCH($B58,Summary!$G$28:$G$34,0))),IF(ISNUMBER(INDEX(Summary!$H$28:$H$34,MATCH($B58,Summary!$G$28:$G$34,0))),IF($G58&lt;&gt;INDEX(Summary!$H$28:$H$34,MATCH($B58,Summary!$G$28:$G$34,0)),1,0),0),0)</f>
        <v/>
      </c>
    </row>
    <row r="59">
      <c r="A59" s="27" t="n"/>
      <c r="B59" s="28" t="n"/>
      <c r="C59" s="28" t="n"/>
      <c r="D59" s="28" t="n"/>
      <c r="E59" s="28" t="n"/>
      <c r="F59" s="27" t="n"/>
      <c r="G59" s="29" t="n"/>
      <c r="H59" s="30">
        <f>IF($L59=0,"",$M59)</f>
        <v/>
      </c>
      <c r="I59" s="31">
        <f>IF($N59=0,"",INDEX(Runs!$A$6:$A$105,$N59))</f>
        <v/>
      </c>
      <c r="J59" s="31">
        <f>IF($L59=0,"",IF($N59&gt;0,INDEX(Runs!$N$6:$N$105,$N59),IF(COUNTIFS(Runs!$B$6:$B$105,$A59,Runs!$N$6:$N$105,"Planned")&gt;0,"Planned","No run")))</f>
        <v/>
      </c>
      <c r="K59" s="19">
        <f>IF($L59=0,"",IF($O59+$P59+$Q59=0,"○ Clear",IF($O59=1,"△ No ID, or ID used twice",IF($P59=1,"△ Met with no passing run",IF($J59="Failed","△ Needed soon, failed, with no re-run booked","△ Needed soon, with no run booked")))&amp;IF($O59+$P59+$Q59&gt;1,", and "&amp;($O59+$P59+$Q59-1)&amp;" more",""))&amp;IF($R59=1,"  ◇ passed: the Owner can mark it Met","")&amp;IF($S59=1,"  ◇ a run is planned after Needed by","")&amp;IF($T59=1,"  ◇ no Needed by date","")&amp;IF($W59=1,"  ◇ Needed by isn't the gate map's Date",""))</f>
        <v/>
      </c>
      <c r="L59" s="32">
        <f>IF(COUNTA($A59:$G59)&gt;0,1,0)</f>
        <v/>
      </c>
      <c r="M59" s="32">
        <f>IF($L59=0,0,COUNTIF(Runs!$B$6:$B$105,$A59))</f>
        <v/>
      </c>
      <c r="N59" s="32">
        <f>IF($L59=0,0,IFERROR(MATCH($A59,Runs!$R$6:$R$105,0),0))</f>
        <v/>
      </c>
      <c r="O59" s="32">
        <f>IF($L59=0,0,IF(OR(TRIM($A59)="",COUNTIF($A$6:$A$105,$A59)&gt;1),1,0))</f>
        <v/>
      </c>
      <c r="P59" s="32">
        <f>IF($L59=0,0,IF(AND($F59="Met",$J59&lt;&gt;"Passed"),1,0))</f>
        <v/>
      </c>
      <c r="Q59" s="32">
        <f>IF(OR($L59=0,$F59="Met",$F59="Waived",NOT(ISNUMBER($G59))),0,IF(AND($G59&lt;=Summary!$B$12+N(Summary!$B$11),OR($U59=0,AND($J59="Failed",$V59=0))),1,0))</f>
        <v/>
      </c>
      <c r="R59" s="32">
        <f>IF(AND($L59=1,OR($F59="",$F59="Open"),$J59="Passed"),1,0)</f>
        <v/>
      </c>
      <c r="S59" s="32">
        <f>IF(AND($L59=1,ISNUMBER($G59)),IF(SUMPRODUCT((Runs!$B$6:$B$105=$A59)*(Runs!$N$6:$N$105="Planned")*(Runs!$C$6:$C$105&gt;$G59))&gt;0,1,0),0)</f>
        <v/>
      </c>
      <c r="T59" s="32">
        <f>IF(AND($L59=1,OR($F59="",$F59="Open"),NOT(ISNUMBER($G59))),1,0)</f>
        <v/>
      </c>
      <c r="U59" s="32">
        <f>IF($L59=0,0,$M59-COUNTIFS(Runs!$B$6:$B$105,$A59,Runs!$N$6:$N$105,"Not run"))</f>
        <v/>
      </c>
      <c r="V59" s="32">
        <f>IF($L59=0,0,COUNTIFS(Runs!$B$6:$B$105,$A59,Runs!$N$6:$N$105,"Planned"))</f>
        <v/>
      </c>
      <c r="W59" s="32">
        <f>IF(AND($L59=1,OR($F59="",$F59="Open"),ISNUMBER($G59),ISNUMBER(MATCH($B59,Summary!$G$28:$G$34,0))),IF(ISNUMBER(INDEX(Summary!$H$28:$H$34,MATCH($B59,Summary!$G$28:$G$34,0))),IF($G59&lt;&gt;INDEX(Summary!$H$28:$H$34,MATCH($B59,Summary!$G$28:$G$34,0)),1,0),0),0)</f>
        <v/>
      </c>
    </row>
    <row r="60">
      <c r="A60" s="27" t="n"/>
      <c r="B60" s="28" t="n"/>
      <c r="C60" s="28" t="n"/>
      <c r="D60" s="28" t="n"/>
      <c r="E60" s="28" t="n"/>
      <c r="F60" s="27" t="n"/>
      <c r="G60" s="29" t="n"/>
      <c r="H60" s="30">
        <f>IF($L60=0,"",$M60)</f>
        <v/>
      </c>
      <c r="I60" s="31">
        <f>IF($N60=0,"",INDEX(Runs!$A$6:$A$105,$N60))</f>
        <v/>
      </c>
      <c r="J60" s="31">
        <f>IF($L60=0,"",IF($N60&gt;0,INDEX(Runs!$N$6:$N$105,$N60),IF(COUNTIFS(Runs!$B$6:$B$105,$A60,Runs!$N$6:$N$105,"Planned")&gt;0,"Planned","No run")))</f>
        <v/>
      </c>
      <c r="K60" s="19">
        <f>IF($L60=0,"",IF($O60+$P60+$Q60=0,"○ Clear",IF($O60=1,"△ No ID, or ID used twice",IF($P60=1,"△ Met with no passing run",IF($J60="Failed","△ Needed soon, failed, with no re-run booked","△ Needed soon, with no run booked")))&amp;IF($O60+$P60+$Q60&gt;1,", and "&amp;($O60+$P60+$Q60-1)&amp;" more",""))&amp;IF($R60=1,"  ◇ passed: the Owner can mark it Met","")&amp;IF($S60=1,"  ◇ a run is planned after Needed by","")&amp;IF($T60=1,"  ◇ no Needed by date","")&amp;IF($W60=1,"  ◇ Needed by isn't the gate map's Date",""))</f>
        <v/>
      </c>
      <c r="L60" s="32">
        <f>IF(COUNTA($A60:$G60)&gt;0,1,0)</f>
        <v/>
      </c>
      <c r="M60" s="32">
        <f>IF($L60=0,0,COUNTIF(Runs!$B$6:$B$105,$A60))</f>
        <v/>
      </c>
      <c r="N60" s="32">
        <f>IF($L60=0,0,IFERROR(MATCH($A60,Runs!$R$6:$R$105,0),0))</f>
        <v/>
      </c>
      <c r="O60" s="32">
        <f>IF($L60=0,0,IF(OR(TRIM($A60)="",COUNTIF($A$6:$A$105,$A60)&gt;1),1,0))</f>
        <v/>
      </c>
      <c r="P60" s="32">
        <f>IF($L60=0,0,IF(AND($F60="Met",$J60&lt;&gt;"Passed"),1,0))</f>
        <v/>
      </c>
      <c r="Q60" s="32">
        <f>IF(OR($L60=0,$F60="Met",$F60="Waived",NOT(ISNUMBER($G60))),0,IF(AND($G60&lt;=Summary!$B$12+N(Summary!$B$11),OR($U60=0,AND($J60="Failed",$V60=0))),1,0))</f>
        <v/>
      </c>
      <c r="R60" s="32">
        <f>IF(AND($L60=1,OR($F60="",$F60="Open"),$J60="Passed"),1,0)</f>
        <v/>
      </c>
      <c r="S60" s="32">
        <f>IF(AND($L60=1,ISNUMBER($G60)),IF(SUMPRODUCT((Runs!$B$6:$B$105=$A60)*(Runs!$N$6:$N$105="Planned")*(Runs!$C$6:$C$105&gt;$G60))&gt;0,1,0),0)</f>
        <v/>
      </c>
      <c r="T60" s="32">
        <f>IF(AND($L60=1,OR($F60="",$F60="Open"),NOT(ISNUMBER($G60))),1,0)</f>
        <v/>
      </c>
      <c r="U60" s="32">
        <f>IF($L60=0,0,$M60-COUNTIFS(Runs!$B$6:$B$105,$A60,Runs!$N$6:$N$105,"Not run"))</f>
        <v/>
      </c>
      <c r="V60" s="32">
        <f>IF($L60=0,0,COUNTIFS(Runs!$B$6:$B$105,$A60,Runs!$N$6:$N$105,"Planned"))</f>
        <v/>
      </c>
      <c r="W60" s="32">
        <f>IF(AND($L60=1,OR($F60="",$F60="Open"),ISNUMBER($G60),ISNUMBER(MATCH($B60,Summary!$G$28:$G$34,0))),IF(ISNUMBER(INDEX(Summary!$H$28:$H$34,MATCH($B60,Summary!$G$28:$G$34,0))),IF($G60&lt;&gt;INDEX(Summary!$H$28:$H$34,MATCH($B60,Summary!$G$28:$G$34,0)),1,0),0),0)</f>
        <v/>
      </c>
    </row>
    <row r="61">
      <c r="A61" s="27" t="n"/>
      <c r="B61" s="28" t="n"/>
      <c r="C61" s="28" t="n"/>
      <c r="D61" s="28" t="n"/>
      <c r="E61" s="28" t="n"/>
      <c r="F61" s="27" t="n"/>
      <c r="G61" s="29" t="n"/>
      <c r="H61" s="30">
        <f>IF($L61=0,"",$M61)</f>
        <v/>
      </c>
      <c r="I61" s="31">
        <f>IF($N61=0,"",INDEX(Runs!$A$6:$A$105,$N61))</f>
        <v/>
      </c>
      <c r="J61" s="31">
        <f>IF($L61=0,"",IF($N61&gt;0,INDEX(Runs!$N$6:$N$105,$N61),IF(COUNTIFS(Runs!$B$6:$B$105,$A61,Runs!$N$6:$N$105,"Planned")&gt;0,"Planned","No run")))</f>
        <v/>
      </c>
      <c r="K61" s="19">
        <f>IF($L61=0,"",IF($O61+$P61+$Q61=0,"○ Clear",IF($O61=1,"△ No ID, or ID used twice",IF($P61=1,"△ Met with no passing run",IF($J61="Failed","△ Needed soon, failed, with no re-run booked","△ Needed soon, with no run booked")))&amp;IF($O61+$P61+$Q61&gt;1,", and "&amp;($O61+$P61+$Q61-1)&amp;" more",""))&amp;IF($R61=1,"  ◇ passed: the Owner can mark it Met","")&amp;IF($S61=1,"  ◇ a run is planned after Needed by","")&amp;IF($T61=1,"  ◇ no Needed by date","")&amp;IF($W61=1,"  ◇ Needed by isn't the gate map's Date",""))</f>
        <v/>
      </c>
      <c r="L61" s="32">
        <f>IF(COUNTA($A61:$G61)&gt;0,1,0)</f>
        <v/>
      </c>
      <c r="M61" s="32">
        <f>IF($L61=0,0,COUNTIF(Runs!$B$6:$B$105,$A61))</f>
        <v/>
      </c>
      <c r="N61" s="32">
        <f>IF($L61=0,0,IFERROR(MATCH($A61,Runs!$R$6:$R$105,0),0))</f>
        <v/>
      </c>
      <c r="O61" s="32">
        <f>IF($L61=0,0,IF(OR(TRIM($A61)="",COUNTIF($A$6:$A$105,$A61)&gt;1),1,0))</f>
        <v/>
      </c>
      <c r="P61" s="32">
        <f>IF($L61=0,0,IF(AND($F61="Met",$J61&lt;&gt;"Passed"),1,0))</f>
        <v/>
      </c>
      <c r="Q61" s="32">
        <f>IF(OR($L61=0,$F61="Met",$F61="Waived",NOT(ISNUMBER($G61))),0,IF(AND($G61&lt;=Summary!$B$12+N(Summary!$B$11),OR($U61=0,AND($J61="Failed",$V61=0))),1,0))</f>
        <v/>
      </c>
      <c r="R61" s="32">
        <f>IF(AND($L61=1,OR($F61="",$F61="Open"),$J61="Passed"),1,0)</f>
        <v/>
      </c>
      <c r="S61" s="32">
        <f>IF(AND($L61=1,ISNUMBER($G61)),IF(SUMPRODUCT((Runs!$B$6:$B$105=$A61)*(Runs!$N$6:$N$105="Planned")*(Runs!$C$6:$C$105&gt;$G61))&gt;0,1,0),0)</f>
        <v/>
      </c>
      <c r="T61" s="32">
        <f>IF(AND($L61=1,OR($F61="",$F61="Open"),NOT(ISNUMBER($G61))),1,0)</f>
        <v/>
      </c>
      <c r="U61" s="32">
        <f>IF($L61=0,0,$M61-COUNTIFS(Runs!$B$6:$B$105,$A61,Runs!$N$6:$N$105,"Not run"))</f>
        <v/>
      </c>
      <c r="V61" s="32">
        <f>IF($L61=0,0,COUNTIFS(Runs!$B$6:$B$105,$A61,Runs!$N$6:$N$105,"Planned"))</f>
        <v/>
      </c>
      <c r="W61" s="32">
        <f>IF(AND($L61=1,OR($F61="",$F61="Open"),ISNUMBER($G61),ISNUMBER(MATCH($B61,Summary!$G$28:$G$34,0))),IF(ISNUMBER(INDEX(Summary!$H$28:$H$34,MATCH($B61,Summary!$G$28:$G$34,0))),IF($G61&lt;&gt;INDEX(Summary!$H$28:$H$34,MATCH($B61,Summary!$G$28:$G$34,0)),1,0),0),0)</f>
        <v/>
      </c>
    </row>
    <row r="62">
      <c r="A62" s="27" t="n"/>
      <c r="B62" s="28" t="n"/>
      <c r="C62" s="28" t="n"/>
      <c r="D62" s="28" t="n"/>
      <c r="E62" s="28" t="n"/>
      <c r="F62" s="27" t="n"/>
      <c r="G62" s="29" t="n"/>
      <c r="H62" s="30">
        <f>IF($L62=0,"",$M62)</f>
        <v/>
      </c>
      <c r="I62" s="31">
        <f>IF($N62=0,"",INDEX(Runs!$A$6:$A$105,$N62))</f>
        <v/>
      </c>
      <c r="J62" s="31">
        <f>IF($L62=0,"",IF($N62&gt;0,INDEX(Runs!$N$6:$N$105,$N62),IF(COUNTIFS(Runs!$B$6:$B$105,$A62,Runs!$N$6:$N$105,"Planned")&gt;0,"Planned","No run")))</f>
        <v/>
      </c>
      <c r="K62" s="19">
        <f>IF($L62=0,"",IF($O62+$P62+$Q62=0,"○ Clear",IF($O62=1,"△ No ID, or ID used twice",IF($P62=1,"△ Met with no passing run",IF($J62="Failed","△ Needed soon, failed, with no re-run booked","△ Needed soon, with no run booked")))&amp;IF($O62+$P62+$Q62&gt;1,", and "&amp;($O62+$P62+$Q62-1)&amp;" more",""))&amp;IF($R62=1,"  ◇ passed: the Owner can mark it Met","")&amp;IF($S62=1,"  ◇ a run is planned after Needed by","")&amp;IF($T62=1,"  ◇ no Needed by date","")&amp;IF($W62=1,"  ◇ Needed by isn't the gate map's Date",""))</f>
        <v/>
      </c>
      <c r="L62" s="32">
        <f>IF(COUNTA($A62:$G62)&gt;0,1,0)</f>
        <v/>
      </c>
      <c r="M62" s="32">
        <f>IF($L62=0,0,COUNTIF(Runs!$B$6:$B$105,$A62))</f>
        <v/>
      </c>
      <c r="N62" s="32">
        <f>IF($L62=0,0,IFERROR(MATCH($A62,Runs!$R$6:$R$105,0),0))</f>
        <v/>
      </c>
      <c r="O62" s="32">
        <f>IF($L62=0,0,IF(OR(TRIM($A62)="",COUNTIF($A$6:$A$105,$A62)&gt;1),1,0))</f>
        <v/>
      </c>
      <c r="P62" s="32">
        <f>IF($L62=0,0,IF(AND($F62="Met",$J62&lt;&gt;"Passed"),1,0))</f>
        <v/>
      </c>
      <c r="Q62" s="32">
        <f>IF(OR($L62=0,$F62="Met",$F62="Waived",NOT(ISNUMBER($G62))),0,IF(AND($G62&lt;=Summary!$B$12+N(Summary!$B$11),OR($U62=0,AND($J62="Failed",$V62=0))),1,0))</f>
        <v/>
      </c>
      <c r="R62" s="32">
        <f>IF(AND($L62=1,OR($F62="",$F62="Open"),$J62="Passed"),1,0)</f>
        <v/>
      </c>
      <c r="S62" s="32">
        <f>IF(AND($L62=1,ISNUMBER($G62)),IF(SUMPRODUCT((Runs!$B$6:$B$105=$A62)*(Runs!$N$6:$N$105="Planned")*(Runs!$C$6:$C$105&gt;$G62))&gt;0,1,0),0)</f>
        <v/>
      </c>
      <c r="T62" s="32">
        <f>IF(AND($L62=1,OR($F62="",$F62="Open"),NOT(ISNUMBER($G62))),1,0)</f>
        <v/>
      </c>
      <c r="U62" s="32">
        <f>IF($L62=0,0,$M62-COUNTIFS(Runs!$B$6:$B$105,$A62,Runs!$N$6:$N$105,"Not run"))</f>
        <v/>
      </c>
      <c r="V62" s="32">
        <f>IF($L62=0,0,COUNTIFS(Runs!$B$6:$B$105,$A62,Runs!$N$6:$N$105,"Planned"))</f>
        <v/>
      </c>
      <c r="W62" s="32">
        <f>IF(AND($L62=1,OR($F62="",$F62="Open"),ISNUMBER($G62),ISNUMBER(MATCH($B62,Summary!$G$28:$G$34,0))),IF(ISNUMBER(INDEX(Summary!$H$28:$H$34,MATCH($B62,Summary!$G$28:$G$34,0))),IF($G62&lt;&gt;INDEX(Summary!$H$28:$H$34,MATCH($B62,Summary!$G$28:$G$34,0)),1,0),0),0)</f>
        <v/>
      </c>
    </row>
    <row r="63">
      <c r="A63" s="27" t="n"/>
      <c r="B63" s="28" t="n"/>
      <c r="C63" s="28" t="n"/>
      <c r="D63" s="28" t="n"/>
      <c r="E63" s="28" t="n"/>
      <c r="F63" s="27" t="n"/>
      <c r="G63" s="29" t="n"/>
      <c r="H63" s="30">
        <f>IF($L63=0,"",$M63)</f>
        <v/>
      </c>
      <c r="I63" s="31">
        <f>IF($N63=0,"",INDEX(Runs!$A$6:$A$105,$N63))</f>
        <v/>
      </c>
      <c r="J63" s="31">
        <f>IF($L63=0,"",IF($N63&gt;0,INDEX(Runs!$N$6:$N$105,$N63),IF(COUNTIFS(Runs!$B$6:$B$105,$A63,Runs!$N$6:$N$105,"Planned")&gt;0,"Planned","No run")))</f>
        <v/>
      </c>
      <c r="K63" s="19">
        <f>IF($L63=0,"",IF($O63+$P63+$Q63=0,"○ Clear",IF($O63=1,"△ No ID, or ID used twice",IF($P63=1,"△ Met with no passing run",IF($J63="Failed","△ Needed soon, failed, with no re-run booked","△ Needed soon, with no run booked")))&amp;IF($O63+$P63+$Q63&gt;1,", and "&amp;($O63+$P63+$Q63-1)&amp;" more",""))&amp;IF($R63=1,"  ◇ passed: the Owner can mark it Met","")&amp;IF($S63=1,"  ◇ a run is planned after Needed by","")&amp;IF($T63=1,"  ◇ no Needed by date","")&amp;IF($W63=1,"  ◇ Needed by isn't the gate map's Date",""))</f>
        <v/>
      </c>
      <c r="L63" s="32">
        <f>IF(COUNTA($A63:$G63)&gt;0,1,0)</f>
        <v/>
      </c>
      <c r="M63" s="32">
        <f>IF($L63=0,0,COUNTIF(Runs!$B$6:$B$105,$A63))</f>
        <v/>
      </c>
      <c r="N63" s="32">
        <f>IF($L63=0,0,IFERROR(MATCH($A63,Runs!$R$6:$R$105,0),0))</f>
        <v/>
      </c>
      <c r="O63" s="32">
        <f>IF($L63=0,0,IF(OR(TRIM($A63)="",COUNTIF($A$6:$A$105,$A63)&gt;1),1,0))</f>
        <v/>
      </c>
      <c r="P63" s="32">
        <f>IF($L63=0,0,IF(AND($F63="Met",$J63&lt;&gt;"Passed"),1,0))</f>
        <v/>
      </c>
      <c r="Q63" s="32">
        <f>IF(OR($L63=0,$F63="Met",$F63="Waived",NOT(ISNUMBER($G63))),0,IF(AND($G63&lt;=Summary!$B$12+N(Summary!$B$11),OR($U63=0,AND($J63="Failed",$V63=0))),1,0))</f>
        <v/>
      </c>
      <c r="R63" s="32">
        <f>IF(AND($L63=1,OR($F63="",$F63="Open"),$J63="Passed"),1,0)</f>
        <v/>
      </c>
      <c r="S63" s="32">
        <f>IF(AND($L63=1,ISNUMBER($G63)),IF(SUMPRODUCT((Runs!$B$6:$B$105=$A63)*(Runs!$N$6:$N$105="Planned")*(Runs!$C$6:$C$105&gt;$G63))&gt;0,1,0),0)</f>
        <v/>
      </c>
      <c r="T63" s="32">
        <f>IF(AND($L63=1,OR($F63="",$F63="Open"),NOT(ISNUMBER($G63))),1,0)</f>
        <v/>
      </c>
      <c r="U63" s="32">
        <f>IF($L63=0,0,$M63-COUNTIFS(Runs!$B$6:$B$105,$A63,Runs!$N$6:$N$105,"Not run"))</f>
        <v/>
      </c>
      <c r="V63" s="32">
        <f>IF($L63=0,0,COUNTIFS(Runs!$B$6:$B$105,$A63,Runs!$N$6:$N$105,"Planned"))</f>
        <v/>
      </c>
      <c r="W63" s="32">
        <f>IF(AND($L63=1,OR($F63="",$F63="Open"),ISNUMBER($G63),ISNUMBER(MATCH($B63,Summary!$G$28:$G$34,0))),IF(ISNUMBER(INDEX(Summary!$H$28:$H$34,MATCH($B63,Summary!$G$28:$G$34,0))),IF($G63&lt;&gt;INDEX(Summary!$H$28:$H$34,MATCH($B63,Summary!$G$28:$G$34,0)),1,0),0),0)</f>
        <v/>
      </c>
    </row>
    <row r="64">
      <c r="A64" s="27" t="n"/>
      <c r="B64" s="28" t="n"/>
      <c r="C64" s="28" t="n"/>
      <c r="D64" s="28" t="n"/>
      <c r="E64" s="28" t="n"/>
      <c r="F64" s="27" t="n"/>
      <c r="G64" s="29" t="n"/>
      <c r="H64" s="30">
        <f>IF($L64=0,"",$M64)</f>
        <v/>
      </c>
      <c r="I64" s="31">
        <f>IF($N64=0,"",INDEX(Runs!$A$6:$A$105,$N64))</f>
        <v/>
      </c>
      <c r="J64" s="31">
        <f>IF($L64=0,"",IF($N64&gt;0,INDEX(Runs!$N$6:$N$105,$N64),IF(COUNTIFS(Runs!$B$6:$B$105,$A64,Runs!$N$6:$N$105,"Planned")&gt;0,"Planned","No run")))</f>
        <v/>
      </c>
      <c r="K64" s="19">
        <f>IF($L64=0,"",IF($O64+$P64+$Q64=0,"○ Clear",IF($O64=1,"△ No ID, or ID used twice",IF($P64=1,"△ Met with no passing run",IF($J64="Failed","△ Needed soon, failed, with no re-run booked","△ Needed soon, with no run booked")))&amp;IF($O64+$P64+$Q64&gt;1,", and "&amp;($O64+$P64+$Q64-1)&amp;" more",""))&amp;IF($R64=1,"  ◇ passed: the Owner can mark it Met","")&amp;IF($S64=1,"  ◇ a run is planned after Needed by","")&amp;IF($T64=1,"  ◇ no Needed by date","")&amp;IF($W64=1,"  ◇ Needed by isn't the gate map's Date",""))</f>
        <v/>
      </c>
      <c r="L64" s="32">
        <f>IF(COUNTA($A64:$G64)&gt;0,1,0)</f>
        <v/>
      </c>
      <c r="M64" s="32">
        <f>IF($L64=0,0,COUNTIF(Runs!$B$6:$B$105,$A64))</f>
        <v/>
      </c>
      <c r="N64" s="32">
        <f>IF($L64=0,0,IFERROR(MATCH($A64,Runs!$R$6:$R$105,0),0))</f>
        <v/>
      </c>
      <c r="O64" s="32">
        <f>IF($L64=0,0,IF(OR(TRIM($A64)="",COUNTIF($A$6:$A$105,$A64)&gt;1),1,0))</f>
        <v/>
      </c>
      <c r="P64" s="32">
        <f>IF($L64=0,0,IF(AND($F64="Met",$J64&lt;&gt;"Passed"),1,0))</f>
        <v/>
      </c>
      <c r="Q64" s="32">
        <f>IF(OR($L64=0,$F64="Met",$F64="Waived",NOT(ISNUMBER($G64))),0,IF(AND($G64&lt;=Summary!$B$12+N(Summary!$B$11),OR($U64=0,AND($J64="Failed",$V64=0))),1,0))</f>
        <v/>
      </c>
      <c r="R64" s="32">
        <f>IF(AND($L64=1,OR($F64="",$F64="Open"),$J64="Passed"),1,0)</f>
        <v/>
      </c>
      <c r="S64" s="32">
        <f>IF(AND($L64=1,ISNUMBER($G64)),IF(SUMPRODUCT((Runs!$B$6:$B$105=$A64)*(Runs!$N$6:$N$105="Planned")*(Runs!$C$6:$C$105&gt;$G64))&gt;0,1,0),0)</f>
        <v/>
      </c>
      <c r="T64" s="32">
        <f>IF(AND($L64=1,OR($F64="",$F64="Open"),NOT(ISNUMBER($G64))),1,0)</f>
        <v/>
      </c>
      <c r="U64" s="32">
        <f>IF($L64=0,0,$M64-COUNTIFS(Runs!$B$6:$B$105,$A64,Runs!$N$6:$N$105,"Not run"))</f>
        <v/>
      </c>
      <c r="V64" s="32">
        <f>IF($L64=0,0,COUNTIFS(Runs!$B$6:$B$105,$A64,Runs!$N$6:$N$105,"Planned"))</f>
        <v/>
      </c>
      <c r="W64" s="32">
        <f>IF(AND($L64=1,OR($F64="",$F64="Open"),ISNUMBER($G64),ISNUMBER(MATCH($B64,Summary!$G$28:$G$34,0))),IF(ISNUMBER(INDEX(Summary!$H$28:$H$34,MATCH($B64,Summary!$G$28:$G$34,0))),IF($G64&lt;&gt;INDEX(Summary!$H$28:$H$34,MATCH($B64,Summary!$G$28:$G$34,0)),1,0),0),0)</f>
        <v/>
      </c>
    </row>
    <row r="65">
      <c r="A65" s="27" t="n"/>
      <c r="B65" s="28" t="n"/>
      <c r="C65" s="28" t="n"/>
      <c r="D65" s="28" t="n"/>
      <c r="E65" s="28" t="n"/>
      <c r="F65" s="27" t="n"/>
      <c r="G65" s="29" t="n"/>
      <c r="H65" s="30">
        <f>IF($L65=0,"",$M65)</f>
        <v/>
      </c>
      <c r="I65" s="31">
        <f>IF($N65=0,"",INDEX(Runs!$A$6:$A$105,$N65))</f>
        <v/>
      </c>
      <c r="J65" s="31">
        <f>IF($L65=0,"",IF($N65&gt;0,INDEX(Runs!$N$6:$N$105,$N65),IF(COUNTIFS(Runs!$B$6:$B$105,$A65,Runs!$N$6:$N$105,"Planned")&gt;0,"Planned","No run")))</f>
        <v/>
      </c>
      <c r="K65" s="19">
        <f>IF($L65=0,"",IF($O65+$P65+$Q65=0,"○ Clear",IF($O65=1,"△ No ID, or ID used twice",IF($P65=1,"△ Met with no passing run",IF($J65="Failed","△ Needed soon, failed, with no re-run booked","△ Needed soon, with no run booked")))&amp;IF($O65+$P65+$Q65&gt;1,", and "&amp;($O65+$P65+$Q65-1)&amp;" more",""))&amp;IF($R65=1,"  ◇ passed: the Owner can mark it Met","")&amp;IF($S65=1,"  ◇ a run is planned after Needed by","")&amp;IF($T65=1,"  ◇ no Needed by date","")&amp;IF($W65=1,"  ◇ Needed by isn't the gate map's Date",""))</f>
        <v/>
      </c>
      <c r="L65" s="32">
        <f>IF(COUNTA($A65:$G65)&gt;0,1,0)</f>
        <v/>
      </c>
      <c r="M65" s="32">
        <f>IF($L65=0,0,COUNTIF(Runs!$B$6:$B$105,$A65))</f>
        <v/>
      </c>
      <c r="N65" s="32">
        <f>IF($L65=0,0,IFERROR(MATCH($A65,Runs!$R$6:$R$105,0),0))</f>
        <v/>
      </c>
      <c r="O65" s="32">
        <f>IF($L65=0,0,IF(OR(TRIM($A65)="",COUNTIF($A$6:$A$105,$A65)&gt;1),1,0))</f>
        <v/>
      </c>
      <c r="P65" s="32">
        <f>IF($L65=0,0,IF(AND($F65="Met",$J65&lt;&gt;"Passed"),1,0))</f>
        <v/>
      </c>
      <c r="Q65" s="32">
        <f>IF(OR($L65=0,$F65="Met",$F65="Waived",NOT(ISNUMBER($G65))),0,IF(AND($G65&lt;=Summary!$B$12+N(Summary!$B$11),OR($U65=0,AND($J65="Failed",$V65=0))),1,0))</f>
        <v/>
      </c>
      <c r="R65" s="32">
        <f>IF(AND($L65=1,OR($F65="",$F65="Open"),$J65="Passed"),1,0)</f>
        <v/>
      </c>
      <c r="S65" s="32">
        <f>IF(AND($L65=1,ISNUMBER($G65)),IF(SUMPRODUCT((Runs!$B$6:$B$105=$A65)*(Runs!$N$6:$N$105="Planned")*(Runs!$C$6:$C$105&gt;$G65))&gt;0,1,0),0)</f>
        <v/>
      </c>
      <c r="T65" s="32">
        <f>IF(AND($L65=1,OR($F65="",$F65="Open"),NOT(ISNUMBER($G65))),1,0)</f>
        <v/>
      </c>
      <c r="U65" s="32">
        <f>IF($L65=0,0,$M65-COUNTIFS(Runs!$B$6:$B$105,$A65,Runs!$N$6:$N$105,"Not run"))</f>
        <v/>
      </c>
      <c r="V65" s="32">
        <f>IF($L65=0,0,COUNTIFS(Runs!$B$6:$B$105,$A65,Runs!$N$6:$N$105,"Planned"))</f>
        <v/>
      </c>
      <c r="W65" s="32">
        <f>IF(AND($L65=1,OR($F65="",$F65="Open"),ISNUMBER($G65),ISNUMBER(MATCH($B65,Summary!$G$28:$G$34,0))),IF(ISNUMBER(INDEX(Summary!$H$28:$H$34,MATCH($B65,Summary!$G$28:$G$34,0))),IF($G65&lt;&gt;INDEX(Summary!$H$28:$H$34,MATCH($B65,Summary!$G$28:$G$34,0)),1,0),0),0)</f>
        <v/>
      </c>
    </row>
    <row r="66">
      <c r="A66" s="27" t="n"/>
      <c r="B66" s="28" t="n"/>
      <c r="C66" s="28" t="n"/>
      <c r="D66" s="28" t="n"/>
      <c r="E66" s="28" t="n"/>
      <c r="F66" s="27" t="n"/>
      <c r="G66" s="29" t="n"/>
      <c r="H66" s="30">
        <f>IF($L66=0,"",$M66)</f>
        <v/>
      </c>
      <c r="I66" s="31">
        <f>IF($N66=0,"",INDEX(Runs!$A$6:$A$105,$N66))</f>
        <v/>
      </c>
      <c r="J66" s="31">
        <f>IF($L66=0,"",IF($N66&gt;0,INDEX(Runs!$N$6:$N$105,$N66),IF(COUNTIFS(Runs!$B$6:$B$105,$A66,Runs!$N$6:$N$105,"Planned")&gt;0,"Planned","No run")))</f>
        <v/>
      </c>
      <c r="K66" s="19">
        <f>IF($L66=0,"",IF($O66+$P66+$Q66=0,"○ Clear",IF($O66=1,"△ No ID, or ID used twice",IF($P66=1,"△ Met with no passing run",IF($J66="Failed","△ Needed soon, failed, with no re-run booked","△ Needed soon, with no run booked")))&amp;IF($O66+$P66+$Q66&gt;1,", and "&amp;($O66+$P66+$Q66-1)&amp;" more",""))&amp;IF($R66=1,"  ◇ passed: the Owner can mark it Met","")&amp;IF($S66=1,"  ◇ a run is planned after Needed by","")&amp;IF($T66=1,"  ◇ no Needed by date","")&amp;IF($W66=1,"  ◇ Needed by isn't the gate map's Date",""))</f>
        <v/>
      </c>
      <c r="L66" s="32">
        <f>IF(COUNTA($A66:$G66)&gt;0,1,0)</f>
        <v/>
      </c>
      <c r="M66" s="32">
        <f>IF($L66=0,0,COUNTIF(Runs!$B$6:$B$105,$A66))</f>
        <v/>
      </c>
      <c r="N66" s="32">
        <f>IF($L66=0,0,IFERROR(MATCH($A66,Runs!$R$6:$R$105,0),0))</f>
        <v/>
      </c>
      <c r="O66" s="32">
        <f>IF($L66=0,0,IF(OR(TRIM($A66)="",COUNTIF($A$6:$A$105,$A66)&gt;1),1,0))</f>
        <v/>
      </c>
      <c r="P66" s="32">
        <f>IF($L66=0,0,IF(AND($F66="Met",$J66&lt;&gt;"Passed"),1,0))</f>
        <v/>
      </c>
      <c r="Q66" s="32">
        <f>IF(OR($L66=0,$F66="Met",$F66="Waived",NOT(ISNUMBER($G66))),0,IF(AND($G66&lt;=Summary!$B$12+N(Summary!$B$11),OR($U66=0,AND($J66="Failed",$V66=0))),1,0))</f>
        <v/>
      </c>
      <c r="R66" s="32">
        <f>IF(AND($L66=1,OR($F66="",$F66="Open"),$J66="Passed"),1,0)</f>
        <v/>
      </c>
      <c r="S66" s="32">
        <f>IF(AND($L66=1,ISNUMBER($G66)),IF(SUMPRODUCT((Runs!$B$6:$B$105=$A66)*(Runs!$N$6:$N$105="Planned")*(Runs!$C$6:$C$105&gt;$G66))&gt;0,1,0),0)</f>
        <v/>
      </c>
      <c r="T66" s="32">
        <f>IF(AND($L66=1,OR($F66="",$F66="Open"),NOT(ISNUMBER($G66))),1,0)</f>
        <v/>
      </c>
      <c r="U66" s="32">
        <f>IF($L66=0,0,$M66-COUNTIFS(Runs!$B$6:$B$105,$A66,Runs!$N$6:$N$105,"Not run"))</f>
        <v/>
      </c>
      <c r="V66" s="32">
        <f>IF($L66=0,0,COUNTIFS(Runs!$B$6:$B$105,$A66,Runs!$N$6:$N$105,"Planned"))</f>
        <v/>
      </c>
      <c r="W66" s="32">
        <f>IF(AND($L66=1,OR($F66="",$F66="Open"),ISNUMBER($G66),ISNUMBER(MATCH($B66,Summary!$G$28:$G$34,0))),IF(ISNUMBER(INDEX(Summary!$H$28:$H$34,MATCH($B66,Summary!$G$28:$G$34,0))),IF($G66&lt;&gt;INDEX(Summary!$H$28:$H$34,MATCH($B66,Summary!$G$28:$G$34,0)),1,0),0),0)</f>
        <v/>
      </c>
    </row>
    <row r="67">
      <c r="A67" s="27" t="n"/>
      <c r="B67" s="28" t="n"/>
      <c r="C67" s="28" t="n"/>
      <c r="D67" s="28" t="n"/>
      <c r="E67" s="28" t="n"/>
      <c r="F67" s="27" t="n"/>
      <c r="G67" s="29" t="n"/>
      <c r="H67" s="30">
        <f>IF($L67=0,"",$M67)</f>
        <v/>
      </c>
      <c r="I67" s="31">
        <f>IF($N67=0,"",INDEX(Runs!$A$6:$A$105,$N67))</f>
        <v/>
      </c>
      <c r="J67" s="31">
        <f>IF($L67=0,"",IF($N67&gt;0,INDEX(Runs!$N$6:$N$105,$N67),IF(COUNTIFS(Runs!$B$6:$B$105,$A67,Runs!$N$6:$N$105,"Planned")&gt;0,"Planned","No run")))</f>
        <v/>
      </c>
      <c r="K67" s="19">
        <f>IF($L67=0,"",IF($O67+$P67+$Q67=0,"○ Clear",IF($O67=1,"△ No ID, or ID used twice",IF($P67=1,"△ Met with no passing run",IF($J67="Failed","△ Needed soon, failed, with no re-run booked","△ Needed soon, with no run booked")))&amp;IF($O67+$P67+$Q67&gt;1,", and "&amp;($O67+$P67+$Q67-1)&amp;" more",""))&amp;IF($R67=1,"  ◇ passed: the Owner can mark it Met","")&amp;IF($S67=1,"  ◇ a run is planned after Needed by","")&amp;IF($T67=1,"  ◇ no Needed by date","")&amp;IF($W67=1,"  ◇ Needed by isn't the gate map's Date",""))</f>
        <v/>
      </c>
      <c r="L67" s="32">
        <f>IF(COUNTA($A67:$G67)&gt;0,1,0)</f>
        <v/>
      </c>
      <c r="M67" s="32">
        <f>IF($L67=0,0,COUNTIF(Runs!$B$6:$B$105,$A67))</f>
        <v/>
      </c>
      <c r="N67" s="32">
        <f>IF($L67=0,0,IFERROR(MATCH($A67,Runs!$R$6:$R$105,0),0))</f>
        <v/>
      </c>
      <c r="O67" s="32">
        <f>IF($L67=0,0,IF(OR(TRIM($A67)="",COUNTIF($A$6:$A$105,$A67)&gt;1),1,0))</f>
        <v/>
      </c>
      <c r="P67" s="32">
        <f>IF($L67=0,0,IF(AND($F67="Met",$J67&lt;&gt;"Passed"),1,0))</f>
        <v/>
      </c>
      <c r="Q67" s="32">
        <f>IF(OR($L67=0,$F67="Met",$F67="Waived",NOT(ISNUMBER($G67))),0,IF(AND($G67&lt;=Summary!$B$12+N(Summary!$B$11),OR($U67=0,AND($J67="Failed",$V67=0))),1,0))</f>
        <v/>
      </c>
      <c r="R67" s="32">
        <f>IF(AND($L67=1,OR($F67="",$F67="Open"),$J67="Passed"),1,0)</f>
        <v/>
      </c>
      <c r="S67" s="32">
        <f>IF(AND($L67=1,ISNUMBER($G67)),IF(SUMPRODUCT((Runs!$B$6:$B$105=$A67)*(Runs!$N$6:$N$105="Planned")*(Runs!$C$6:$C$105&gt;$G67))&gt;0,1,0),0)</f>
        <v/>
      </c>
      <c r="T67" s="32">
        <f>IF(AND($L67=1,OR($F67="",$F67="Open"),NOT(ISNUMBER($G67))),1,0)</f>
        <v/>
      </c>
      <c r="U67" s="32">
        <f>IF($L67=0,0,$M67-COUNTIFS(Runs!$B$6:$B$105,$A67,Runs!$N$6:$N$105,"Not run"))</f>
        <v/>
      </c>
      <c r="V67" s="32">
        <f>IF($L67=0,0,COUNTIFS(Runs!$B$6:$B$105,$A67,Runs!$N$6:$N$105,"Planned"))</f>
        <v/>
      </c>
      <c r="W67" s="32">
        <f>IF(AND($L67=1,OR($F67="",$F67="Open"),ISNUMBER($G67),ISNUMBER(MATCH($B67,Summary!$G$28:$G$34,0))),IF(ISNUMBER(INDEX(Summary!$H$28:$H$34,MATCH($B67,Summary!$G$28:$G$34,0))),IF($G67&lt;&gt;INDEX(Summary!$H$28:$H$34,MATCH($B67,Summary!$G$28:$G$34,0)),1,0),0),0)</f>
        <v/>
      </c>
    </row>
    <row r="68">
      <c r="A68" s="27" t="n"/>
      <c r="B68" s="28" t="n"/>
      <c r="C68" s="28" t="n"/>
      <c r="D68" s="28" t="n"/>
      <c r="E68" s="28" t="n"/>
      <c r="F68" s="27" t="n"/>
      <c r="G68" s="29" t="n"/>
      <c r="H68" s="30">
        <f>IF($L68=0,"",$M68)</f>
        <v/>
      </c>
      <c r="I68" s="31">
        <f>IF($N68=0,"",INDEX(Runs!$A$6:$A$105,$N68))</f>
        <v/>
      </c>
      <c r="J68" s="31">
        <f>IF($L68=0,"",IF($N68&gt;0,INDEX(Runs!$N$6:$N$105,$N68),IF(COUNTIFS(Runs!$B$6:$B$105,$A68,Runs!$N$6:$N$105,"Planned")&gt;0,"Planned","No run")))</f>
        <v/>
      </c>
      <c r="K68" s="19">
        <f>IF($L68=0,"",IF($O68+$P68+$Q68=0,"○ Clear",IF($O68=1,"△ No ID, or ID used twice",IF($P68=1,"△ Met with no passing run",IF($J68="Failed","△ Needed soon, failed, with no re-run booked","△ Needed soon, with no run booked")))&amp;IF($O68+$P68+$Q68&gt;1,", and "&amp;($O68+$P68+$Q68-1)&amp;" more",""))&amp;IF($R68=1,"  ◇ passed: the Owner can mark it Met","")&amp;IF($S68=1,"  ◇ a run is planned after Needed by","")&amp;IF($T68=1,"  ◇ no Needed by date","")&amp;IF($W68=1,"  ◇ Needed by isn't the gate map's Date",""))</f>
        <v/>
      </c>
      <c r="L68" s="32">
        <f>IF(COUNTA($A68:$G68)&gt;0,1,0)</f>
        <v/>
      </c>
      <c r="M68" s="32">
        <f>IF($L68=0,0,COUNTIF(Runs!$B$6:$B$105,$A68))</f>
        <v/>
      </c>
      <c r="N68" s="32">
        <f>IF($L68=0,0,IFERROR(MATCH($A68,Runs!$R$6:$R$105,0),0))</f>
        <v/>
      </c>
      <c r="O68" s="32">
        <f>IF($L68=0,0,IF(OR(TRIM($A68)="",COUNTIF($A$6:$A$105,$A68)&gt;1),1,0))</f>
        <v/>
      </c>
      <c r="P68" s="32">
        <f>IF($L68=0,0,IF(AND($F68="Met",$J68&lt;&gt;"Passed"),1,0))</f>
        <v/>
      </c>
      <c r="Q68" s="32">
        <f>IF(OR($L68=0,$F68="Met",$F68="Waived",NOT(ISNUMBER($G68))),0,IF(AND($G68&lt;=Summary!$B$12+N(Summary!$B$11),OR($U68=0,AND($J68="Failed",$V68=0))),1,0))</f>
        <v/>
      </c>
      <c r="R68" s="32">
        <f>IF(AND($L68=1,OR($F68="",$F68="Open"),$J68="Passed"),1,0)</f>
        <v/>
      </c>
      <c r="S68" s="32">
        <f>IF(AND($L68=1,ISNUMBER($G68)),IF(SUMPRODUCT((Runs!$B$6:$B$105=$A68)*(Runs!$N$6:$N$105="Planned")*(Runs!$C$6:$C$105&gt;$G68))&gt;0,1,0),0)</f>
        <v/>
      </c>
      <c r="T68" s="32">
        <f>IF(AND($L68=1,OR($F68="",$F68="Open"),NOT(ISNUMBER($G68))),1,0)</f>
        <v/>
      </c>
      <c r="U68" s="32">
        <f>IF($L68=0,0,$M68-COUNTIFS(Runs!$B$6:$B$105,$A68,Runs!$N$6:$N$105,"Not run"))</f>
        <v/>
      </c>
      <c r="V68" s="32">
        <f>IF($L68=0,0,COUNTIFS(Runs!$B$6:$B$105,$A68,Runs!$N$6:$N$105,"Planned"))</f>
        <v/>
      </c>
      <c r="W68" s="32">
        <f>IF(AND($L68=1,OR($F68="",$F68="Open"),ISNUMBER($G68),ISNUMBER(MATCH($B68,Summary!$G$28:$G$34,0))),IF(ISNUMBER(INDEX(Summary!$H$28:$H$34,MATCH($B68,Summary!$G$28:$G$34,0))),IF($G68&lt;&gt;INDEX(Summary!$H$28:$H$34,MATCH($B68,Summary!$G$28:$G$34,0)),1,0),0),0)</f>
        <v/>
      </c>
    </row>
    <row r="69">
      <c r="A69" s="27" t="n"/>
      <c r="B69" s="28" t="n"/>
      <c r="C69" s="28" t="n"/>
      <c r="D69" s="28" t="n"/>
      <c r="E69" s="28" t="n"/>
      <c r="F69" s="27" t="n"/>
      <c r="G69" s="29" t="n"/>
      <c r="H69" s="30">
        <f>IF($L69=0,"",$M69)</f>
        <v/>
      </c>
      <c r="I69" s="31">
        <f>IF($N69=0,"",INDEX(Runs!$A$6:$A$105,$N69))</f>
        <v/>
      </c>
      <c r="J69" s="31">
        <f>IF($L69=0,"",IF($N69&gt;0,INDEX(Runs!$N$6:$N$105,$N69),IF(COUNTIFS(Runs!$B$6:$B$105,$A69,Runs!$N$6:$N$105,"Planned")&gt;0,"Planned","No run")))</f>
        <v/>
      </c>
      <c r="K69" s="19">
        <f>IF($L69=0,"",IF($O69+$P69+$Q69=0,"○ Clear",IF($O69=1,"△ No ID, or ID used twice",IF($P69=1,"△ Met with no passing run",IF($J69="Failed","△ Needed soon, failed, with no re-run booked","△ Needed soon, with no run booked")))&amp;IF($O69+$P69+$Q69&gt;1,", and "&amp;($O69+$P69+$Q69-1)&amp;" more",""))&amp;IF($R69=1,"  ◇ passed: the Owner can mark it Met","")&amp;IF($S69=1,"  ◇ a run is planned after Needed by","")&amp;IF($T69=1,"  ◇ no Needed by date","")&amp;IF($W69=1,"  ◇ Needed by isn't the gate map's Date",""))</f>
        <v/>
      </c>
      <c r="L69" s="32">
        <f>IF(COUNTA($A69:$G69)&gt;0,1,0)</f>
        <v/>
      </c>
      <c r="M69" s="32">
        <f>IF($L69=0,0,COUNTIF(Runs!$B$6:$B$105,$A69))</f>
        <v/>
      </c>
      <c r="N69" s="32">
        <f>IF($L69=0,0,IFERROR(MATCH($A69,Runs!$R$6:$R$105,0),0))</f>
        <v/>
      </c>
      <c r="O69" s="32">
        <f>IF($L69=0,0,IF(OR(TRIM($A69)="",COUNTIF($A$6:$A$105,$A69)&gt;1),1,0))</f>
        <v/>
      </c>
      <c r="P69" s="32">
        <f>IF($L69=0,0,IF(AND($F69="Met",$J69&lt;&gt;"Passed"),1,0))</f>
        <v/>
      </c>
      <c r="Q69" s="32">
        <f>IF(OR($L69=0,$F69="Met",$F69="Waived",NOT(ISNUMBER($G69))),0,IF(AND($G69&lt;=Summary!$B$12+N(Summary!$B$11),OR($U69=0,AND($J69="Failed",$V69=0))),1,0))</f>
        <v/>
      </c>
      <c r="R69" s="32">
        <f>IF(AND($L69=1,OR($F69="",$F69="Open"),$J69="Passed"),1,0)</f>
        <v/>
      </c>
      <c r="S69" s="32">
        <f>IF(AND($L69=1,ISNUMBER($G69)),IF(SUMPRODUCT((Runs!$B$6:$B$105=$A69)*(Runs!$N$6:$N$105="Planned")*(Runs!$C$6:$C$105&gt;$G69))&gt;0,1,0),0)</f>
        <v/>
      </c>
      <c r="T69" s="32">
        <f>IF(AND($L69=1,OR($F69="",$F69="Open"),NOT(ISNUMBER($G69))),1,0)</f>
        <v/>
      </c>
      <c r="U69" s="32">
        <f>IF($L69=0,0,$M69-COUNTIFS(Runs!$B$6:$B$105,$A69,Runs!$N$6:$N$105,"Not run"))</f>
        <v/>
      </c>
      <c r="V69" s="32">
        <f>IF($L69=0,0,COUNTIFS(Runs!$B$6:$B$105,$A69,Runs!$N$6:$N$105,"Planned"))</f>
        <v/>
      </c>
      <c r="W69" s="32">
        <f>IF(AND($L69=1,OR($F69="",$F69="Open"),ISNUMBER($G69),ISNUMBER(MATCH($B69,Summary!$G$28:$G$34,0))),IF(ISNUMBER(INDEX(Summary!$H$28:$H$34,MATCH($B69,Summary!$G$28:$G$34,0))),IF($G69&lt;&gt;INDEX(Summary!$H$28:$H$34,MATCH($B69,Summary!$G$28:$G$34,0)),1,0),0),0)</f>
        <v/>
      </c>
    </row>
    <row r="70">
      <c r="A70" s="27" t="n"/>
      <c r="B70" s="28" t="n"/>
      <c r="C70" s="28" t="n"/>
      <c r="D70" s="28" t="n"/>
      <c r="E70" s="28" t="n"/>
      <c r="F70" s="27" t="n"/>
      <c r="G70" s="29" t="n"/>
      <c r="H70" s="30">
        <f>IF($L70=0,"",$M70)</f>
        <v/>
      </c>
      <c r="I70" s="31">
        <f>IF($N70=0,"",INDEX(Runs!$A$6:$A$105,$N70))</f>
        <v/>
      </c>
      <c r="J70" s="31">
        <f>IF($L70=0,"",IF($N70&gt;0,INDEX(Runs!$N$6:$N$105,$N70),IF(COUNTIFS(Runs!$B$6:$B$105,$A70,Runs!$N$6:$N$105,"Planned")&gt;0,"Planned","No run")))</f>
        <v/>
      </c>
      <c r="K70" s="19">
        <f>IF($L70=0,"",IF($O70+$P70+$Q70=0,"○ Clear",IF($O70=1,"△ No ID, or ID used twice",IF($P70=1,"△ Met with no passing run",IF($J70="Failed","△ Needed soon, failed, with no re-run booked","△ Needed soon, with no run booked")))&amp;IF($O70+$P70+$Q70&gt;1,", and "&amp;($O70+$P70+$Q70-1)&amp;" more",""))&amp;IF($R70=1,"  ◇ passed: the Owner can mark it Met","")&amp;IF($S70=1,"  ◇ a run is planned after Needed by","")&amp;IF($T70=1,"  ◇ no Needed by date","")&amp;IF($W70=1,"  ◇ Needed by isn't the gate map's Date",""))</f>
        <v/>
      </c>
      <c r="L70" s="32">
        <f>IF(COUNTA($A70:$G70)&gt;0,1,0)</f>
        <v/>
      </c>
      <c r="M70" s="32">
        <f>IF($L70=0,0,COUNTIF(Runs!$B$6:$B$105,$A70))</f>
        <v/>
      </c>
      <c r="N70" s="32">
        <f>IF($L70=0,0,IFERROR(MATCH($A70,Runs!$R$6:$R$105,0),0))</f>
        <v/>
      </c>
      <c r="O70" s="32">
        <f>IF($L70=0,0,IF(OR(TRIM($A70)="",COUNTIF($A$6:$A$105,$A70)&gt;1),1,0))</f>
        <v/>
      </c>
      <c r="P70" s="32">
        <f>IF($L70=0,0,IF(AND($F70="Met",$J70&lt;&gt;"Passed"),1,0))</f>
        <v/>
      </c>
      <c r="Q70" s="32">
        <f>IF(OR($L70=0,$F70="Met",$F70="Waived",NOT(ISNUMBER($G70))),0,IF(AND($G70&lt;=Summary!$B$12+N(Summary!$B$11),OR($U70=0,AND($J70="Failed",$V70=0))),1,0))</f>
        <v/>
      </c>
      <c r="R70" s="32">
        <f>IF(AND($L70=1,OR($F70="",$F70="Open"),$J70="Passed"),1,0)</f>
        <v/>
      </c>
      <c r="S70" s="32">
        <f>IF(AND($L70=1,ISNUMBER($G70)),IF(SUMPRODUCT((Runs!$B$6:$B$105=$A70)*(Runs!$N$6:$N$105="Planned")*(Runs!$C$6:$C$105&gt;$G70))&gt;0,1,0),0)</f>
        <v/>
      </c>
      <c r="T70" s="32">
        <f>IF(AND($L70=1,OR($F70="",$F70="Open"),NOT(ISNUMBER($G70))),1,0)</f>
        <v/>
      </c>
      <c r="U70" s="32">
        <f>IF($L70=0,0,$M70-COUNTIFS(Runs!$B$6:$B$105,$A70,Runs!$N$6:$N$105,"Not run"))</f>
        <v/>
      </c>
      <c r="V70" s="32">
        <f>IF($L70=0,0,COUNTIFS(Runs!$B$6:$B$105,$A70,Runs!$N$6:$N$105,"Planned"))</f>
        <v/>
      </c>
      <c r="W70" s="32">
        <f>IF(AND($L70=1,OR($F70="",$F70="Open"),ISNUMBER($G70),ISNUMBER(MATCH($B70,Summary!$G$28:$G$34,0))),IF(ISNUMBER(INDEX(Summary!$H$28:$H$34,MATCH($B70,Summary!$G$28:$G$34,0))),IF($G70&lt;&gt;INDEX(Summary!$H$28:$H$34,MATCH($B70,Summary!$G$28:$G$34,0)),1,0),0),0)</f>
        <v/>
      </c>
    </row>
    <row r="71">
      <c r="A71" s="27" t="n"/>
      <c r="B71" s="28" t="n"/>
      <c r="C71" s="28" t="n"/>
      <c r="D71" s="28" t="n"/>
      <c r="E71" s="28" t="n"/>
      <c r="F71" s="27" t="n"/>
      <c r="G71" s="29" t="n"/>
      <c r="H71" s="30">
        <f>IF($L71=0,"",$M71)</f>
        <v/>
      </c>
      <c r="I71" s="31">
        <f>IF($N71=0,"",INDEX(Runs!$A$6:$A$105,$N71))</f>
        <v/>
      </c>
      <c r="J71" s="31">
        <f>IF($L71=0,"",IF($N71&gt;0,INDEX(Runs!$N$6:$N$105,$N71),IF(COUNTIFS(Runs!$B$6:$B$105,$A71,Runs!$N$6:$N$105,"Planned")&gt;0,"Planned","No run")))</f>
        <v/>
      </c>
      <c r="K71" s="19">
        <f>IF($L71=0,"",IF($O71+$P71+$Q71=0,"○ Clear",IF($O71=1,"△ No ID, or ID used twice",IF($P71=1,"△ Met with no passing run",IF($J71="Failed","△ Needed soon, failed, with no re-run booked","△ Needed soon, with no run booked")))&amp;IF($O71+$P71+$Q71&gt;1,", and "&amp;($O71+$P71+$Q71-1)&amp;" more",""))&amp;IF($R71=1,"  ◇ passed: the Owner can mark it Met","")&amp;IF($S71=1,"  ◇ a run is planned after Needed by","")&amp;IF($T71=1,"  ◇ no Needed by date","")&amp;IF($W71=1,"  ◇ Needed by isn't the gate map's Date",""))</f>
        <v/>
      </c>
      <c r="L71" s="32">
        <f>IF(COUNTA($A71:$G71)&gt;0,1,0)</f>
        <v/>
      </c>
      <c r="M71" s="32">
        <f>IF($L71=0,0,COUNTIF(Runs!$B$6:$B$105,$A71))</f>
        <v/>
      </c>
      <c r="N71" s="32">
        <f>IF($L71=0,0,IFERROR(MATCH($A71,Runs!$R$6:$R$105,0),0))</f>
        <v/>
      </c>
      <c r="O71" s="32">
        <f>IF($L71=0,0,IF(OR(TRIM($A71)="",COUNTIF($A$6:$A$105,$A71)&gt;1),1,0))</f>
        <v/>
      </c>
      <c r="P71" s="32">
        <f>IF($L71=0,0,IF(AND($F71="Met",$J71&lt;&gt;"Passed"),1,0))</f>
        <v/>
      </c>
      <c r="Q71" s="32">
        <f>IF(OR($L71=0,$F71="Met",$F71="Waived",NOT(ISNUMBER($G71))),0,IF(AND($G71&lt;=Summary!$B$12+N(Summary!$B$11),OR($U71=0,AND($J71="Failed",$V71=0))),1,0))</f>
        <v/>
      </c>
      <c r="R71" s="32">
        <f>IF(AND($L71=1,OR($F71="",$F71="Open"),$J71="Passed"),1,0)</f>
        <v/>
      </c>
      <c r="S71" s="32">
        <f>IF(AND($L71=1,ISNUMBER($G71)),IF(SUMPRODUCT((Runs!$B$6:$B$105=$A71)*(Runs!$N$6:$N$105="Planned")*(Runs!$C$6:$C$105&gt;$G71))&gt;0,1,0),0)</f>
        <v/>
      </c>
      <c r="T71" s="32">
        <f>IF(AND($L71=1,OR($F71="",$F71="Open"),NOT(ISNUMBER($G71))),1,0)</f>
        <v/>
      </c>
      <c r="U71" s="32">
        <f>IF($L71=0,0,$M71-COUNTIFS(Runs!$B$6:$B$105,$A71,Runs!$N$6:$N$105,"Not run"))</f>
        <v/>
      </c>
      <c r="V71" s="32">
        <f>IF($L71=0,0,COUNTIFS(Runs!$B$6:$B$105,$A71,Runs!$N$6:$N$105,"Planned"))</f>
        <v/>
      </c>
      <c r="W71" s="32">
        <f>IF(AND($L71=1,OR($F71="",$F71="Open"),ISNUMBER($G71),ISNUMBER(MATCH($B71,Summary!$G$28:$G$34,0))),IF(ISNUMBER(INDEX(Summary!$H$28:$H$34,MATCH($B71,Summary!$G$28:$G$34,0))),IF($G71&lt;&gt;INDEX(Summary!$H$28:$H$34,MATCH($B71,Summary!$G$28:$G$34,0)),1,0),0),0)</f>
        <v/>
      </c>
    </row>
    <row r="72">
      <c r="A72" s="27" t="n"/>
      <c r="B72" s="28" t="n"/>
      <c r="C72" s="28" t="n"/>
      <c r="D72" s="28" t="n"/>
      <c r="E72" s="28" t="n"/>
      <c r="F72" s="27" t="n"/>
      <c r="G72" s="29" t="n"/>
      <c r="H72" s="30">
        <f>IF($L72=0,"",$M72)</f>
        <v/>
      </c>
      <c r="I72" s="31">
        <f>IF($N72=0,"",INDEX(Runs!$A$6:$A$105,$N72))</f>
        <v/>
      </c>
      <c r="J72" s="31">
        <f>IF($L72=0,"",IF($N72&gt;0,INDEX(Runs!$N$6:$N$105,$N72),IF(COUNTIFS(Runs!$B$6:$B$105,$A72,Runs!$N$6:$N$105,"Planned")&gt;0,"Planned","No run")))</f>
        <v/>
      </c>
      <c r="K72" s="19">
        <f>IF($L72=0,"",IF($O72+$P72+$Q72=0,"○ Clear",IF($O72=1,"△ No ID, or ID used twice",IF($P72=1,"△ Met with no passing run",IF($J72="Failed","△ Needed soon, failed, with no re-run booked","△ Needed soon, with no run booked")))&amp;IF($O72+$P72+$Q72&gt;1,", and "&amp;($O72+$P72+$Q72-1)&amp;" more",""))&amp;IF($R72=1,"  ◇ passed: the Owner can mark it Met","")&amp;IF($S72=1,"  ◇ a run is planned after Needed by","")&amp;IF($T72=1,"  ◇ no Needed by date","")&amp;IF($W72=1,"  ◇ Needed by isn't the gate map's Date",""))</f>
        <v/>
      </c>
      <c r="L72" s="32">
        <f>IF(COUNTA($A72:$G72)&gt;0,1,0)</f>
        <v/>
      </c>
      <c r="M72" s="32">
        <f>IF($L72=0,0,COUNTIF(Runs!$B$6:$B$105,$A72))</f>
        <v/>
      </c>
      <c r="N72" s="32">
        <f>IF($L72=0,0,IFERROR(MATCH($A72,Runs!$R$6:$R$105,0),0))</f>
        <v/>
      </c>
      <c r="O72" s="32">
        <f>IF($L72=0,0,IF(OR(TRIM($A72)="",COUNTIF($A$6:$A$105,$A72)&gt;1),1,0))</f>
        <v/>
      </c>
      <c r="P72" s="32">
        <f>IF($L72=0,0,IF(AND($F72="Met",$J72&lt;&gt;"Passed"),1,0))</f>
        <v/>
      </c>
      <c r="Q72" s="32">
        <f>IF(OR($L72=0,$F72="Met",$F72="Waived",NOT(ISNUMBER($G72))),0,IF(AND($G72&lt;=Summary!$B$12+N(Summary!$B$11),OR($U72=0,AND($J72="Failed",$V72=0))),1,0))</f>
        <v/>
      </c>
      <c r="R72" s="32">
        <f>IF(AND($L72=1,OR($F72="",$F72="Open"),$J72="Passed"),1,0)</f>
        <v/>
      </c>
      <c r="S72" s="32">
        <f>IF(AND($L72=1,ISNUMBER($G72)),IF(SUMPRODUCT((Runs!$B$6:$B$105=$A72)*(Runs!$N$6:$N$105="Planned")*(Runs!$C$6:$C$105&gt;$G72))&gt;0,1,0),0)</f>
        <v/>
      </c>
      <c r="T72" s="32">
        <f>IF(AND($L72=1,OR($F72="",$F72="Open"),NOT(ISNUMBER($G72))),1,0)</f>
        <v/>
      </c>
      <c r="U72" s="32">
        <f>IF($L72=0,0,$M72-COUNTIFS(Runs!$B$6:$B$105,$A72,Runs!$N$6:$N$105,"Not run"))</f>
        <v/>
      </c>
      <c r="V72" s="32">
        <f>IF($L72=0,0,COUNTIFS(Runs!$B$6:$B$105,$A72,Runs!$N$6:$N$105,"Planned"))</f>
        <v/>
      </c>
      <c r="W72" s="32">
        <f>IF(AND($L72=1,OR($F72="",$F72="Open"),ISNUMBER($G72),ISNUMBER(MATCH($B72,Summary!$G$28:$G$34,0))),IF(ISNUMBER(INDEX(Summary!$H$28:$H$34,MATCH($B72,Summary!$G$28:$G$34,0))),IF($G72&lt;&gt;INDEX(Summary!$H$28:$H$34,MATCH($B72,Summary!$G$28:$G$34,0)),1,0),0),0)</f>
        <v/>
      </c>
    </row>
    <row r="73">
      <c r="A73" s="27" t="n"/>
      <c r="B73" s="28" t="n"/>
      <c r="C73" s="28" t="n"/>
      <c r="D73" s="28" t="n"/>
      <c r="E73" s="28" t="n"/>
      <c r="F73" s="27" t="n"/>
      <c r="G73" s="29" t="n"/>
      <c r="H73" s="30">
        <f>IF($L73=0,"",$M73)</f>
        <v/>
      </c>
      <c r="I73" s="31">
        <f>IF($N73=0,"",INDEX(Runs!$A$6:$A$105,$N73))</f>
        <v/>
      </c>
      <c r="J73" s="31">
        <f>IF($L73=0,"",IF($N73&gt;0,INDEX(Runs!$N$6:$N$105,$N73),IF(COUNTIFS(Runs!$B$6:$B$105,$A73,Runs!$N$6:$N$105,"Planned")&gt;0,"Planned","No run")))</f>
        <v/>
      </c>
      <c r="K73" s="19">
        <f>IF($L73=0,"",IF($O73+$P73+$Q73=0,"○ Clear",IF($O73=1,"△ No ID, or ID used twice",IF($P73=1,"△ Met with no passing run",IF($J73="Failed","△ Needed soon, failed, with no re-run booked","△ Needed soon, with no run booked")))&amp;IF($O73+$P73+$Q73&gt;1,", and "&amp;($O73+$P73+$Q73-1)&amp;" more",""))&amp;IF($R73=1,"  ◇ passed: the Owner can mark it Met","")&amp;IF($S73=1,"  ◇ a run is planned after Needed by","")&amp;IF($T73=1,"  ◇ no Needed by date","")&amp;IF($W73=1,"  ◇ Needed by isn't the gate map's Date",""))</f>
        <v/>
      </c>
      <c r="L73" s="32">
        <f>IF(COUNTA($A73:$G73)&gt;0,1,0)</f>
        <v/>
      </c>
      <c r="M73" s="32">
        <f>IF($L73=0,0,COUNTIF(Runs!$B$6:$B$105,$A73))</f>
        <v/>
      </c>
      <c r="N73" s="32">
        <f>IF($L73=0,0,IFERROR(MATCH($A73,Runs!$R$6:$R$105,0),0))</f>
        <v/>
      </c>
      <c r="O73" s="32">
        <f>IF($L73=0,0,IF(OR(TRIM($A73)="",COUNTIF($A$6:$A$105,$A73)&gt;1),1,0))</f>
        <v/>
      </c>
      <c r="P73" s="32">
        <f>IF($L73=0,0,IF(AND($F73="Met",$J73&lt;&gt;"Passed"),1,0))</f>
        <v/>
      </c>
      <c r="Q73" s="32">
        <f>IF(OR($L73=0,$F73="Met",$F73="Waived",NOT(ISNUMBER($G73))),0,IF(AND($G73&lt;=Summary!$B$12+N(Summary!$B$11),OR($U73=0,AND($J73="Failed",$V73=0))),1,0))</f>
        <v/>
      </c>
      <c r="R73" s="32">
        <f>IF(AND($L73=1,OR($F73="",$F73="Open"),$J73="Passed"),1,0)</f>
        <v/>
      </c>
      <c r="S73" s="32">
        <f>IF(AND($L73=1,ISNUMBER($G73)),IF(SUMPRODUCT((Runs!$B$6:$B$105=$A73)*(Runs!$N$6:$N$105="Planned")*(Runs!$C$6:$C$105&gt;$G73))&gt;0,1,0),0)</f>
        <v/>
      </c>
      <c r="T73" s="32">
        <f>IF(AND($L73=1,OR($F73="",$F73="Open"),NOT(ISNUMBER($G73))),1,0)</f>
        <v/>
      </c>
      <c r="U73" s="32">
        <f>IF($L73=0,0,$M73-COUNTIFS(Runs!$B$6:$B$105,$A73,Runs!$N$6:$N$105,"Not run"))</f>
        <v/>
      </c>
      <c r="V73" s="32">
        <f>IF($L73=0,0,COUNTIFS(Runs!$B$6:$B$105,$A73,Runs!$N$6:$N$105,"Planned"))</f>
        <v/>
      </c>
      <c r="W73" s="32">
        <f>IF(AND($L73=1,OR($F73="",$F73="Open"),ISNUMBER($G73),ISNUMBER(MATCH($B73,Summary!$G$28:$G$34,0))),IF(ISNUMBER(INDEX(Summary!$H$28:$H$34,MATCH($B73,Summary!$G$28:$G$34,0))),IF($G73&lt;&gt;INDEX(Summary!$H$28:$H$34,MATCH($B73,Summary!$G$28:$G$34,0)),1,0),0),0)</f>
        <v/>
      </c>
    </row>
    <row r="74">
      <c r="A74" s="27" t="n"/>
      <c r="B74" s="28" t="n"/>
      <c r="C74" s="28" t="n"/>
      <c r="D74" s="28" t="n"/>
      <c r="E74" s="28" t="n"/>
      <c r="F74" s="27" t="n"/>
      <c r="G74" s="29" t="n"/>
      <c r="H74" s="30">
        <f>IF($L74=0,"",$M74)</f>
        <v/>
      </c>
      <c r="I74" s="31">
        <f>IF($N74=0,"",INDEX(Runs!$A$6:$A$105,$N74))</f>
        <v/>
      </c>
      <c r="J74" s="31">
        <f>IF($L74=0,"",IF($N74&gt;0,INDEX(Runs!$N$6:$N$105,$N74),IF(COUNTIFS(Runs!$B$6:$B$105,$A74,Runs!$N$6:$N$105,"Planned")&gt;0,"Planned","No run")))</f>
        <v/>
      </c>
      <c r="K74" s="19">
        <f>IF($L74=0,"",IF($O74+$P74+$Q74=0,"○ Clear",IF($O74=1,"△ No ID, or ID used twice",IF($P74=1,"△ Met with no passing run",IF($J74="Failed","△ Needed soon, failed, with no re-run booked","△ Needed soon, with no run booked")))&amp;IF($O74+$P74+$Q74&gt;1,", and "&amp;($O74+$P74+$Q74-1)&amp;" more",""))&amp;IF($R74=1,"  ◇ passed: the Owner can mark it Met","")&amp;IF($S74=1,"  ◇ a run is planned after Needed by","")&amp;IF($T74=1,"  ◇ no Needed by date","")&amp;IF($W74=1,"  ◇ Needed by isn't the gate map's Date",""))</f>
        <v/>
      </c>
      <c r="L74" s="32">
        <f>IF(COUNTA($A74:$G74)&gt;0,1,0)</f>
        <v/>
      </c>
      <c r="M74" s="32">
        <f>IF($L74=0,0,COUNTIF(Runs!$B$6:$B$105,$A74))</f>
        <v/>
      </c>
      <c r="N74" s="32">
        <f>IF($L74=0,0,IFERROR(MATCH($A74,Runs!$R$6:$R$105,0),0))</f>
        <v/>
      </c>
      <c r="O74" s="32">
        <f>IF($L74=0,0,IF(OR(TRIM($A74)="",COUNTIF($A$6:$A$105,$A74)&gt;1),1,0))</f>
        <v/>
      </c>
      <c r="P74" s="32">
        <f>IF($L74=0,0,IF(AND($F74="Met",$J74&lt;&gt;"Passed"),1,0))</f>
        <v/>
      </c>
      <c r="Q74" s="32">
        <f>IF(OR($L74=0,$F74="Met",$F74="Waived",NOT(ISNUMBER($G74))),0,IF(AND($G74&lt;=Summary!$B$12+N(Summary!$B$11),OR($U74=0,AND($J74="Failed",$V74=0))),1,0))</f>
        <v/>
      </c>
      <c r="R74" s="32">
        <f>IF(AND($L74=1,OR($F74="",$F74="Open"),$J74="Passed"),1,0)</f>
        <v/>
      </c>
      <c r="S74" s="32">
        <f>IF(AND($L74=1,ISNUMBER($G74)),IF(SUMPRODUCT((Runs!$B$6:$B$105=$A74)*(Runs!$N$6:$N$105="Planned")*(Runs!$C$6:$C$105&gt;$G74))&gt;0,1,0),0)</f>
        <v/>
      </c>
      <c r="T74" s="32">
        <f>IF(AND($L74=1,OR($F74="",$F74="Open"),NOT(ISNUMBER($G74))),1,0)</f>
        <v/>
      </c>
      <c r="U74" s="32">
        <f>IF($L74=0,0,$M74-COUNTIFS(Runs!$B$6:$B$105,$A74,Runs!$N$6:$N$105,"Not run"))</f>
        <v/>
      </c>
      <c r="V74" s="32">
        <f>IF($L74=0,0,COUNTIFS(Runs!$B$6:$B$105,$A74,Runs!$N$6:$N$105,"Planned"))</f>
        <v/>
      </c>
      <c r="W74" s="32">
        <f>IF(AND($L74=1,OR($F74="",$F74="Open"),ISNUMBER($G74),ISNUMBER(MATCH($B74,Summary!$G$28:$G$34,0))),IF(ISNUMBER(INDEX(Summary!$H$28:$H$34,MATCH($B74,Summary!$G$28:$G$34,0))),IF($G74&lt;&gt;INDEX(Summary!$H$28:$H$34,MATCH($B74,Summary!$G$28:$G$34,0)),1,0),0),0)</f>
        <v/>
      </c>
    </row>
    <row r="75">
      <c r="A75" s="27" t="n"/>
      <c r="B75" s="28" t="n"/>
      <c r="C75" s="28" t="n"/>
      <c r="D75" s="28" t="n"/>
      <c r="E75" s="28" t="n"/>
      <c r="F75" s="27" t="n"/>
      <c r="G75" s="29" t="n"/>
      <c r="H75" s="30">
        <f>IF($L75=0,"",$M75)</f>
        <v/>
      </c>
      <c r="I75" s="31">
        <f>IF($N75=0,"",INDEX(Runs!$A$6:$A$105,$N75))</f>
        <v/>
      </c>
      <c r="J75" s="31">
        <f>IF($L75=0,"",IF($N75&gt;0,INDEX(Runs!$N$6:$N$105,$N75),IF(COUNTIFS(Runs!$B$6:$B$105,$A75,Runs!$N$6:$N$105,"Planned")&gt;0,"Planned","No run")))</f>
        <v/>
      </c>
      <c r="K75" s="19">
        <f>IF($L75=0,"",IF($O75+$P75+$Q75=0,"○ Clear",IF($O75=1,"△ No ID, or ID used twice",IF($P75=1,"△ Met with no passing run",IF($J75="Failed","△ Needed soon, failed, with no re-run booked","△ Needed soon, with no run booked")))&amp;IF($O75+$P75+$Q75&gt;1,", and "&amp;($O75+$P75+$Q75-1)&amp;" more",""))&amp;IF($R75=1,"  ◇ passed: the Owner can mark it Met","")&amp;IF($S75=1,"  ◇ a run is planned after Needed by","")&amp;IF($T75=1,"  ◇ no Needed by date","")&amp;IF($W75=1,"  ◇ Needed by isn't the gate map's Date",""))</f>
        <v/>
      </c>
      <c r="L75" s="32">
        <f>IF(COUNTA($A75:$G75)&gt;0,1,0)</f>
        <v/>
      </c>
      <c r="M75" s="32">
        <f>IF($L75=0,0,COUNTIF(Runs!$B$6:$B$105,$A75))</f>
        <v/>
      </c>
      <c r="N75" s="32">
        <f>IF($L75=0,0,IFERROR(MATCH($A75,Runs!$R$6:$R$105,0),0))</f>
        <v/>
      </c>
      <c r="O75" s="32">
        <f>IF($L75=0,0,IF(OR(TRIM($A75)="",COUNTIF($A$6:$A$105,$A75)&gt;1),1,0))</f>
        <v/>
      </c>
      <c r="P75" s="32">
        <f>IF($L75=0,0,IF(AND($F75="Met",$J75&lt;&gt;"Passed"),1,0))</f>
        <v/>
      </c>
      <c r="Q75" s="32">
        <f>IF(OR($L75=0,$F75="Met",$F75="Waived",NOT(ISNUMBER($G75))),0,IF(AND($G75&lt;=Summary!$B$12+N(Summary!$B$11),OR($U75=0,AND($J75="Failed",$V75=0))),1,0))</f>
        <v/>
      </c>
      <c r="R75" s="32">
        <f>IF(AND($L75=1,OR($F75="",$F75="Open"),$J75="Passed"),1,0)</f>
        <v/>
      </c>
      <c r="S75" s="32">
        <f>IF(AND($L75=1,ISNUMBER($G75)),IF(SUMPRODUCT((Runs!$B$6:$B$105=$A75)*(Runs!$N$6:$N$105="Planned")*(Runs!$C$6:$C$105&gt;$G75))&gt;0,1,0),0)</f>
        <v/>
      </c>
      <c r="T75" s="32">
        <f>IF(AND($L75=1,OR($F75="",$F75="Open"),NOT(ISNUMBER($G75))),1,0)</f>
        <v/>
      </c>
      <c r="U75" s="32">
        <f>IF($L75=0,0,$M75-COUNTIFS(Runs!$B$6:$B$105,$A75,Runs!$N$6:$N$105,"Not run"))</f>
        <v/>
      </c>
      <c r="V75" s="32">
        <f>IF($L75=0,0,COUNTIFS(Runs!$B$6:$B$105,$A75,Runs!$N$6:$N$105,"Planned"))</f>
        <v/>
      </c>
      <c r="W75" s="32">
        <f>IF(AND($L75=1,OR($F75="",$F75="Open"),ISNUMBER($G75),ISNUMBER(MATCH($B75,Summary!$G$28:$G$34,0))),IF(ISNUMBER(INDEX(Summary!$H$28:$H$34,MATCH($B75,Summary!$G$28:$G$34,0))),IF($G75&lt;&gt;INDEX(Summary!$H$28:$H$34,MATCH($B75,Summary!$G$28:$G$34,0)),1,0),0),0)</f>
        <v/>
      </c>
    </row>
    <row r="76">
      <c r="A76" s="27" t="n"/>
      <c r="B76" s="28" t="n"/>
      <c r="C76" s="28" t="n"/>
      <c r="D76" s="28" t="n"/>
      <c r="E76" s="28" t="n"/>
      <c r="F76" s="27" t="n"/>
      <c r="G76" s="29" t="n"/>
      <c r="H76" s="30">
        <f>IF($L76=0,"",$M76)</f>
        <v/>
      </c>
      <c r="I76" s="31">
        <f>IF($N76=0,"",INDEX(Runs!$A$6:$A$105,$N76))</f>
        <v/>
      </c>
      <c r="J76" s="31">
        <f>IF($L76=0,"",IF($N76&gt;0,INDEX(Runs!$N$6:$N$105,$N76),IF(COUNTIFS(Runs!$B$6:$B$105,$A76,Runs!$N$6:$N$105,"Planned")&gt;0,"Planned","No run")))</f>
        <v/>
      </c>
      <c r="K76" s="19">
        <f>IF($L76=0,"",IF($O76+$P76+$Q76=0,"○ Clear",IF($O76=1,"△ No ID, or ID used twice",IF($P76=1,"△ Met with no passing run",IF($J76="Failed","△ Needed soon, failed, with no re-run booked","△ Needed soon, with no run booked")))&amp;IF($O76+$P76+$Q76&gt;1,", and "&amp;($O76+$P76+$Q76-1)&amp;" more",""))&amp;IF($R76=1,"  ◇ passed: the Owner can mark it Met","")&amp;IF($S76=1,"  ◇ a run is planned after Needed by","")&amp;IF($T76=1,"  ◇ no Needed by date","")&amp;IF($W76=1,"  ◇ Needed by isn't the gate map's Date",""))</f>
        <v/>
      </c>
      <c r="L76" s="32">
        <f>IF(COUNTA($A76:$G76)&gt;0,1,0)</f>
        <v/>
      </c>
      <c r="M76" s="32">
        <f>IF($L76=0,0,COUNTIF(Runs!$B$6:$B$105,$A76))</f>
        <v/>
      </c>
      <c r="N76" s="32">
        <f>IF($L76=0,0,IFERROR(MATCH($A76,Runs!$R$6:$R$105,0),0))</f>
        <v/>
      </c>
      <c r="O76" s="32">
        <f>IF($L76=0,0,IF(OR(TRIM($A76)="",COUNTIF($A$6:$A$105,$A76)&gt;1),1,0))</f>
        <v/>
      </c>
      <c r="P76" s="32">
        <f>IF($L76=0,0,IF(AND($F76="Met",$J76&lt;&gt;"Passed"),1,0))</f>
        <v/>
      </c>
      <c r="Q76" s="32">
        <f>IF(OR($L76=0,$F76="Met",$F76="Waived",NOT(ISNUMBER($G76))),0,IF(AND($G76&lt;=Summary!$B$12+N(Summary!$B$11),OR($U76=0,AND($J76="Failed",$V76=0))),1,0))</f>
        <v/>
      </c>
      <c r="R76" s="32">
        <f>IF(AND($L76=1,OR($F76="",$F76="Open"),$J76="Passed"),1,0)</f>
        <v/>
      </c>
      <c r="S76" s="32">
        <f>IF(AND($L76=1,ISNUMBER($G76)),IF(SUMPRODUCT((Runs!$B$6:$B$105=$A76)*(Runs!$N$6:$N$105="Planned")*(Runs!$C$6:$C$105&gt;$G76))&gt;0,1,0),0)</f>
        <v/>
      </c>
      <c r="T76" s="32">
        <f>IF(AND($L76=1,OR($F76="",$F76="Open"),NOT(ISNUMBER($G76))),1,0)</f>
        <v/>
      </c>
      <c r="U76" s="32">
        <f>IF($L76=0,0,$M76-COUNTIFS(Runs!$B$6:$B$105,$A76,Runs!$N$6:$N$105,"Not run"))</f>
        <v/>
      </c>
      <c r="V76" s="32">
        <f>IF($L76=0,0,COUNTIFS(Runs!$B$6:$B$105,$A76,Runs!$N$6:$N$105,"Planned"))</f>
        <v/>
      </c>
      <c r="W76" s="32">
        <f>IF(AND($L76=1,OR($F76="",$F76="Open"),ISNUMBER($G76),ISNUMBER(MATCH($B76,Summary!$G$28:$G$34,0))),IF(ISNUMBER(INDEX(Summary!$H$28:$H$34,MATCH($B76,Summary!$G$28:$G$34,0))),IF($G76&lt;&gt;INDEX(Summary!$H$28:$H$34,MATCH($B76,Summary!$G$28:$G$34,0)),1,0),0),0)</f>
        <v/>
      </c>
    </row>
    <row r="77">
      <c r="A77" s="27" t="n"/>
      <c r="B77" s="28" t="n"/>
      <c r="C77" s="28" t="n"/>
      <c r="D77" s="28" t="n"/>
      <c r="E77" s="28" t="n"/>
      <c r="F77" s="27" t="n"/>
      <c r="G77" s="29" t="n"/>
      <c r="H77" s="30">
        <f>IF($L77=0,"",$M77)</f>
        <v/>
      </c>
      <c r="I77" s="31">
        <f>IF($N77=0,"",INDEX(Runs!$A$6:$A$105,$N77))</f>
        <v/>
      </c>
      <c r="J77" s="31">
        <f>IF($L77=0,"",IF($N77&gt;0,INDEX(Runs!$N$6:$N$105,$N77),IF(COUNTIFS(Runs!$B$6:$B$105,$A77,Runs!$N$6:$N$105,"Planned")&gt;0,"Planned","No run")))</f>
        <v/>
      </c>
      <c r="K77" s="19">
        <f>IF($L77=0,"",IF($O77+$P77+$Q77=0,"○ Clear",IF($O77=1,"△ No ID, or ID used twice",IF($P77=1,"△ Met with no passing run",IF($J77="Failed","△ Needed soon, failed, with no re-run booked","△ Needed soon, with no run booked")))&amp;IF($O77+$P77+$Q77&gt;1,", and "&amp;($O77+$P77+$Q77-1)&amp;" more",""))&amp;IF($R77=1,"  ◇ passed: the Owner can mark it Met","")&amp;IF($S77=1,"  ◇ a run is planned after Needed by","")&amp;IF($T77=1,"  ◇ no Needed by date","")&amp;IF($W77=1,"  ◇ Needed by isn't the gate map's Date",""))</f>
        <v/>
      </c>
      <c r="L77" s="32">
        <f>IF(COUNTA($A77:$G77)&gt;0,1,0)</f>
        <v/>
      </c>
      <c r="M77" s="32">
        <f>IF($L77=0,0,COUNTIF(Runs!$B$6:$B$105,$A77))</f>
        <v/>
      </c>
      <c r="N77" s="32">
        <f>IF($L77=0,0,IFERROR(MATCH($A77,Runs!$R$6:$R$105,0),0))</f>
        <v/>
      </c>
      <c r="O77" s="32">
        <f>IF($L77=0,0,IF(OR(TRIM($A77)="",COUNTIF($A$6:$A$105,$A77)&gt;1),1,0))</f>
        <v/>
      </c>
      <c r="P77" s="32">
        <f>IF($L77=0,0,IF(AND($F77="Met",$J77&lt;&gt;"Passed"),1,0))</f>
        <v/>
      </c>
      <c r="Q77" s="32">
        <f>IF(OR($L77=0,$F77="Met",$F77="Waived",NOT(ISNUMBER($G77))),0,IF(AND($G77&lt;=Summary!$B$12+N(Summary!$B$11),OR($U77=0,AND($J77="Failed",$V77=0))),1,0))</f>
        <v/>
      </c>
      <c r="R77" s="32">
        <f>IF(AND($L77=1,OR($F77="",$F77="Open"),$J77="Passed"),1,0)</f>
        <v/>
      </c>
      <c r="S77" s="32">
        <f>IF(AND($L77=1,ISNUMBER($G77)),IF(SUMPRODUCT((Runs!$B$6:$B$105=$A77)*(Runs!$N$6:$N$105="Planned")*(Runs!$C$6:$C$105&gt;$G77))&gt;0,1,0),0)</f>
        <v/>
      </c>
      <c r="T77" s="32">
        <f>IF(AND($L77=1,OR($F77="",$F77="Open"),NOT(ISNUMBER($G77))),1,0)</f>
        <v/>
      </c>
      <c r="U77" s="32">
        <f>IF($L77=0,0,$M77-COUNTIFS(Runs!$B$6:$B$105,$A77,Runs!$N$6:$N$105,"Not run"))</f>
        <v/>
      </c>
      <c r="V77" s="32">
        <f>IF($L77=0,0,COUNTIFS(Runs!$B$6:$B$105,$A77,Runs!$N$6:$N$105,"Planned"))</f>
        <v/>
      </c>
      <c r="W77" s="32">
        <f>IF(AND($L77=1,OR($F77="",$F77="Open"),ISNUMBER($G77),ISNUMBER(MATCH($B77,Summary!$G$28:$G$34,0))),IF(ISNUMBER(INDEX(Summary!$H$28:$H$34,MATCH($B77,Summary!$G$28:$G$34,0))),IF($G77&lt;&gt;INDEX(Summary!$H$28:$H$34,MATCH($B77,Summary!$G$28:$G$34,0)),1,0),0),0)</f>
        <v/>
      </c>
    </row>
    <row r="78">
      <c r="A78" s="27" t="n"/>
      <c r="B78" s="28" t="n"/>
      <c r="C78" s="28" t="n"/>
      <c r="D78" s="28" t="n"/>
      <c r="E78" s="28" t="n"/>
      <c r="F78" s="27" t="n"/>
      <c r="G78" s="29" t="n"/>
      <c r="H78" s="30">
        <f>IF($L78=0,"",$M78)</f>
        <v/>
      </c>
      <c r="I78" s="31">
        <f>IF($N78=0,"",INDEX(Runs!$A$6:$A$105,$N78))</f>
        <v/>
      </c>
      <c r="J78" s="31">
        <f>IF($L78=0,"",IF($N78&gt;0,INDEX(Runs!$N$6:$N$105,$N78),IF(COUNTIFS(Runs!$B$6:$B$105,$A78,Runs!$N$6:$N$105,"Planned")&gt;0,"Planned","No run")))</f>
        <v/>
      </c>
      <c r="K78" s="19">
        <f>IF($L78=0,"",IF($O78+$P78+$Q78=0,"○ Clear",IF($O78=1,"△ No ID, or ID used twice",IF($P78=1,"△ Met with no passing run",IF($J78="Failed","△ Needed soon, failed, with no re-run booked","△ Needed soon, with no run booked")))&amp;IF($O78+$P78+$Q78&gt;1,", and "&amp;($O78+$P78+$Q78-1)&amp;" more",""))&amp;IF($R78=1,"  ◇ passed: the Owner can mark it Met","")&amp;IF($S78=1,"  ◇ a run is planned after Needed by","")&amp;IF($T78=1,"  ◇ no Needed by date","")&amp;IF($W78=1,"  ◇ Needed by isn't the gate map's Date",""))</f>
        <v/>
      </c>
      <c r="L78" s="32">
        <f>IF(COUNTA($A78:$G78)&gt;0,1,0)</f>
        <v/>
      </c>
      <c r="M78" s="32">
        <f>IF($L78=0,0,COUNTIF(Runs!$B$6:$B$105,$A78))</f>
        <v/>
      </c>
      <c r="N78" s="32">
        <f>IF($L78=0,0,IFERROR(MATCH($A78,Runs!$R$6:$R$105,0),0))</f>
        <v/>
      </c>
      <c r="O78" s="32">
        <f>IF($L78=0,0,IF(OR(TRIM($A78)="",COUNTIF($A$6:$A$105,$A78)&gt;1),1,0))</f>
        <v/>
      </c>
      <c r="P78" s="32">
        <f>IF($L78=0,0,IF(AND($F78="Met",$J78&lt;&gt;"Passed"),1,0))</f>
        <v/>
      </c>
      <c r="Q78" s="32">
        <f>IF(OR($L78=0,$F78="Met",$F78="Waived",NOT(ISNUMBER($G78))),0,IF(AND($G78&lt;=Summary!$B$12+N(Summary!$B$11),OR($U78=0,AND($J78="Failed",$V78=0))),1,0))</f>
        <v/>
      </c>
      <c r="R78" s="32">
        <f>IF(AND($L78=1,OR($F78="",$F78="Open"),$J78="Passed"),1,0)</f>
        <v/>
      </c>
      <c r="S78" s="32">
        <f>IF(AND($L78=1,ISNUMBER($G78)),IF(SUMPRODUCT((Runs!$B$6:$B$105=$A78)*(Runs!$N$6:$N$105="Planned")*(Runs!$C$6:$C$105&gt;$G78))&gt;0,1,0),0)</f>
        <v/>
      </c>
      <c r="T78" s="32">
        <f>IF(AND($L78=1,OR($F78="",$F78="Open"),NOT(ISNUMBER($G78))),1,0)</f>
        <v/>
      </c>
      <c r="U78" s="32">
        <f>IF($L78=0,0,$M78-COUNTIFS(Runs!$B$6:$B$105,$A78,Runs!$N$6:$N$105,"Not run"))</f>
        <v/>
      </c>
      <c r="V78" s="32">
        <f>IF($L78=0,0,COUNTIFS(Runs!$B$6:$B$105,$A78,Runs!$N$6:$N$105,"Planned"))</f>
        <v/>
      </c>
      <c r="W78" s="32">
        <f>IF(AND($L78=1,OR($F78="",$F78="Open"),ISNUMBER($G78),ISNUMBER(MATCH($B78,Summary!$G$28:$G$34,0))),IF(ISNUMBER(INDEX(Summary!$H$28:$H$34,MATCH($B78,Summary!$G$28:$G$34,0))),IF($G78&lt;&gt;INDEX(Summary!$H$28:$H$34,MATCH($B78,Summary!$G$28:$G$34,0)),1,0),0),0)</f>
        <v/>
      </c>
    </row>
    <row r="79">
      <c r="A79" s="27" t="n"/>
      <c r="B79" s="28" t="n"/>
      <c r="C79" s="28" t="n"/>
      <c r="D79" s="28" t="n"/>
      <c r="E79" s="28" t="n"/>
      <c r="F79" s="27" t="n"/>
      <c r="G79" s="29" t="n"/>
      <c r="H79" s="30">
        <f>IF($L79=0,"",$M79)</f>
        <v/>
      </c>
      <c r="I79" s="31">
        <f>IF($N79=0,"",INDEX(Runs!$A$6:$A$105,$N79))</f>
        <v/>
      </c>
      <c r="J79" s="31">
        <f>IF($L79=0,"",IF($N79&gt;0,INDEX(Runs!$N$6:$N$105,$N79),IF(COUNTIFS(Runs!$B$6:$B$105,$A79,Runs!$N$6:$N$105,"Planned")&gt;0,"Planned","No run")))</f>
        <v/>
      </c>
      <c r="K79" s="19">
        <f>IF($L79=0,"",IF($O79+$P79+$Q79=0,"○ Clear",IF($O79=1,"△ No ID, or ID used twice",IF($P79=1,"△ Met with no passing run",IF($J79="Failed","△ Needed soon, failed, with no re-run booked","△ Needed soon, with no run booked")))&amp;IF($O79+$P79+$Q79&gt;1,", and "&amp;($O79+$P79+$Q79-1)&amp;" more",""))&amp;IF($R79=1,"  ◇ passed: the Owner can mark it Met","")&amp;IF($S79=1,"  ◇ a run is planned after Needed by","")&amp;IF($T79=1,"  ◇ no Needed by date","")&amp;IF($W79=1,"  ◇ Needed by isn't the gate map's Date",""))</f>
        <v/>
      </c>
      <c r="L79" s="32">
        <f>IF(COUNTA($A79:$G79)&gt;0,1,0)</f>
        <v/>
      </c>
      <c r="M79" s="32">
        <f>IF($L79=0,0,COUNTIF(Runs!$B$6:$B$105,$A79))</f>
        <v/>
      </c>
      <c r="N79" s="32">
        <f>IF($L79=0,0,IFERROR(MATCH($A79,Runs!$R$6:$R$105,0),0))</f>
        <v/>
      </c>
      <c r="O79" s="32">
        <f>IF($L79=0,0,IF(OR(TRIM($A79)="",COUNTIF($A$6:$A$105,$A79)&gt;1),1,0))</f>
        <v/>
      </c>
      <c r="P79" s="32">
        <f>IF($L79=0,0,IF(AND($F79="Met",$J79&lt;&gt;"Passed"),1,0))</f>
        <v/>
      </c>
      <c r="Q79" s="32">
        <f>IF(OR($L79=0,$F79="Met",$F79="Waived",NOT(ISNUMBER($G79))),0,IF(AND($G79&lt;=Summary!$B$12+N(Summary!$B$11),OR($U79=0,AND($J79="Failed",$V79=0))),1,0))</f>
        <v/>
      </c>
      <c r="R79" s="32">
        <f>IF(AND($L79=1,OR($F79="",$F79="Open"),$J79="Passed"),1,0)</f>
        <v/>
      </c>
      <c r="S79" s="32">
        <f>IF(AND($L79=1,ISNUMBER($G79)),IF(SUMPRODUCT((Runs!$B$6:$B$105=$A79)*(Runs!$N$6:$N$105="Planned")*(Runs!$C$6:$C$105&gt;$G79))&gt;0,1,0),0)</f>
        <v/>
      </c>
      <c r="T79" s="32">
        <f>IF(AND($L79=1,OR($F79="",$F79="Open"),NOT(ISNUMBER($G79))),1,0)</f>
        <v/>
      </c>
      <c r="U79" s="32">
        <f>IF($L79=0,0,$M79-COUNTIFS(Runs!$B$6:$B$105,$A79,Runs!$N$6:$N$105,"Not run"))</f>
        <v/>
      </c>
      <c r="V79" s="32">
        <f>IF($L79=0,0,COUNTIFS(Runs!$B$6:$B$105,$A79,Runs!$N$6:$N$105,"Planned"))</f>
        <v/>
      </c>
      <c r="W79" s="32">
        <f>IF(AND($L79=1,OR($F79="",$F79="Open"),ISNUMBER($G79),ISNUMBER(MATCH($B79,Summary!$G$28:$G$34,0))),IF(ISNUMBER(INDEX(Summary!$H$28:$H$34,MATCH($B79,Summary!$G$28:$G$34,0))),IF($G79&lt;&gt;INDEX(Summary!$H$28:$H$34,MATCH($B79,Summary!$G$28:$G$34,0)),1,0),0),0)</f>
        <v/>
      </c>
    </row>
    <row r="80">
      <c r="A80" s="27" t="n"/>
      <c r="B80" s="28" t="n"/>
      <c r="C80" s="28" t="n"/>
      <c r="D80" s="28" t="n"/>
      <c r="E80" s="28" t="n"/>
      <c r="F80" s="27" t="n"/>
      <c r="G80" s="29" t="n"/>
      <c r="H80" s="30">
        <f>IF($L80=0,"",$M80)</f>
        <v/>
      </c>
      <c r="I80" s="31">
        <f>IF($N80=0,"",INDEX(Runs!$A$6:$A$105,$N80))</f>
        <v/>
      </c>
      <c r="J80" s="31">
        <f>IF($L80=0,"",IF($N80&gt;0,INDEX(Runs!$N$6:$N$105,$N80),IF(COUNTIFS(Runs!$B$6:$B$105,$A80,Runs!$N$6:$N$105,"Planned")&gt;0,"Planned","No run")))</f>
        <v/>
      </c>
      <c r="K80" s="19">
        <f>IF($L80=0,"",IF($O80+$P80+$Q80=0,"○ Clear",IF($O80=1,"△ No ID, or ID used twice",IF($P80=1,"△ Met with no passing run",IF($J80="Failed","△ Needed soon, failed, with no re-run booked","△ Needed soon, with no run booked")))&amp;IF($O80+$P80+$Q80&gt;1,", and "&amp;($O80+$P80+$Q80-1)&amp;" more",""))&amp;IF($R80=1,"  ◇ passed: the Owner can mark it Met","")&amp;IF($S80=1,"  ◇ a run is planned after Needed by","")&amp;IF($T80=1,"  ◇ no Needed by date","")&amp;IF($W80=1,"  ◇ Needed by isn't the gate map's Date",""))</f>
        <v/>
      </c>
      <c r="L80" s="32">
        <f>IF(COUNTA($A80:$G80)&gt;0,1,0)</f>
        <v/>
      </c>
      <c r="M80" s="32">
        <f>IF($L80=0,0,COUNTIF(Runs!$B$6:$B$105,$A80))</f>
        <v/>
      </c>
      <c r="N80" s="32">
        <f>IF($L80=0,0,IFERROR(MATCH($A80,Runs!$R$6:$R$105,0),0))</f>
        <v/>
      </c>
      <c r="O80" s="32">
        <f>IF($L80=0,0,IF(OR(TRIM($A80)="",COUNTIF($A$6:$A$105,$A80)&gt;1),1,0))</f>
        <v/>
      </c>
      <c r="P80" s="32">
        <f>IF($L80=0,0,IF(AND($F80="Met",$J80&lt;&gt;"Passed"),1,0))</f>
        <v/>
      </c>
      <c r="Q80" s="32">
        <f>IF(OR($L80=0,$F80="Met",$F80="Waived",NOT(ISNUMBER($G80))),0,IF(AND($G80&lt;=Summary!$B$12+N(Summary!$B$11),OR($U80=0,AND($J80="Failed",$V80=0))),1,0))</f>
        <v/>
      </c>
      <c r="R80" s="32">
        <f>IF(AND($L80=1,OR($F80="",$F80="Open"),$J80="Passed"),1,0)</f>
        <v/>
      </c>
      <c r="S80" s="32">
        <f>IF(AND($L80=1,ISNUMBER($G80)),IF(SUMPRODUCT((Runs!$B$6:$B$105=$A80)*(Runs!$N$6:$N$105="Planned")*(Runs!$C$6:$C$105&gt;$G80))&gt;0,1,0),0)</f>
        <v/>
      </c>
      <c r="T80" s="32">
        <f>IF(AND($L80=1,OR($F80="",$F80="Open"),NOT(ISNUMBER($G80))),1,0)</f>
        <v/>
      </c>
      <c r="U80" s="32">
        <f>IF($L80=0,0,$M80-COUNTIFS(Runs!$B$6:$B$105,$A80,Runs!$N$6:$N$105,"Not run"))</f>
        <v/>
      </c>
      <c r="V80" s="32">
        <f>IF($L80=0,0,COUNTIFS(Runs!$B$6:$B$105,$A80,Runs!$N$6:$N$105,"Planned"))</f>
        <v/>
      </c>
      <c r="W80" s="32">
        <f>IF(AND($L80=1,OR($F80="",$F80="Open"),ISNUMBER($G80),ISNUMBER(MATCH($B80,Summary!$G$28:$G$34,0))),IF(ISNUMBER(INDEX(Summary!$H$28:$H$34,MATCH($B80,Summary!$G$28:$G$34,0))),IF($G80&lt;&gt;INDEX(Summary!$H$28:$H$34,MATCH($B80,Summary!$G$28:$G$34,0)),1,0),0),0)</f>
        <v/>
      </c>
    </row>
    <row r="81">
      <c r="A81" s="27" t="n"/>
      <c r="B81" s="28" t="n"/>
      <c r="C81" s="28" t="n"/>
      <c r="D81" s="28" t="n"/>
      <c r="E81" s="28" t="n"/>
      <c r="F81" s="27" t="n"/>
      <c r="G81" s="29" t="n"/>
      <c r="H81" s="30">
        <f>IF($L81=0,"",$M81)</f>
        <v/>
      </c>
      <c r="I81" s="31">
        <f>IF($N81=0,"",INDEX(Runs!$A$6:$A$105,$N81))</f>
        <v/>
      </c>
      <c r="J81" s="31">
        <f>IF($L81=0,"",IF($N81&gt;0,INDEX(Runs!$N$6:$N$105,$N81),IF(COUNTIFS(Runs!$B$6:$B$105,$A81,Runs!$N$6:$N$105,"Planned")&gt;0,"Planned","No run")))</f>
        <v/>
      </c>
      <c r="K81" s="19">
        <f>IF($L81=0,"",IF($O81+$P81+$Q81=0,"○ Clear",IF($O81=1,"△ No ID, or ID used twice",IF($P81=1,"△ Met with no passing run",IF($J81="Failed","△ Needed soon, failed, with no re-run booked","△ Needed soon, with no run booked")))&amp;IF($O81+$P81+$Q81&gt;1,", and "&amp;($O81+$P81+$Q81-1)&amp;" more",""))&amp;IF($R81=1,"  ◇ passed: the Owner can mark it Met","")&amp;IF($S81=1,"  ◇ a run is planned after Needed by","")&amp;IF($T81=1,"  ◇ no Needed by date","")&amp;IF($W81=1,"  ◇ Needed by isn't the gate map's Date",""))</f>
        <v/>
      </c>
      <c r="L81" s="32">
        <f>IF(COUNTA($A81:$G81)&gt;0,1,0)</f>
        <v/>
      </c>
      <c r="M81" s="32">
        <f>IF($L81=0,0,COUNTIF(Runs!$B$6:$B$105,$A81))</f>
        <v/>
      </c>
      <c r="N81" s="32">
        <f>IF($L81=0,0,IFERROR(MATCH($A81,Runs!$R$6:$R$105,0),0))</f>
        <v/>
      </c>
      <c r="O81" s="32">
        <f>IF($L81=0,0,IF(OR(TRIM($A81)="",COUNTIF($A$6:$A$105,$A81)&gt;1),1,0))</f>
        <v/>
      </c>
      <c r="P81" s="32">
        <f>IF($L81=0,0,IF(AND($F81="Met",$J81&lt;&gt;"Passed"),1,0))</f>
        <v/>
      </c>
      <c r="Q81" s="32">
        <f>IF(OR($L81=0,$F81="Met",$F81="Waived",NOT(ISNUMBER($G81))),0,IF(AND($G81&lt;=Summary!$B$12+N(Summary!$B$11),OR($U81=0,AND($J81="Failed",$V81=0))),1,0))</f>
        <v/>
      </c>
      <c r="R81" s="32">
        <f>IF(AND($L81=1,OR($F81="",$F81="Open"),$J81="Passed"),1,0)</f>
        <v/>
      </c>
      <c r="S81" s="32">
        <f>IF(AND($L81=1,ISNUMBER($G81)),IF(SUMPRODUCT((Runs!$B$6:$B$105=$A81)*(Runs!$N$6:$N$105="Planned")*(Runs!$C$6:$C$105&gt;$G81))&gt;0,1,0),0)</f>
        <v/>
      </c>
      <c r="T81" s="32">
        <f>IF(AND($L81=1,OR($F81="",$F81="Open"),NOT(ISNUMBER($G81))),1,0)</f>
        <v/>
      </c>
      <c r="U81" s="32">
        <f>IF($L81=0,0,$M81-COUNTIFS(Runs!$B$6:$B$105,$A81,Runs!$N$6:$N$105,"Not run"))</f>
        <v/>
      </c>
      <c r="V81" s="32">
        <f>IF($L81=0,0,COUNTIFS(Runs!$B$6:$B$105,$A81,Runs!$N$6:$N$105,"Planned"))</f>
        <v/>
      </c>
      <c r="W81" s="32">
        <f>IF(AND($L81=1,OR($F81="",$F81="Open"),ISNUMBER($G81),ISNUMBER(MATCH($B81,Summary!$G$28:$G$34,0))),IF(ISNUMBER(INDEX(Summary!$H$28:$H$34,MATCH($B81,Summary!$G$28:$G$34,0))),IF($G81&lt;&gt;INDEX(Summary!$H$28:$H$34,MATCH($B81,Summary!$G$28:$G$34,0)),1,0),0),0)</f>
        <v/>
      </c>
    </row>
    <row r="82">
      <c r="A82" s="27" t="n"/>
      <c r="B82" s="28" t="n"/>
      <c r="C82" s="28" t="n"/>
      <c r="D82" s="28" t="n"/>
      <c r="E82" s="28" t="n"/>
      <c r="F82" s="27" t="n"/>
      <c r="G82" s="29" t="n"/>
      <c r="H82" s="30">
        <f>IF($L82=0,"",$M82)</f>
        <v/>
      </c>
      <c r="I82" s="31">
        <f>IF($N82=0,"",INDEX(Runs!$A$6:$A$105,$N82))</f>
        <v/>
      </c>
      <c r="J82" s="31">
        <f>IF($L82=0,"",IF($N82&gt;0,INDEX(Runs!$N$6:$N$105,$N82),IF(COUNTIFS(Runs!$B$6:$B$105,$A82,Runs!$N$6:$N$105,"Planned")&gt;0,"Planned","No run")))</f>
        <v/>
      </c>
      <c r="K82" s="19">
        <f>IF($L82=0,"",IF($O82+$P82+$Q82=0,"○ Clear",IF($O82=1,"△ No ID, or ID used twice",IF($P82=1,"△ Met with no passing run",IF($J82="Failed","△ Needed soon, failed, with no re-run booked","△ Needed soon, with no run booked")))&amp;IF($O82+$P82+$Q82&gt;1,", and "&amp;($O82+$P82+$Q82-1)&amp;" more",""))&amp;IF($R82=1,"  ◇ passed: the Owner can mark it Met","")&amp;IF($S82=1,"  ◇ a run is planned after Needed by","")&amp;IF($T82=1,"  ◇ no Needed by date","")&amp;IF($W82=1,"  ◇ Needed by isn't the gate map's Date",""))</f>
        <v/>
      </c>
      <c r="L82" s="32">
        <f>IF(COUNTA($A82:$G82)&gt;0,1,0)</f>
        <v/>
      </c>
      <c r="M82" s="32">
        <f>IF($L82=0,0,COUNTIF(Runs!$B$6:$B$105,$A82))</f>
        <v/>
      </c>
      <c r="N82" s="32">
        <f>IF($L82=0,0,IFERROR(MATCH($A82,Runs!$R$6:$R$105,0),0))</f>
        <v/>
      </c>
      <c r="O82" s="32">
        <f>IF($L82=0,0,IF(OR(TRIM($A82)="",COUNTIF($A$6:$A$105,$A82)&gt;1),1,0))</f>
        <v/>
      </c>
      <c r="P82" s="32">
        <f>IF($L82=0,0,IF(AND($F82="Met",$J82&lt;&gt;"Passed"),1,0))</f>
        <v/>
      </c>
      <c r="Q82" s="32">
        <f>IF(OR($L82=0,$F82="Met",$F82="Waived",NOT(ISNUMBER($G82))),0,IF(AND($G82&lt;=Summary!$B$12+N(Summary!$B$11),OR($U82=0,AND($J82="Failed",$V82=0))),1,0))</f>
        <v/>
      </c>
      <c r="R82" s="32">
        <f>IF(AND($L82=1,OR($F82="",$F82="Open"),$J82="Passed"),1,0)</f>
        <v/>
      </c>
      <c r="S82" s="32">
        <f>IF(AND($L82=1,ISNUMBER($G82)),IF(SUMPRODUCT((Runs!$B$6:$B$105=$A82)*(Runs!$N$6:$N$105="Planned")*(Runs!$C$6:$C$105&gt;$G82))&gt;0,1,0),0)</f>
        <v/>
      </c>
      <c r="T82" s="32">
        <f>IF(AND($L82=1,OR($F82="",$F82="Open"),NOT(ISNUMBER($G82))),1,0)</f>
        <v/>
      </c>
      <c r="U82" s="32">
        <f>IF($L82=0,0,$M82-COUNTIFS(Runs!$B$6:$B$105,$A82,Runs!$N$6:$N$105,"Not run"))</f>
        <v/>
      </c>
      <c r="V82" s="32">
        <f>IF($L82=0,0,COUNTIFS(Runs!$B$6:$B$105,$A82,Runs!$N$6:$N$105,"Planned"))</f>
        <v/>
      </c>
      <c r="W82" s="32">
        <f>IF(AND($L82=1,OR($F82="",$F82="Open"),ISNUMBER($G82),ISNUMBER(MATCH($B82,Summary!$G$28:$G$34,0))),IF(ISNUMBER(INDEX(Summary!$H$28:$H$34,MATCH($B82,Summary!$G$28:$G$34,0))),IF($G82&lt;&gt;INDEX(Summary!$H$28:$H$34,MATCH($B82,Summary!$G$28:$G$34,0)),1,0),0),0)</f>
        <v/>
      </c>
    </row>
    <row r="83">
      <c r="A83" s="27" t="n"/>
      <c r="B83" s="28" t="n"/>
      <c r="C83" s="28" t="n"/>
      <c r="D83" s="28" t="n"/>
      <c r="E83" s="28" t="n"/>
      <c r="F83" s="27" t="n"/>
      <c r="G83" s="29" t="n"/>
      <c r="H83" s="30">
        <f>IF($L83=0,"",$M83)</f>
        <v/>
      </c>
      <c r="I83" s="31">
        <f>IF($N83=0,"",INDEX(Runs!$A$6:$A$105,$N83))</f>
        <v/>
      </c>
      <c r="J83" s="31">
        <f>IF($L83=0,"",IF($N83&gt;0,INDEX(Runs!$N$6:$N$105,$N83),IF(COUNTIFS(Runs!$B$6:$B$105,$A83,Runs!$N$6:$N$105,"Planned")&gt;0,"Planned","No run")))</f>
        <v/>
      </c>
      <c r="K83" s="19">
        <f>IF($L83=0,"",IF($O83+$P83+$Q83=0,"○ Clear",IF($O83=1,"△ No ID, or ID used twice",IF($P83=1,"△ Met with no passing run",IF($J83="Failed","△ Needed soon, failed, with no re-run booked","△ Needed soon, with no run booked")))&amp;IF($O83+$P83+$Q83&gt;1,", and "&amp;($O83+$P83+$Q83-1)&amp;" more",""))&amp;IF($R83=1,"  ◇ passed: the Owner can mark it Met","")&amp;IF($S83=1,"  ◇ a run is planned after Needed by","")&amp;IF($T83=1,"  ◇ no Needed by date","")&amp;IF($W83=1,"  ◇ Needed by isn't the gate map's Date",""))</f>
        <v/>
      </c>
      <c r="L83" s="32">
        <f>IF(COUNTA($A83:$G83)&gt;0,1,0)</f>
        <v/>
      </c>
      <c r="M83" s="32">
        <f>IF($L83=0,0,COUNTIF(Runs!$B$6:$B$105,$A83))</f>
        <v/>
      </c>
      <c r="N83" s="32">
        <f>IF($L83=0,0,IFERROR(MATCH($A83,Runs!$R$6:$R$105,0),0))</f>
        <v/>
      </c>
      <c r="O83" s="32">
        <f>IF($L83=0,0,IF(OR(TRIM($A83)="",COUNTIF($A$6:$A$105,$A83)&gt;1),1,0))</f>
        <v/>
      </c>
      <c r="P83" s="32">
        <f>IF($L83=0,0,IF(AND($F83="Met",$J83&lt;&gt;"Passed"),1,0))</f>
        <v/>
      </c>
      <c r="Q83" s="32">
        <f>IF(OR($L83=0,$F83="Met",$F83="Waived",NOT(ISNUMBER($G83))),0,IF(AND($G83&lt;=Summary!$B$12+N(Summary!$B$11),OR($U83=0,AND($J83="Failed",$V83=0))),1,0))</f>
        <v/>
      </c>
      <c r="R83" s="32">
        <f>IF(AND($L83=1,OR($F83="",$F83="Open"),$J83="Passed"),1,0)</f>
        <v/>
      </c>
      <c r="S83" s="32">
        <f>IF(AND($L83=1,ISNUMBER($G83)),IF(SUMPRODUCT((Runs!$B$6:$B$105=$A83)*(Runs!$N$6:$N$105="Planned")*(Runs!$C$6:$C$105&gt;$G83))&gt;0,1,0),0)</f>
        <v/>
      </c>
      <c r="T83" s="32">
        <f>IF(AND($L83=1,OR($F83="",$F83="Open"),NOT(ISNUMBER($G83))),1,0)</f>
        <v/>
      </c>
      <c r="U83" s="32">
        <f>IF($L83=0,0,$M83-COUNTIFS(Runs!$B$6:$B$105,$A83,Runs!$N$6:$N$105,"Not run"))</f>
        <v/>
      </c>
      <c r="V83" s="32">
        <f>IF($L83=0,0,COUNTIFS(Runs!$B$6:$B$105,$A83,Runs!$N$6:$N$105,"Planned"))</f>
        <v/>
      </c>
      <c r="W83" s="32">
        <f>IF(AND($L83=1,OR($F83="",$F83="Open"),ISNUMBER($G83),ISNUMBER(MATCH($B83,Summary!$G$28:$G$34,0))),IF(ISNUMBER(INDEX(Summary!$H$28:$H$34,MATCH($B83,Summary!$G$28:$G$34,0))),IF($G83&lt;&gt;INDEX(Summary!$H$28:$H$34,MATCH($B83,Summary!$G$28:$G$34,0)),1,0),0),0)</f>
        <v/>
      </c>
    </row>
    <row r="84">
      <c r="A84" s="27" t="n"/>
      <c r="B84" s="28" t="n"/>
      <c r="C84" s="28" t="n"/>
      <c r="D84" s="28" t="n"/>
      <c r="E84" s="28" t="n"/>
      <c r="F84" s="27" t="n"/>
      <c r="G84" s="29" t="n"/>
      <c r="H84" s="30">
        <f>IF($L84=0,"",$M84)</f>
        <v/>
      </c>
      <c r="I84" s="31">
        <f>IF($N84=0,"",INDEX(Runs!$A$6:$A$105,$N84))</f>
        <v/>
      </c>
      <c r="J84" s="31">
        <f>IF($L84=0,"",IF($N84&gt;0,INDEX(Runs!$N$6:$N$105,$N84),IF(COUNTIFS(Runs!$B$6:$B$105,$A84,Runs!$N$6:$N$105,"Planned")&gt;0,"Planned","No run")))</f>
        <v/>
      </c>
      <c r="K84" s="19">
        <f>IF($L84=0,"",IF($O84+$P84+$Q84=0,"○ Clear",IF($O84=1,"△ No ID, or ID used twice",IF($P84=1,"△ Met with no passing run",IF($J84="Failed","△ Needed soon, failed, with no re-run booked","△ Needed soon, with no run booked")))&amp;IF($O84+$P84+$Q84&gt;1,", and "&amp;($O84+$P84+$Q84-1)&amp;" more",""))&amp;IF($R84=1,"  ◇ passed: the Owner can mark it Met","")&amp;IF($S84=1,"  ◇ a run is planned after Needed by","")&amp;IF($T84=1,"  ◇ no Needed by date","")&amp;IF($W84=1,"  ◇ Needed by isn't the gate map's Date",""))</f>
        <v/>
      </c>
      <c r="L84" s="32">
        <f>IF(COUNTA($A84:$G84)&gt;0,1,0)</f>
        <v/>
      </c>
      <c r="M84" s="32">
        <f>IF($L84=0,0,COUNTIF(Runs!$B$6:$B$105,$A84))</f>
        <v/>
      </c>
      <c r="N84" s="32">
        <f>IF($L84=0,0,IFERROR(MATCH($A84,Runs!$R$6:$R$105,0),0))</f>
        <v/>
      </c>
      <c r="O84" s="32">
        <f>IF($L84=0,0,IF(OR(TRIM($A84)="",COUNTIF($A$6:$A$105,$A84)&gt;1),1,0))</f>
        <v/>
      </c>
      <c r="P84" s="32">
        <f>IF($L84=0,0,IF(AND($F84="Met",$J84&lt;&gt;"Passed"),1,0))</f>
        <v/>
      </c>
      <c r="Q84" s="32">
        <f>IF(OR($L84=0,$F84="Met",$F84="Waived",NOT(ISNUMBER($G84))),0,IF(AND($G84&lt;=Summary!$B$12+N(Summary!$B$11),OR($U84=0,AND($J84="Failed",$V84=0))),1,0))</f>
        <v/>
      </c>
      <c r="R84" s="32">
        <f>IF(AND($L84=1,OR($F84="",$F84="Open"),$J84="Passed"),1,0)</f>
        <v/>
      </c>
      <c r="S84" s="32">
        <f>IF(AND($L84=1,ISNUMBER($G84)),IF(SUMPRODUCT((Runs!$B$6:$B$105=$A84)*(Runs!$N$6:$N$105="Planned")*(Runs!$C$6:$C$105&gt;$G84))&gt;0,1,0),0)</f>
        <v/>
      </c>
      <c r="T84" s="32">
        <f>IF(AND($L84=1,OR($F84="",$F84="Open"),NOT(ISNUMBER($G84))),1,0)</f>
        <v/>
      </c>
      <c r="U84" s="32">
        <f>IF($L84=0,0,$M84-COUNTIFS(Runs!$B$6:$B$105,$A84,Runs!$N$6:$N$105,"Not run"))</f>
        <v/>
      </c>
      <c r="V84" s="32">
        <f>IF($L84=0,0,COUNTIFS(Runs!$B$6:$B$105,$A84,Runs!$N$6:$N$105,"Planned"))</f>
        <v/>
      </c>
      <c r="W84" s="32">
        <f>IF(AND($L84=1,OR($F84="",$F84="Open"),ISNUMBER($G84),ISNUMBER(MATCH($B84,Summary!$G$28:$G$34,0))),IF(ISNUMBER(INDEX(Summary!$H$28:$H$34,MATCH($B84,Summary!$G$28:$G$34,0))),IF($G84&lt;&gt;INDEX(Summary!$H$28:$H$34,MATCH($B84,Summary!$G$28:$G$34,0)),1,0),0),0)</f>
        <v/>
      </c>
    </row>
    <row r="85">
      <c r="A85" s="27" t="n"/>
      <c r="B85" s="28" t="n"/>
      <c r="C85" s="28" t="n"/>
      <c r="D85" s="28" t="n"/>
      <c r="E85" s="28" t="n"/>
      <c r="F85" s="27" t="n"/>
      <c r="G85" s="29" t="n"/>
      <c r="H85" s="30">
        <f>IF($L85=0,"",$M85)</f>
        <v/>
      </c>
      <c r="I85" s="31">
        <f>IF($N85=0,"",INDEX(Runs!$A$6:$A$105,$N85))</f>
        <v/>
      </c>
      <c r="J85" s="31">
        <f>IF($L85=0,"",IF($N85&gt;0,INDEX(Runs!$N$6:$N$105,$N85),IF(COUNTIFS(Runs!$B$6:$B$105,$A85,Runs!$N$6:$N$105,"Planned")&gt;0,"Planned","No run")))</f>
        <v/>
      </c>
      <c r="K85" s="19">
        <f>IF($L85=0,"",IF($O85+$P85+$Q85=0,"○ Clear",IF($O85=1,"△ No ID, or ID used twice",IF($P85=1,"△ Met with no passing run",IF($J85="Failed","△ Needed soon, failed, with no re-run booked","△ Needed soon, with no run booked")))&amp;IF($O85+$P85+$Q85&gt;1,", and "&amp;($O85+$P85+$Q85-1)&amp;" more",""))&amp;IF($R85=1,"  ◇ passed: the Owner can mark it Met","")&amp;IF($S85=1,"  ◇ a run is planned after Needed by","")&amp;IF($T85=1,"  ◇ no Needed by date","")&amp;IF($W85=1,"  ◇ Needed by isn't the gate map's Date",""))</f>
        <v/>
      </c>
      <c r="L85" s="32">
        <f>IF(COUNTA($A85:$G85)&gt;0,1,0)</f>
        <v/>
      </c>
      <c r="M85" s="32">
        <f>IF($L85=0,0,COUNTIF(Runs!$B$6:$B$105,$A85))</f>
        <v/>
      </c>
      <c r="N85" s="32">
        <f>IF($L85=0,0,IFERROR(MATCH($A85,Runs!$R$6:$R$105,0),0))</f>
        <v/>
      </c>
      <c r="O85" s="32">
        <f>IF($L85=0,0,IF(OR(TRIM($A85)="",COUNTIF($A$6:$A$105,$A85)&gt;1),1,0))</f>
        <v/>
      </c>
      <c r="P85" s="32">
        <f>IF($L85=0,0,IF(AND($F85="Met",$J85&lt;&gt;"Passed"),1,0))</f>
        <v/>
      </c>
      <c r="Q85" s="32">
        <f>IF(OR($L85=0,$F85="Met",$F85="Waived",NOT(ISNUMBER($G85))),0,IF(AND($G85&lt;=Summary!$B$12+N(Summary!$B$11),OR($U85=0,AND($J85="Failed",$V85=0))),1,0))</f>
        <v/>
      </c>
      <c r="R85" s="32">
        <f>IF(AND($L85=1,OR($F85="",$F85="Open"),$J85="Passed"),1,0)</f>
        <v/>
      </c>
      <c r="S85" s="32">
        <f>IF(AND($L85=1,ISNUMBER($G85)),IF(SUMPRODUCT((Runs!$B$6:$B$105=$A85)*(Runs!$N$6:$N$105="Planned")*(Runs!$C$6:$C$105&gt;$G85))&gt;0,1,0),0)</f>
        <v/>
      </c>
      <c r="T85" s="32">
        <f>IF(AND($L85=1,OR($F85="",$F85="Open"),NOT(ISNUMBER($G85))),1,0)</f>
        <v/>
      </c>
      <c r="U85" s="32">
        <f>IF($L85=0,0,$M85-COUNTIFS(Runs!$B$6:$B$105,$A85,Runs!$N$6:$N$105,"Not run"))</f>
        <v/>
      </c>
      <c r="V85" s="32">
        <f>IF($L85=0,0,COUNTIFS(Runs!$B$6:$B$105,$A85,Runs!$N$6:$N$105,"Planned"))</f>
        <v/>
      </c>
      <c r="W85" s="32">
        <f>IF(AND($L85=1,OR($F85="",$F85="Open"),ISNUMBER($G85),ISNUMBER(MATCH($B85,Summary!$G$28:$G$34,0))),IF(ISNUMBER(INDEX(Summary!$H$28:$H$34,MATCH($B85,Summary!$G$28:$G$34,0))),IF($G85&lt;&gt;INDEX(Summary!$H$28:$H$34,MATCH($B85,Summary!$G$28:$G$34,0)),1,0),0),0)</f>
        <v/>
      </c>
    </row>
    <row r="86">
      <c r="A86" s="27" t="n"/>
      <c r="B86" s="28" t="n"/>
      <c r="C86" s="28" t="n"/>
      <c r="D86" s="28" t="n"/>
      <c r="E86" s="28" t="n"/>
      <c r="F86" s="27" t="n"/>
      <c r="G86" s="29" t="n"/>
      <c r="H86" s="30">
        <f>IF($L86=0,"",$M86)</f>
        <v/>
      </c>
      <c r="I86" s="31">
        <f>IF($N86=0,"",INDEX(Runs!$A$6:$A$105,$N86))</f>
        <v/>
      </c>
      <c r="J86" s="31">
        <f>IF($L86=0,"",IF($N86&gt;0,INDEX(Runs!$N$6:$N$105,$N86),IF(COUNTIFS(Runs!$B$6:$B$105,$A86,Runs!$N$6:$N$105,"Planned")&gt;0,"Planned","No run")))</f>
        <v/>
      </c>
      <c r="K86" s="19">
        <f>IF($L86=0,"",IF($O86+$P86+$Q86=0,"○ Clear",IF($O86=1,"△ No ID, or ID used twice",IF($P86=1,"△ Met with no passing run",IF($J86="Failed","△ Needed soon, failed, with no re-run booked","△ Needed soon, with no run booked")))&amp;IF($O86+$P86+$Q86&gt;1,", and "&amp;($O86+$P86+$Q86-1)&amp;" more",""))&amp;IF($R86=1,"  ◇ passed: the Owner can mark it Met","")&amp;IF($S86=1,"  ◇ a run is planned after Needed by","")&amp;IF($T86=1,"  ◇ no Needed by date","")&amp;IF($W86=1,"  ◇ Needed by isn't the gate map's Date",""))</f>
        <v/>
      </c>
      <c r="L86" s="32">
        <f>IF(COUNTA($A86:$G86)&gt;0,1,0)</f>
        <v/>
      </c>
      <c r="M86" s="32">
        <f>IF($L86=0,0,COUNTIF(Runs!$B$6:$B$105,$A86))</f>
        <v/>
      </c>
      <c r="N86" s="32">
        <f>IF($L86=0,0,IFERROR(MATCH($A86,Runs!$R$6:$R$105,0),0))</f>
        <v/>
      </c>
      <c r="O86" s="32">
        <f>IF($L86=0,0,IF(OR(TRIM($A86)="",COUNTIF($A$6:$A$105,$A86)&gt;1),1,0))</f>
        <v/>
      </c>
      <c r="P86" s="32">
        <f>IF($L86=0,0,IF(AND($F86="Met",$J86&lt;&gt;"Passed"),1,0))</f>
        <v/>
      </c>
      <c r="Q86" s="32">
        <f>IF(OR($L86=0,$F86="Met",$F86="Waived",NOT(ISNUMBER($G86))),0,IF(AND($G86&lt;=Summary!$B$12+N(Summary!$B$11),OR($U86=0,AND($J86="Failed",$V86=0))),1,0))</f>
        <v/>
      </c>
      <c r="R86" s="32">
        <f>IF(AND($L86=1,OR($F86="",$F86="Open"),$J86="Passed"),1,0)</f>
        <v/>
      </c>
      <c r="S86" s="32">
        <f>IF(AND($L86=1,ISNUMBER($G86)),IF(SUMPRODUCT((Runs!$B$6:$B$105=$A86)*(Runs!$N$6:$N$105="Planned")*(Runs!$C$6:$C$105&gt;$G86))&gt;0,1,0),0)</f>
        <v/>
      </c>
      <c r="T86" s="32">
        <f>IF(AND($L86=1,OR($F86="",$F86="Open"),NOT(ISNUMBER($G86))),1,0)</f>
        <v/>
      </c>
      <c r="U86" s="32">
        <f>IF($L86=0,0,$M86-COUNTIFS(Runs!$B$6:$B$105,$A86,Runs!$N$6:$N$105,"Not run"))</f>
        <v/>
      </c>
      <c r="V86" s="32">
        <f>IF($L86=0,0,COUNTIFS(Runs!$B$6:$B$105,$A86,Runs!$N$6:$N$105,"Planned"))</f>
        <v/>
      </c>
      <c r="W86" s="32">
        <f>IF(AND($L86=1,OR($F86="",$F86="Open"),ISNUMBER($G86),ISNUMBER(MATCH($B86,Summary!$G$28:$G$34,0))),IF(ISNUMBER(INDEX(Summary!$H$28:$H$34,MATCH($B86,Summary!$G$28:$G$34,0))),IF($G86&lt;&gt;INDEX(Summary!$H$28:$H$34,MATCH($B86,Summary!$G$28:$G$34,0)),1,0),0),0)</f>
        <v/>
      </c>
    </row>
    <row r="87">
      <c r="A87" s="27" t="n"/>
      <c r="B87" s="28" t="n"/>
      <c r="C87" s="28" t="n"/>
      <c r="D87" s="28" t="n"/>
      <c r="E87" s="28" t="n"/>
      <c r="F87" s="27" t="n"/>
      <c r="G87" s="29" t="n"/>
      <c r="H87" s="30">
        <f>IF($L87=0,"",$M87)</f>
        <v/>
      </c>
      <c r="I87" s="31">
        <f>IF($N87=0,"",INDEX(Runs!$A$6:$A$105,$N87))</f>
        <v/>
      </c>
      <c r="J87" s="31">
        <f>IF($L87=0,"",IF($N87&gt;0,INDEX(Runs!$N$6:$N$105,$N87),IF(COUNTIFS(Runs!$B$6:$B$105,$A87,Runs!$N$6:$N$105,"Planned")&gt;0,"Planned","No run")))</f>
        <v/>
      </c>
      <c r="K87" s="19">
        <f>IF($L87=0,"",IF($O87+$P87+$Q87=0,"○ Clear",IF($O87=1,"△ No ID, or ID used twice",IF($P87=1,"△ Met with no passing run",IF($J87="Failed","△ Needed soon, failed, with no re-run booked","△ Needed soon, with no run booked")))&amp;IF($O87+$P87+$Q87&gt;1,", and "&amp;($O87+$P87+$Q87-1)&amp;" more",""))&amp;IF($R87=1,"  ◇ passed: the Owner can mark it Met","")&amp;IF($S87=1,"  ◇ a run is planned after Needed by","")&amp;IF($T87=1,"  ◇ no Needed by date","")&amp;IF($W87=1,"  ◇ Needed by isn't the gate map's Date",""))</f>
        <v/>
      </c>
      <c r="L87" s="32">
        <f>IF(COUNTA($A87:$G87)&gt;0,1,0)</f>
        <v/>
      </c>
      <c r="M87" s="32">
        <f>IF($L87=0,0,COUNTIF(Runs!$B$6:$B$105,$A87))</f>
        <v/>
      </c>
      <c r="N87" s="32">
        <f>IF($L87=0,0,IFERROR(MATCH($A87,Runs!$R$6:$R$105,0),0))</f>
        <v/>
      </c>
      <c r="O87" s="32">
        <f>IF($L87=0,0,IF(OR(TRIM($A87)="",COUNTIF($A$6:$A$105,$A87)&gt;1),1,0))</f>
        <v/>
      </c>
      <c r="P87" s="32">
        <f>IF($L87=0,0,IF(AND($F87="Met",$J87&lt;&gt;"Passed"),1,0))</f>
        <v/>
      </c>
      <c r="Q87" s="32">
        <f>IF(OR($L87=0,$F87="Met",$F87="Waived",NOT(ISNUMBER($G87))),0,IF(AND($G87&lt;=Summary!$B$12+N(Summary!$B$11),OR($U87=0,AND($J87="Failed",$V87=0))),1,0))</f>
        <v/>
      </c>
      <c r="R87" s="32">
        <f>IF(AND($L87=1,OR($F87="",$F87="Open"),$J87="Passed"),1,0)</f>
        <v/>
      </c>
      <c r="S87" s="32">
        <f>IF(AND($L87=1,ISNUMBER($G87)),IF(SUMPRODUCT((Runs!$B$6:$B$105=$A87)*(Runs!$N$6:$N$105="Planned")*(Runs!$C$6:$C$105&gt;$G87))&gt;0,1,0),0)</f>
        <v/>
      </c>
      <c r="T87" s="32">
        <f>IF(AND($L87=1,OR($F87="",$F87="Open"),NOT(ISNUMBER($G87))),1,0)</f>
        <v/>
      </c>
      <c r="U87" s="32">
        <f>IF($L87=0,0,$M87-COUNTIFS(Runs!$B$6:$B$105,$A87,Runs!$N$6:$N$105,"Not run"))</f>
        <v/>
      </c>
      <c r="V87" s="32">
        <f>IF($L87=0,0,COUNTIFS(Runs!$B$6:$B$105,$A87,Runs!$N$6:$N$105,"Planned"))</f>
        <v/>
      </c>
      <c r="W87" s="32">
        <f>IF(AND($L87=1,OR($F87="",$F87="Open"),ISNUMBER($G87),ISNUMBER(MATCH($B87,Summary!$G$28:$G$34,0))),IF(ISNUMBER(INDEX(Summary!$H$28:$H$34,MATCH($B87,Summary!$G$28:$G$34,0))),IF($G87&lt;&gt;INDEX(Summary!$H$28:$H$34,MATCH($B87,Summary!$G$28:$G$34,0)),1,0),0),0)</f>
        <v/>
      </c>
    </row>
    <row r="88">
      <c r="A88" s="27" t="n"/>
      <c r="B88" s="28" t="n"/>
      <c r="C88" s="28" t="n"/>
      <c r="D88" s="28" t="n"/>
      <c r="E88" s="28" t="n"/>
      <c r="F88" s="27" t="n"/>
      <c r="G88" s="29" t="n"/>
      <c r="H88" s="30">
        <f>IF($L88=0,"",$M88)</f>
        <v/>
      </c>
      <c r="I88" s="31">
        <f>IF($N88=0,"",INDEX(Runs!$A$6:$A$105,$N88))</f>
        <v/>
      </c>
      <c r="J88" s="31">
        <f>IF($L88=0,"",IF($N88&gt;0,INDEX(Runs!$N$6:$N$105,$N88),IF(COUNTIFS(Runs!$B$6:$B$105,$A88,Runs!$N$6:$N$105,"Planned")&gt;0,"Planned","No run")))</f>
        <v/>
      </c>
      <c r="K88" s="19">
        <f>IF($L88=0,"",IF($O88+$P88+$Q88=0,"○ Clear",IF($O88=1,"△ No ID, or ID used twice",IF($P88=1,"△ Met with no passing run",IF($J88="Failed","△ Needed soon, failed, with no re-run booked","△ Needed soon, with no run booked")))&amp;IF($O88+$P88+$Q88&gt;1,", and "&amp;($O88+$P88+$Q88-1)&amp;" more",""))&amp;IF($R88=1,"  ◇ passed: the Owner can mark it Met","")&amp;IF($S88=1,"  ◇ a run is planned after Needed by","")&amp;IF($T88=1,"  ◇ no Needed by date","")&amp;IF($W88=1,"  ◇ Needed by isn't the gate map's Date",""))</f>
        <v/>
      </c>
      <c r="L88" s="32">
        <f>IF(COUNTA($A88:$G88)&gt;0,1,0)</f>
        <v/>
      </c>
      <c r="M88" s="32">
        <f>IF($L88=0,0,COUNTIF(Runs!$B$6:$B$105,$A88))</f>
        <v/>
      </c>
      <c r="N88" s="32">
        <f>IF($L88=0,0,IFERROR(MATCH($A88,Runs!$R$6:$R$105,0),0))</f>
        <v/>
      </c>
      <c r="O88" s="32">
        <f>IF($L88=0,0,IF(OR(TRIM($A88)="",COUNTIF($A$6:$A$105,$A88)&gt;1),1,0))</f>
        <v/>
      </c>
      <c r="P88" s="32">
        <f>IF($L88=0,0,IF(AND($F88="Met",$J88&lt;&gt;"Passed"),1,0))</f>
        <v/>
      </c>
      <c r="Q88" s="32">
        <f>IF(OR($L88=0,$F88="Met",$F88="Waived",NOT(ISNUMBER($G88))),0,IF(AND($G88&lt;=Summary!$B$12+N(Summary!$B$11),OR($U88=0,AND($J88="Failed",$V88=0))),1,0))</f>
        <v/>
      </c>
      <c r="R88" s="32">
        <f>IF(AND($L88=1,OR($F88="",$F88="Open"),$J88="Passed"),1,0)</f>
        <v/>
      </c>
      <c r="S88" s="32">
        <f>IF(AND($L88=1,ISNUMBER($G88)),IF(SUMPRODUCT((Runs!$B$6:$B$105=$A88)*(Runs!$N$6:$N$105="Planned")*(Runs!$C$6:$C$105&gt;$G88))&gt;0,1,0),0)</f>
        <v/>
      </c>
      <c r="T88" s="32">
        <f>IF(AND($L88=1,OR($F88="",$F88="Open"),NOT(ISNUMBER($G88))),1,0)</f>
        <v/>
      </c>
      <c r="U88" s="32">
        <f>IF($L88=0,0,$M88-COUNTIFS(Runs!$B$6:$B$105,$A88,Runs!$N$6:$N$105,"Not run"))</f>
        <v/>
      </c>
      <c r="V88" s="32">
        <f>IF($L88=0,0,COUNTIFS(Runs!$B$6:$B$105,$A88,Runs!$N$6:$N$105,"Planned"))</f>
        <v/>
      </c>
      <c r="W88" s="32">
        <f>IF(AND($L88=1,OR($F88="",$F88="Open"),ISNUMBER($G88),ISNUMBER(MATCH($B88,Summary!$G$28:$G$34,0))),IF(ISNUMBER(INDEX(Summary!$H$28:$H$34,MATCH($B88,Summary!$G$28:$G$34,0))),IF($G88&lt;&gt;INDEX(Summary!$H$28:$H$34,MATCH($B88,Summary!$G$28:$G$34,0)),1,0),0),0)</f>
        <v/>
      </c>
    </row>
    <row r="89">
      <c r="A89" s="27" t="n"/>
      <c r="B89" s="28" t="n"/>
      <c r="C89" s="28" t="n"/>
      <c r="D89" s="28" t="n"/>
      <c r="E89" s="28" t="n"/>
      <c r="F89" s="27" t="n"/>
      <c r="G89" s="29" t="n"/>
      <c r="H89" s="30">
        <f>IF($L89=0,"",$M89)</f>
        <v/>
      </c>
      <c r="I89" s="31">
        <f>IF($N89=0,"",INDEX(Runs!$A$6:$A$105,$N89))</f>
        <v/>
      </c>
      <c r="J89" s="31">
        <f>IF($L89=0,"",IF($N89&gt;0,INDEX(Runs!$N$6:$N$105,$N89),IF(COUNTIFS(Runs!$B$6:$B$105,$A89,Runs!$N$6:$N$105,"Planned")&gt;0,"Planned","No run")))</f>
        <v/>
      </c>
      <c r="K89" s="19">
        <f>IF($L89=0,"",IF($O89+$P89+$Q89=0,"○ Clear",IF($O89=1,"△ No ID, or ID used twice",IF($P89=1,"△ Met with no passing run",IF($J89="Failed","△ Needed soon, failed, with no re-run booked","△ Needed soon, with no run booked")))&amp;IF($O89+$P89+$Q89&gt;1,", and "&amp;($O89+$P89+$Q89-1)&amp;" more",""))&amp;IF($R89=1,"  ◇ passed: the Owner can mark it Met","")&amp;IF($S89=1,"  ◇ a run is planned after Needed by","")&amp;IF($T89=1,"  ◇ no Needed by date","")&amp;IF($W89=1,"  ◇ Needed by isn't the gate map's Date",""))</f>
        <v/>
      </c>
      <c r="L89" s="32">
        <f>IF(COUNTA($A89:$G89)&gt;0,1,0)</f>
        <v/>
      </c>
      <c r="M89" s="32">
        <f>IF($L89=0,0,COUNTIF(Runs!$B$6:$B$105,$A89))</f>
        <v/>
      </c>
      <c r="N89" s="32">
        <f>IF($L89=0,0,IFERROR(MATCH($A89,Runs!$R$6:$R$105,0),0))</f>
        <v/>
      </c>
      <c r="O89" s="32">
        <f>IF($L89=0,0,IF(OR(TRIM($A89)="",COUNTIF($A$6:$A$105,$A89)&gt;1),1,0))</f>
        <v/>
      </c>
      <c r="P89" s="32">
        <f>IF($L89=0,0,IF(AND($F89="Met",$J89&lt;&gt;"Passed"),1,0))</f>
        <v/>
      </c>
      <c r="Q89" s="32">
        <f>IF(OR($L89=0,$F89="Met",$F89="Waived",NOT(ISNUMBER($G89))),0,IF(AND($G89&lt;=Summary!$B$12+N(Summary!$B$11),OR($U89=0,AND($J89="Failed",$V89=0))),1,0))</f>
        <v/>
      </c>
      <c r="R89" s="32">
        <f>IF(AND($L89=1,OR($F89="",$F89="Open"),$J89="Passed"),1,0)</f>
        <v/>
      </c>
      <c r="S89" s="32">
        <f>IF(AND($L89=1,ISNUMBER($G89)),IF(SUMPRODUCT((Runs!$B$6:$B$105=$A89)*(Runs!$N$6:$N$105="Planned")*(Runs!$C$6:$C$105&gt;$G89))&gt;0,1,0),0)</f>
        <v/>
      </c>
      <c r="T89" s="32">
        <f>IF(AND($L89=1,OR($F89="",$F89="Open"),NOT(ISNUMBER($G89))),1,0)</f>
        <v/>
      </c>
      <c r="U89" s="32">
        <f>IF($L89=0,0,$M89-COUNTIFS(Runs!$B$6:$B$105,$A89,Runs!$N$6:$N$105,"Not run"))</f>
        <v/>
      </c>
      <c r="V89" s="32">
        <f>IF($L89=0,0,COUNTIFS(Runs!$B$6:$B$105,$A89,Runs!$N$6:$N$105,"Planned"))</f>
        <v/>
      </c>
      <c r="W89" s="32">
        <f>IF(AND($L89=1,OR($F89="",$F89="Open"),ISNUMBER($G89),ISNUMBER(MATCH($B89,Summary!$G$28:$G$34,0))),IF(ISNUMBER(INDEX(Summary!$H$28:$H$34,MATCH($B89,Summary!$G$28:$G$34,0))),IF($G89&lt;&gt;INDEX(Summary!$H$28:$H$34,MATCH($B89,Summary!$G$28:$G$34,0)),1,0),0),0)</f>
        <v/>
      </c>
    </row>
    <row r="90">
      <c r="A90" s="27" t="n"/>
      <c r="B90" s="28" t="n"/>
      <c r="C90" s="28" t="n"/>
      <c r="D90" s="28" t="n"/>
      <c r="E90" s="28" t="n"/>
      <c r="F90" s="27" t="n"/>
      <c r="G90" s="29" t="n"/>
      <c r="H90" s="30">
        <f>IF($L90=0,"",$M90)</f>
        <v/>
      </c>
      <c r="I90" s="31">
        <f>IF($N90=0,"",INDEX(Runs!$A$6:$A$105,$N90))</f>
        <v/>
      </c>
      <c r="J90" s="31">
        <f>IF($L90=0,"",IF($N90&gt;0,INDEX(Runs!$N$6:$N$105,$N90),IF(COUNTIFS(Runs!$B$6:$B$105,$A90,Runs!$N$6:$N$105,"Planned")&gt;0,"Planned","No run")))</f>
        <v/>
      </c>
      <c r="K90" s="19">
        <f>IF($L90=0,"",IF($O90+$P90+$Q90=0,"○ Clear",IF($O90=1,"△ No ID, or ID used twice",IF($P90=1,"△ Met with no passing run",IF($J90="Failed","△ Needed soon, failed, with no re-run booked","△ Needed soon, with no run booked")))&amp;IF($O90+$P90+$Q90&gt;1,", and "&amp;($O90+$P90+$Q90-1)&amp;" more",""))&amp;IF($R90=1,"  ◇ passed: the Owner can mark it Met","")&amp;IF($S90=1,"  ◇ a run is planned after Needed by","")&amp;IF($T90=1,"  ◇ no Needed by date","")&amp;IF($W90=1,"  ◇ Needed by isn't the gate map's Date",""))</f>
        <v/>
      </c>
      <c r="L90" s="32">
        <f>IF(COUNTA($A90:$G90)&gt;0,1,0)</f>
        <v/>
      </c>
      <c r="M90" s="32">
        <f>IF($L90=0,0,COUNTIF(Runs!$B$6:$B$105,$A90))</f>
        <v/>
      </c>
      <c r="N90" s="32">
        <f>IF($L90=0,0,IFERROR(MATCH($A90,Runs!$R$6:$R$105,0),0))</f>
        <v/>
      </c>
      <c r="O90" s="32">
        <f>IF($L90=0,0,IF(OR(TRIM($A90)="",COUNTIF($A$6:$A$105,$A90)&gt;1),1,0))</f>
        <v/>
      </c>
      <c r="P90" s="32">
        <f>IF($L90=0,0,IF(AND($F90="Met",$J90&lt;&gt;"Passed"),1,0))</f>
        <v/>
      </c>
      <c r="Q90" s="32">
        <f>IF(OR($L90=0,$F90="Met",$F90="Waived",NOT(ISNUMBER($G90))),0,IF(AND($G90&lt;=Summary!$B$12+N(Summary!$B$11),OR($U90=0,AND($J90="Failed",$V90=0))),1,0))</f>
        <v/>
      </c>
      <c r="R90" s="32">
        <f>IF(AND($L90=1,OR($F90="",$F90="Open"),$J90="Passed"),1,0)</f>
        <v/>
      </c>
      <c r="S90" s="32">
        <f>IF(AND($L90=1,ISNUMBER($G90)),IF(SUMPRODUCT((Runs!$B$6:$B$105=$A90)*(Runs!$N$6:$N$105="Planned")*(Runs!$C$6:$C$105&gt;$G90))&gt;0,1,0),0)</f>
        <v/>
      </c>
      <c r="T90" s="32">
        <f>IF(AND($L90=1,OR($F90="",$F90="Open"),NOT(ISNUMBER($G90))),1,0)</f>
        <v/>
      </c>
      <c r="U90" s="32">
        <f>IF($L90=0,0,$M90-COUNTIFS(Runs!$B$6:$B$105,$A90,Runs!$N$6:$N$105,"Not run"))</f>
        <v/>
      </c>
      <c r="V90" s="32">
        <f>IF($L90=0,0,COUNTIFS(Runs!$B$6:$B$105,$A90,Runs!$N$6:$N$105,"Planned"))</f>
        <v/>
      </c>
      <c r="W90" s="32">
        <f>IF(AND($L90=1,OR($F90="",$F90="Open"),ISNUMBER($G90),ISNUMBER(MATCH($B90,Summary!$G$28:$G$34,0))),IF(ISNUMBER(INDEX(Summary!$H$28:$H$34,MATCH($B90,Summary!$G$28:$G$34,0))),IF($G90&lt;&gt;INDEX(Summary!$H$28:$H$34,MATCH($B90,Summary!$G$28:$G$34,0)),1,0),0),0)</f>
        <v/>
      </c>
    </row>
    <row r="91">
      <c r="A91" s="27" t="n"/>
      <c r="B91" s="28" t="n"/>
      <c r="C91" s="28" t="n"/>
      <c r="D91" s="28" t="n"/>
      <c r="E91" s="28" t="n"/>
      <c r="F91" s="27" t="n"/>
      <c r="G91" s="29" t="n"/>
      <c r="H91" s="30">
        <f>IF($L91=0,"",$M91)</f>
        <v/>
      </c>
      <c r="I91" s="31">
        <f>IF($N91=0,"",INDEX(Runs!$A$6:$A$105,$N91))</f>
        <v/>
      </c>
      <c r="J91" s="31">
        <f>IF($L91=0,"",IF($N91&gt;0,INDEX(Runs!$N$6:$N$105,$N91),IF(COUNTIFS(Runs!$B$6:$B$105,$A91,Runs!$N$6:$N$105,"Planned")&gt;0,"Planned","No run")))</f>
        <v/>
      </c>
      <c r="K91" s="19">
        <f>IF($L91=0,"",IF($O91+$P91+$Q91=0,"○ Clear",IF($O91=1,"△ No ID, or ID used twice",IF($P91=1,"△ Met with no passing run",IF($J91="Failed","△ Needed soon, failed, with no re-run booked","△ Needed soon, with no run booked")))&amp;IF($O91+$P91+$Q91&gt;1,", and "&amp;($O91+$P91+$Q91-1)&amp;" more",""))&amp;IF($R91=1,"  ◇ passed: the Owner can mark it Met","")&amp;IF($S91=1,"  ◇ a run is planned after Needed by","")&amp;IF($T91=1,"  ◇ no Needed by date","")&amp;IF($W91=1,"  ◇ Needed by isn't the gate map's Date",""))</f>
        <v/>
      </c>
      <c r="L91" s="32">
        <f>IF(COUNTA($A91:$G91)&gt;0,1,0)</f>
        <v/>
      </c>
      <c r="M91" s="32">
        <f>IF($L91=0,0,COUNTIF(Runs!$B$6:$B$105,$A91))</f>
        <v/>
      </c>
      <c r="N91" s="32">
        <f>IF($L91=0,0,IFERROR(MATCH($A91,Runs!$R$6:$R$105,0),0))</f>
        <v/>
      </c>
      <c r="O91" s="32">
        <f>IF($L91=0,0,IF(OR(TRIM($A91)="",COUNTIF($A$6:$A$105,$A91)&gt;1),1,0))</f>
        <v/>
      </c>
      <c r="P91" s="32">
        <f>IF($L91=0,0,IF(AND($F91="Met",$J91&lt;&gt;"Passed"),1,0))</f>
        <v/>
      </c>
      <c r="Q91" s="32">
        <f>IF(OR($L91=0,$F91="Met",$F91="Waived",NOT(ISNUMBER($G91))),0,IF(AND($G91&lt;=Summary!$B$12+N(Summary!$B$11),OR($U91=0,AND($J91="Failed",$V91=0))),1,0))</f>
        <v/>
      </c>
      <c r="R91" s="32">
        <f>IF(AND($L91=1,OR($F91="",$F91="Open"),$J91="Passed"),1,0)</f>
        <v/>
      </c>
      <c r="S91" s="32">
        <f>IF(AND($L91=1,ISNUMBER($G91)),IF(SUMPRODUCT((Runs!$B$6:$B$105=$A91)*(Runs!$N$6:$N$105="Planned")*(Runs!$C$6:$C$105&gt;$G91))&gt;0,1,0),0)</f>
        <v/>
      </c>
      <c r="T91" s="32">
        <f>IF(AND($L91=1,OR($F91="",$F91="Open"),NOT(ISNUMBER($G91))),1,0)</f>
        <v/>
      </c>
      <c r="U91" s="32">
        <f>IF($L91=0,0,$M91-COUNTIFS(Runs!$B$6:$B$105,$A91,Runs!$N$6:$N$105,"Not run"))</f>
        <v/>
      </c>
      <c r="V91" s="32">
        <f>IF($L91=0,0,COUNTIFS(Runs!$B$6:$B$105,$A91,Runs!$N$6:$N$105,"Planned"))</f>
        <v/>
      </c>
      <c r="W91" s="32">
        <f>IF(AND($L91=1,OR($F91="",$F91="Open"),ISNUMBER($G91),ISNUMBER(MATCH($B91,Summary!$G$28:$G$34,0))),IF(ISNUMBER(INDEX(Summary!$H$28:$H$34,MATCH($B91,Summary!$G$28:$G$34,0))),IF($G91&lt;&gt;INDEX(Summary!$H$28:$H$34,MATCH($B91,Summary!$G$28:$G$34,0)),1,0),0),0)</f>
        <v/>
      </c>
    </row>
    <row r="92">
      <c r="A92" s="27" t="n"/>
      <c r="B92" s="28" t="n"/>
      <c r="C92" s="28" t="n"/>
      <c r="D92" s="28" t="n"/>
      <c r="E92" s="28" t="n"/>
      <c r="F92" s="27" t="n"/>
      <c r="G92" s="29" t="n"/>
      <c r="H92" s="30">
        <f>IF($L92=0,"",$M92)</f>
        <v/>
      </c>
      <c r="I92" s="31">
        <f>IF($N92=0,"",INDEX(Runs!$A$6:$A$105,$N92))</f>
        <v/>
      </c>
      <c r="J92" s="31">
        <f>IF($L92=0,"",IF($N92&gt;0,INDEX(Runs!$N$6:$N$105,$N92),IF(COUNTIFS(Runs!$B$6:$B$105,$A92,Runs!$N$6:$N$105,"Planned")&gt;0,"Planned","No run")))</f>
        <v/>
      </c>
      <c r="K92" s="19">
        <f>IF($L92=0,"",IF($O92+$P92+$Q92=0,"○ Clear",IF($O92=1,"△ No ID, or ID used twice",IF($P92=1,"△ Met with no passing run",IF($J92="Failed","△ Needed soon, failed, with no re-run booked","△ Needed soon, with no run booked")))&amp;IF($O92+$P92+$Q92&gt;1,", and "&amp;($O92+$P92+$Q92-1)&amp;" more",""))&amp;IF($R92=1,"  ◇ passed: the Owner can mark it Met","")&amp;IF($S92=1,"  ◇ a run is planned after Needed by","")&amp;IF($T92=1,"  ◇ no Needed by date","")&amp;IF($W92=1,"  ◇ Needed by isn't the gate map's Date",""))</f>
        <v/>
      </c>
      <c r="L92" s="32">
        <f>IF(COUNTA($A92:$G92)&gt;0,1,0)</f>
        <v/>
      </c>
      <c r="M92" s="32">
        <f>IF($L92=0,0,COUNTIF(Runs!$B$6:$B$105,$A92))</f>
        <v/>
      </c>
      <c r="N92" s="32">
        <f>IF($L92=0,0,IFERROR(MATCH($A92,Runs!$R$6:$R$105,0),0))</f>
        <v/>
      </c>
      <c r="O92" s="32">
        <f>IF($L92=0,0,IF(OR(TRIM($A92)="",COUNTIF($A$6:$A$105,$A92)&gt;1),1,0))</f>
        <v/>
      </c>
      <c r="P92" s="32">
        <f>IF($L92=0,0,IF(AND($F92="Met",$J92&lt;&gt;"Passed"),1,0))</f>
        <v/>
      </c>
      <c r="Q92" s="32">
        <f>IF(OR($L92=0,$F92="Met",$F92="Waived",NOT(ISNUMBER($G92))),0,IF(AND($G92&lt;=Summary!$B$12+N(Summary!$B$11),OR($U92=0,AND($J92="Failed",$V92=0))),1,0))</f>
        <v/>
      </c>
      <c r="R92" s="32">
        <f>IF(AND($L92=1,OR($F92="",$F92="Open"),$J92="Passed"),1,0)</f>
        <v/>
      </c>
      <c r="S92" s="32">
        <f>IF(AND($L92=1,ISNUMBER($G92)),IF(SUMPRODUCT((Runs!$B$6:$B$105=$A92)*(Runs!$N$6:$N$105="Planned")*(Runs!$C$6:$C$105&gt;$G92))&gt;0,1,0),0)</f>
        <v/>
      </c>
      <c r="T92" s="32">
        <f>IF(AND($L92=1,OR($F92="",$F92="Open"),NOT(ISNUMBER($G92))),1,0)</f>
        <v/>
      </c>
      <c r="U92" s="32">
        <f>IF($L92=0,0,$M92-COUNTIFS(Runs!$B$6:$B$105,$A92,Runs!$N$6:$N$105,"Not run"))</f>
        <v/>
      </c>
      <c r="V92" s="32">
        <f>IF($L92=0,0,COUNTIFS(Runs!$B$6:$B$105,$A92,Runs!$N$6:$N$105,"Planned"))</f>
        <v/>
      </c>
      <c r="W92" s="32">
        <f>IF(AND($L92=1,OR($F92="",$F92="Open"),ISNUMBER($G92),ISNUMBER(MATCH($B92,Summary!$G$28:$G$34,0))),IF(ISNUMBER(INDEX(Summary!$H$28:$H$34,MATCH($B92,Summary!$G$28:$G$34,0))),IF($G92&lt;&gt;INDEX(Summary!$H$28:$H$34,MATCH($B92,Summary!$G$28:$G$34,0)),1,0),0),0)</f>
        <v/>
      </c>
    </row>
    <row r="93">
      <c r="A93" s="27" t="n"/>
      <c r="B93" s="28" t="n"/>
      <c r="C93" s="28" t="n"/>
      <c r="D93" s="28" t="n"/>
      <c r="E93" s="28" t="n"/>
      <c r="F93" s="27" t="n"/>
      <c r="G93" s="29" t="n"/>
      <c r="H93" s="30">
        <f>IF($L93=0,"",$M93)</f>
        <v/>
      </c>
      <c r="I93" s="31">
        <f>IF($N93=0,"",INDEX(Runs!$A$6:$A$105,$N93))</f>
        <v/>
      </c>
      <c r="J93" s="31">
        <f>IF($L93=0,"",IF($N93&gt;0,INDEX(Runs!$N$6:$N$105,$N93),IF(COUNTIFS(Runs!$B$6:$B$105,$A93,Runs!$N$6:$N$105,"Planned")&gt;0,"Planned","No run")))</f>
        <v/>
      </c>
      <c r="K93" s="19">
        <f>IF($L93=0,"",IF($O93+$P93+$Q93=0,"○ Clear",IF($O93=1,"△ No ID, or ID used twice",IF($P93=1,"△ Met with no passing run",IF($J93="Failed","△ Needed soon, failed, with no re-run booked","△ Needed soon, with no run booked")))&amp;IF($O93+$P93+$Q93&gt;1,", and "&amp;($O93+$P93+$Q93-1)&amp;" more",""))&amp;IF($R93=1,"  ◇ passed: the Owner can mark it Met","")&amp;IF($S93=1,"  ◇ a run is planned after Needed by","")&amp;IF($T93=1,"  ◇ no Needed by date","")&amp;IF($W93=1,"  ◇ Needed by isn't the gate map's Date",""))</f>
        <v/>
      </c>
      <c r="L93" s="32">
        <f>IF(COUNTA($A93:$G93)&gt;0,1,0)</f>
        <v/>
      </c>
      <c r="M93" s="32">
        <f>IF($L93=0,0,COUNTIF(Runs!$B$6:$B$105,$A93))</f>
        <v/>
      </c>
      <c r="N93" s="32">
        <f>IF($L93=0,0,IFERROR(MATCH($A93,Runs!$R$6:$R$105,0),0))</f>
        <v/>
      </c>
      <c r="O93" s="32">
        <f>IF($L93=0,0,IF(OR(TRIM($A93)="",COUNTIF($A$6:$A$105,$A93)&gt;1),1,0))</f>
        <v/>
      </c>
      <c r="P93" s="32">
        <f>IF($L93=0,0,IF(AND($F93="Met",$J93&lt;&gt;"Passed"),1,0))</f>
        <v/>
      </c>
      <c r="Q93" s="32">
        <f>IF(OR($L93=0,$F93="Met",$F93="Waived",NOT(ISNUMBER($G93))),0,IF(AND($G93&lt;=Summary!$B$12+N(Summary!$B$11),OR($U93=0,AND($J93="Failed",$V93=0))),1,0))</f>
        <v/>
      </c>
      <c r="R93" s="32">
        <f>IF(AND($L93=1,OR($F93="",$F93="Open"),$J93="Passed"),1,0)</f>
        <v/>
      </c>
      <c r="S93" s="32">
        <f>IF(AND($L93=1,ISNUMBER($G93)),IF(SUMPRODUCT((Runs!$B$6:$B$105=$A93)*(Runs!$N$6:$N$105="Planned")*(Runs!$C$6:$C$105&gt;$G93))&gt;0,1,0),0)</f>
        <v/>
      </c>
      <c r="T93" s="32">
        <f>IF(AND($L93=1,OR($F93="",$F93="Open"),NOT(ISNUMBER($G93))),1,0)</f>
        <v/>
      </c>
      <c r="U93" s="32">
        <f>IF($L93=0,0,$M93-COUNTIFS(Runs!$B$6:$B$105,$A93,Runs!$N$6:$N$105,"Not run"))</f>
        <v/>
      </c>
      <c r="V93" s="32">
        <f>IF($L93=0,0,COUNTIFS(Runs!$B$6:$B$105,$A93,Runs!$N$6:$N$105,"Planned"))</f>
        <v/>
      </c>
      <c r="W93" s="32">
        <f>IF(AND($L93=1,OR($F93="",$F93="Open"),ISNUMBER($G93),ISNUMBER(MATCH($B93,Summary!$G$28:$G$34,0))),IF(ISNUMBER(INDEX(Summary!$H$28:$H$34,MATCH($B93,Summary!$G$28:$G$34,0))),IF($G93&lt;&gt;INDEX(Summary!$H$28:$H$34,MATCH($B93,Summary!$G$28:$G$34,0)),1,0),0),0)</f>
        <v/>
      </c>
    </row>
    <row r="94">
      <c r="A94" s="27" t="n"/>
      <c r="B94" s="28" t="n"/>
      <c r="C94" s="28" t="n"/>
      <c r="D94" s="28" t="n"/>
      <c r="E94" s="28" t="n"/>
      <c r="F94" s="27" t="n"/>
      <c r="G94" s="29" t="n"/>
      <c r="H94" s="30">
        <f>IF($L94=0,"",$M94)</f>
        <v/>
      </c>
      <c r="I94" s="31">
        <f>IF($N94=0,"",INDEX(Runs!$A$6:$A$105,$N94))</f>
        <v/>
      </c>
      <c r="J94" s="31">
        <f>IF($L94=0,"",IF($N94&gt;0,INDEX(Runs!$N$6:$N$105,$N94),IF(COUNTIFS(Runs!$B$6:$B$105,$A94,Runs!$N$6:$N$105,"Planned")&gt;0,"Planned","No run")))</f>
        <v/>
      </c>
      <c r="K94" s="19">
        <f>IF($L94=0,"",IF($O94+$P94+$Q94=0,"○ Clear",IF($O94=1,"△ No ID, or ID used twice",IF($P94=1,"△ Met with no passing run",IF($J94="Failed","△ Needed soon, failed, with no re-run booked","△ Needed soon, with no run booked")))&amp;IF($O94+$P94+$Q94&gt;1,", and "&amp;($O94+$P94+$Q94-1)&amp;" more",""))&amp;IF($R94=1,"  ◇ passed: the Owner can mark it Met","")&amp;IF($S94=1,"  ◇ a run is planned after Needed by","")&amp;IF($T94=1,"  ◇ no Needed by date","")&amp;IF($W94=1,"  ◇ Needed by isn't the gate map's Date",""))</f>
        <v/>
      </c>
      <c r="L94" s="32">
        <f>IF(COUNTA($A94:$G94)&gt;0,1,0)</f>
        <v/>
      </c>
      <c r="M94" s="32">
        <f>IF($L94=0,0,COUNTIF(Runs!$B$6:$B$105,$A94))</f>
        <v/>
      </c>
      <c r="N94" s="32">
        <f>IF($L94=0,0,IFERROR(MATCH($A94,Runs!$R$6:$R$105,0),0))</f>
        <v/>
      </c>
      <c r="O94" s="32">
        <f>IF($L94=0,0,IF(OR(TRIM($A94)="",COUNTIF($A$6:$A$105,$A94)&gt;1),1,0))</f>
        <v/>
      </c>
      <c r="P94" s="32">
        <f>IF($L94=0,0,IF(AND($F94="Met",$J94&lt;&gt;"Passed"),1,0))</f>
        <v/>
      </c>
      <c r="Q94" s="32">
        <f>IF(OR($L94=0,$F94="Met",$F94="Waived",NOT(ISNUMBER($G94))),0,IF(AND($G94&lt;=Summary!$B$12+N(Summary!$B$11),OR($U94=0,AND($J94="Failed",$V94=0))),1,0))</f>
        <v/>
      </c>
      <c r="R94" s="32">
        <f>IF(AND($L94=1,OR($F94="",$F94="Open"),$J94="Passed"),1,0)</f>
        <v/>
      </c>
      <c r="S94" s="32">
        <f>IF(AND($L94=1,ISNUMBER($G94)),IF(SUMPRODUCT((Runs!$B$6:$B$105=$A94)*(Runs!$N$6:$N$105="Planned")*(Runs!$C$6:$C$105&gt;$G94))&gt;0,1,0),0)</f>
        <v/>
      </c>
      <c r="T94" s="32">
        <f>IF(AND($L94=1,OR($F94="",$F94="Open"),NOT(ISNUMBER($G94))),1,0)</f>
        <v/>
      </c>
      <c r="U94" s="32">
        <f>IF($L94=0,0,$M94-COUNTIFS(Runs!$B$6:$B$105,$A94,Runs!$N$6:$N$105,"Not run"))</f>
        <v/>
      </c>
      <c r="V94" s="32">
        <f>IF($L94=0,0,COUNTIFS(Runs!$B$6:$B$105,$A94,Runs!$N$6:$N$105,"Planned"))</f>
        <v/>
      </c>
      <c r="W94" s="32">
        <f>IF(AND($L94=1,OR($F94="",$F94="Open"),ISNUMBER($G94),ISNUMBER(MATCH($B94,Summary!$G$28:$G$34,0))),IF(ISNUMBER(INDEX(Summary!$H$28:$H$34,MATCH($B94,Summary!$G$28:$G$34,0))),IF($G94&lt;&gt;INDEX(Summary!$H$28:$H$34,MATCH($B94,Summary!$G$28:$G$34,0)),1,0),0),0)</f>
        <v/>
      </c>
    </row>
    <row r="95">
      <c r="A95" s="27" t="n"/>
      <c r="B95" s="28" t="n"/>
      <c r="C95" s="28" t="n"/>
      <c r="D95" s="28" t="n"/>
      <c r="E95" s="28" t="n"/>
      <c r="F95" s="27" t="n"/>
      <c r="G95" s="29" t="n"/>
      <c r="H95" s="30">
        <f>IF($L95=0,"",$M95)</f>
        <v/>
      </c>
      <c r="I95" s="31">
        <f>IF($N95=0,"",INDEX(Runs!$A$6:$A$105,$N95))</f>
        <v/>
      </c>
      <c r="J95" s="31">
        <f>IF($L95=0,"",IF($N95&gt;0,INDEX(Runs!$N$6:$N$105,$N95),IF(COUNTIFS(Runs!$B$6:$B$105,$A95,Runs!$N$6:$N$105,"Planned")&gt;0,"Planned","No run")))</f>
        <v/>
      </c>
      <c r="K95" s="19">
        <f>IF($L95=0,"",IF($O95+$P95+$Q95=0,"○ Clear",IF($O95=1,"△ No ID, or ID used twice",IF($P95=1,"△ Met with no passing run",IF($J95="Failed","△ Needed soon, failed, with no re-run booked","△ Needed soon, with no run booked")))&amp;IF($O95+$P95+$Q95&gt;1,", and "&amp;($O95+$P95+$Q95-1)&amp;" more",""))&amp;IF($R95=1,"  ◇ passed: the Owner can mark it Met","")&amp;IF($S95=1,"  ◇ a run is planned after Needed by","")&amp;IF($T95=1,"  ◇ no Needed by date","")&amp;IF($W95=1,"  ◇ Needed by isn't the gate map's Date",""))</f>
        <v/>
      </c>
      <c r="L95" s="32">
        <f>IF(COUNTA($A95:$G95)&gt;0,1,0)</f>
        <v/>
      </c>
      <c r="M95" s="32">
        <f>IF($L95=0,0,COUNTIF(Runs!$B$6:$B$105,$A95))</f>
        <v/>
      </c>
      <c r="N95" s="32">
        <f>IF($L95=0,0,IFERROR(MATCH($A95,Runs!$R$6:$R$105,0),0))</f>
        <v/>
      </c>
      <c r="O95" s="32">
        <f>IF($L95=0,0,IF(OR(TRIM($A95)="",COUNTIF($A$6:$A$105,$A95)&gt;1),1,0))</f>
        <v/>
      </c>
      <c r="P95" s="32">
        <f>IF($L95=0,0,IF(AND($F95="Met",$J95&lt;&gt;"Passed"),1,0))</f>
        <v/>
      </c>
      <c r="Q95" s="32">
        <f>IF(OR($L95=0,$F95="Met",$F95="Waived",NOT(ISNUMBER($G95))),0,IF(AND($G95&lt;=Summary!$B$12+N(Summary!$B$11),OR($U95=0,AND($J95="Failed",$V95=0))),1,0))</f>
        <v/>
      </c>
      <c r="R95" s="32">
        <f>IF(AND($L95=1,OR($F95="",$F95="Open"),$J95="Passed"),1,0)</f>
        <v/>
      </c>
      <c r="S95" s="32">
        <f>IF(AND($L95=1,ISNUMBER($G95)),IF(SUMPRODUCT((Runs!$B$6:$B$105=$A95)*(Runs!$N$6:$N$105="Planned")*(Runs!$C$6:$C$105&gt;$G95))&gt;0,1,0),0)</f>
        <v/>
      </c>
      <c r="T95" s="32">
        <f>IF(AND($L95=1,OR($F95="",$F95="Open"),NOT(ISNUMBER($G95))),1,0)</f>
        <v/>
      </c>
      <c r="U95" s="32">
        <f>IF($L95=0,0,$M95-COUNTIFS(Runs!$B$6:$B$105,$A95,Runs!$N$6:$N$105,"Not run"))</f>
        <v/>
      </c>
      <c r="V95" s="32">
        <f>IF($L95=0,0,COUNTIFS(Runs!$B$6:$B$105,$A95,Runs!$N$6:$N$105,"Planned"))</f>
        <v/>
      </c>
      <c r="W95" s="32">
        <f>IF(AND($L95=1,OR($F95="",$F95="Open"),ISNUMBER($G95),ISNUMBER(MATCH($B95,Summary!$G$28:$G$34,0))),IF(ISNUMBER(INDEX(Summary!$H$28:$H$34,MATCH($B95,Summary!$G$28:$G$34,0))),IF($G95&lt;&gt;INDEX(Summary!$H$28:$H$34,MATCH($B95,Summary!$G$28:$G$34,0)),1,0),0),0)</f>
        <v/>
      </c>
    </row>
    <row r="96">
      <c r="A96" s="27" t="n"/>
      <c r="B96" s="28" t="n"/>
      <c r="C96" s="28" t="n"/>
      <c r="D96" s="28" t="n"/>
      <c r="E96" s="28" t="n"/>
      <c r="F96" s="27" t="n"/>
      <c r="G96" s="29" t="n"/>
      <c r="H96" s="30">
        <f>IF($L96=0,"",$M96)</f>
        <v/>
      </c>
      <c r="I96" s="31">
        <f>IF($N96=0,"",INDEX(Runs!$A$6:$A$105,$N96))</f>
        <v/>
      </c>
      <c r="J96" s="31">
        <f>IF($L96=0,"",IF($N96&gt;0,INDEX(Runs!$N$6:$N$105,$N96),IF(COUNTIFS(Runs!$B$6:$B$105,$A96,Runs!$N$6:$N$105,"Planned")&gt;0,"Planned","No run")))</f>
        <v/>
      </c>
      <c r="K96" s="19">
        <f>IF($L96=0,"",IF($O96+$P96+$Q96=0,"○ Clear",IF($O96=1,"△ No ID, or ID used twice",IF($P96=1,"△ Met with no passing run",IF($J96="Failed","△ Needed soon, failed, with no re-run booked","△ Needed soon, with no run booked")))&amp;IF($O96+$P96+$Q96&gt;1,", and "&amp;($O96+$P96+$Q96-1)&amp;" more",""))&amp;IF($R96=1,"  ◇ passed: the Owner can mark it Met","")&amp;IF($S96=1,"  ◇ a run is planned after Needed by","")&amp;IF($T96=1,"  ◇ no Needed by date","")&amp;IF($W96=1,"  ◇ Needed by isn't the gate map's Date",""))</f>
        <v/>
      </c>
      <c r="L96" s="32">
        <f>IF(COUNTA($A96:$G96)&gt;0,1,0)</f>
        <v/>
      </c>
      <c r="M96" s="32">
        <f>IF($L96=0,0,COUNTIF(Runs!$B$6:$B$105,$A96))</f>
        <v/>
      </c>
      <c r="N96" s="32">
        <f>IF($L96=0,0,IFERROR(MATCH($A96,Runs!$R$6:$R$105,0),0))</f>
        <v/>
      </c>
      <c r="O96" s="32">
        <f>IF($L96=0,0,IF(OR(TRIM($A96)="",COUNTIF($A$6:$A$105,$A96)&gt;1),1,0))</f>
        <v/>
      </c>
      <c r="P96" s="32">
        <f>IF($L96=0,0,IF(AND($F96="Met",$J96&lt;&gt;"Passed"),1,0))</f>
        <v/>
      </c>
      <c r="Q96" s="32">
        <f>IF(OR($L96=0,$F96="Met",$F96="Waived",NOT(ISNUMBER($G96))),0,IF(AND($G96&lt;=Summary!$B$12+N(Summary!$B$11),OR($U96=0,AND($J96="Failed",$V96=0))),1,0))</f>
        <v/>
      </c>
      <c r="R96" s="32">
        <f>IF(AND($L96=1,OR($F96="",$F96="Open"),$J96="Passed"),1,0)</f>
        <v/>
      </c>
      <c r="S96" s="32">
        <f>IF(AND($L96=1,ISNUMBER($G96)),IF(SUMPRODUCT((Runs!$B$6:$B$105=$A96)*(Runs!$N$6:$N$105="Planned")*(Runs!$C$6:$C$105&gt;$G96))&gt;0,1,0),0)</f>
        <v/>
      </c>
      <c r="T96" s="32">
        <f>IF(AND($L96=1,OR($F96="",$F96="Open"),NOT(ISNUMBER($G96))),1,0)</f>
        <v/>
      </c>
      <c r="U96" s="32">
        <f>IF($L96=0,0,$M96-COUNTIFS(Runs!$B$6:$B$105,$A96,Runs!$N$6:$N$105,"Not run"))</f>
        <v/>
      </c>
      <c r="V96" s="32">
        <f>IF($L96=0,0,COUNTIFS(Runs!$B$6:$B$105,$A96,Runs!$N$6:$N$105,"Planned"))</f>
        <v/>
      </c>
      <c r="W96" s="32">
        <f>IF(AND($L96=1,OR($F96="",$F96="Open"),ISNUMBER($G96),ISNUMBER(MATCH($B96,Summary!$G$28:$G$34,0))),IF(ISNUMBER(INDEX(Summary!$H$28:$H$34,MATCH($B96,Summary!$G$28:$G$34,0))),IF($G96&lt;&gt;INDEX(Summary!$H$28:$H$34,MATCH($B96,Summary!$G$28:$G$34,0)),1,0),0),0)</f>
        <v/>
      </c>
    </row>
    <row r="97">
      <c r="A97" s="27" t="n"/>
      <c r="B97" s="28" t="n"/>
      <c r="C97" s="28" t="n"/>
      <c r="D97" s="28" t="n"/>
      <c r="E97" s="28" t="n"/>
      <c r="F97" s="27" t="n"/>
      <c r="G97" s="29" t="n"/>
      <c r="H97" s="30">
        <f>IF($L97=0,"",$M97)</f>
        <v/>
      </c>
      <c r="I97" s="31">
        <f>IF($N97=0,"",INDEX(Runs!$A$6:$A$105,$N97))</f>
        <v/>
      </c>
      <c r="J97" s="31">
        <f>IF($L97=0,"",IF($N97&gt;0,INDEX(Runs!$N$6:$N$105,$N97),IF(COUNTIFS(Runs!$B$6:$B$105,$A97,Runs!$N$6:$N$105,"Planned")&gt;0,"Planned","No run")))</f>
        <v/>
      </c>
      <c r="K97" s="19">
        <f>IF($L97=0,"",IF($O97+$P97+$Q97=0,"○ Clear",IF($O97=1,"△ No ID, or ID used twice",IF($P97=1,"△ Met with no passing run",IF($J97="Failed","△ Needed soon, failed, with no re-run booked","△ Needed soon, with no run booked")))&amp;IF($O97+$P97+$Q97&gt;1,", and "&amp;($O97+$P97+$Q97-1)&amp;" more",""))&amp;IF($R97=1,"  ◇ passed: the Owner can mark it Met","")&amp;IF($S97=1,"  ◇ a run is planned after Needed by","")&amp;IF($T97=1,"  ◇ no Needed by date","")&amp;IF($W97=1,"  ◇ Needed by isn't the gate map's Date",""))</f>
        <v/>
      </c>
      <c r="L97" s="32">
        <f>IF(COUNTA($A97:$G97)&gt;0,1,0)</f>
        <v/>
      </c>
      <c r="M97" s="32">
        <f>IF($L97=0,0,COUNTIF(Runs!$B$6:$B$105,$A97))</f>
        <v/>
      </c>
      <c r="N97" s="32">
        <f>IF($L97=0,0,IFERROR(MATCH($A97,Runs!$R$6:$R$105,0),0))</f>
        <v/>
      </c>
      <c r="O97" s="32">
        <f>IF($L97=0,0,IF(OR(TRIM($A97)="",COUNTIF($A$6:$A$105,$A97)&gt;1),1,0))</f>
        <v/>
      </c>
      <c r="P97" s="32">
        <f>IF($L97=0,0,IF(AND($F97="Met",$J97&lt;&gt;"Passed"),1,0))</f>
        <v/>
      </c>
      <c r="Q97" s="32">
        <f>IF(OR($L97=0,$F97="Met",$F97="Waived",NOT(ISNUMBER($G97))),0,IF(AND($G97&lt;=Summary!$B$12+N(Summary!$B$11),OR($U97=0,AND($J97="Failed",$V97=0))),1,0))</f>
        <v/>
      </c>
      <c r="R97" s="32">
        <f>IF(AND($L97=1,OR($F97="",$F97="Open"),$J97="Passed"),1,0)</f>
        <v/>
      </c>
      <c r="S97" s="32">
        <f>IF(AND($L97=1,ISNUMBER($G97)),IF(SUMPRODUCT((Runs!$B$6:$B$105=$A97)*(Runs!$N$6:$N$105="Planned")*(Runs!$C$6:$C$105&gt;$G97))&gt;0,1,0),0)</f>
        <v/>
      </c>
      <c r="T97" s="32">
        <f>IF(AND($L97=1,OR($F97="",$F97="Open"),NOT(ISNUMBER($G97))),1,0)</f>
        <v/>
      </c>
      <c r="U97" s="32">
        <f>IF($L97=0,0,$M97-COUNTIFS(Runs!$B$6:$B$105,$A97,Runs!$N$6:$N$105,"Not run"))</f>
        <v/>
      </c>
      <c r="V97" s="32">
        <f>IF($L97=0,0,COUNTIFS(Runs!$B$6:$B$105,$A97,Runs!$N$6:$N$105,"Planned"))</f>
        <v/>
      </c>
      <c r="W97" s="32">
        <f>IF(AND($L97=1,OR($F97="",$F97="Open"),ISNUMBER($G97),ISNUMBER(MATCH($B97,Summary!$G$28:$G$34,0))),IF(ISNUMBER(INDEX(Summary!$H$28:$H$34,MATCH($B97,Summary!$G$28:$G$34,0))),IF($G97&lt;&gt;INDEX(Summary!$H$28:$H$34,MATCH($B97,Summary!$G$28:$G$34,0)),1,0),0),0)</f>
        <v/>
      </c>
    </row>
    <row r="98">
      <c r="A98" s="27" t="n"/>
      <c r="B98" s="28" t="n"/>
      <c r="C98" s="28" t="n"/>
      <c r="D98" s="28" t="n"/>
      <c r="E98" s="28" t="n"/>
      <c r="F98" s="27" t="n"/>
      <c r="G98" s="29" t="n"/>
      <c r="H98" s="30">
        <f>IF($L98=0,"",$M98)</f>
        <v/>
      </c>
      <c r="I98" s="31">
        <f>IF($N98=0,"",INDEX(Runs!$A$6:$A$105,$N98))</f>
        <v/>
      </c>
      <c r="J98" s="31">
        <f>IF($L98=0,"",IF($N98&gt;0,INDEX(Runs!$N$6:$N$105,$N98),IF(COUNTIFS(Runs!$B$6:$B$105,$A98,Runs!$N$6:$N$105,"Planned")&gt;0,"Planned","No run")))</f>
        <v/>
      </c>
      <c r="K98" s="19">
        <f>IF($L98=0,"",IF($O98+$P98+$Q98=0,"○ Clear",IF($O98=1,"△ No ID, or ID used twice",IF($P98=1,"△ Met with no passing run",IF($J98="Failed","△ Needed soon, failed, with no re-run booked","△ Needed soon, with no run booked")))&amp;IF($O98+$P98+$Q98&gt;1,", and "&amp;($O98+$P98+$Q98-1)&amp;" more",""))&amp;IF($R98=1,"  ◇ passed: the Owner can mark it Met","")&amp;IF($S98=1,"  ◇ a run is planned after Needed by","")&amp;IF($T98=1,"  ◇ no Needed by date","")&amp;IF($W98=1,"  ◇ Needed by isn't the gate map's Date",""))</f>
        <v/>
      </c>
      <c r="L98" s="32">
        <f>IF(COUNTA($A98:$G98)&gt;0,1,0)</f>
        <v/>
      </c>
      <c r="M98" s="32">
        <f>IF($L98=0,0,COUNTIF(Runs!$B$6:$B$105,$A98))</f>
        <v/>
      </c>
      <c r="N98" s="32">
        <f>IF($L98=0,0,IFERROR(MATCH($A98,Runs!$R$6:$R$105,0),0))</f>
        <v/>
      </c>
      <c r="O98" s="32">
        <f>IF($L98=0,0,IF(OR(TRIM($A98)="",COUNTIF($A$6:$A$105,$A98)&gt;1),1,0))</f>
        <v/>
      </c>
      <c r="P98" s="32">
        <f>IF($L98=0,0,IF(AND($F98="Met",$J98&lt;&gt;"Passed"),1,0))</f>
        <v/>
      </c>
      <c r="Q98" s="32">
        <f>IF(OR($L98=0,$F98="Met",$F98="Waived",NOT(ISNUMBER($G98))),0,IF(AND($G98&lt;=Summary!$B$12+N(Summary!$B$11),OR($U98=0,AND($J98="Failed",$V98=0))),1,0))</f>
        <v/>
      </c>
      <c r="R98" s="32">
        <f>IF(AND($L98=1,OR($F98="",$F98="Open"),$J98="Passed"),1,0)</f>
        <v/>
      </c>
      <c r="S98" s="32">
        <f>IF(AND($L98=1,ISNUMBER($G98)),IF(SUMPRODUCT((Runs!$B$6:$B$105=$A98)*(Runs!$N$6:$N$105="Planned")*(Runs!$C$6:$C$105&gt;$G98))&gt;0,1,0),0)</f>
        <v/>
      </c>
      <c r="T98" s="32">
        <f>IF(AND($L98=1,OR($F98="",$F98="Open"),NOT(ISNUMBER($G98))),1,0)</f>
        <v/>
      </c>
      <c r="U98" s="32">
        <f>IF($L98=0,0,$M98-COUNTIFS(Runs!$B$6:$B$105,$A98,Runs!$N$6:$N$105,"Not run"))</f>
        <v/>
      </c>
      <c r="V98" s="32">
        <f>IF($L98=0,0,COUNTIFS(Runs!$B$6:$B$105,$A98,Runs!$N$6:$N$105,"Planned"))</f>
        <v/>
      </c>
      <c r="W98" s="32">
        <f>IF(AND($L98=1,OR($F98="",$F98="Open"),ISNUMBER($G98),ISNUMBER(MATCH($B98,Summary!$G$28:$G$34,0))),IF(ISNUMBER(INDEX(Summary!$H$28:$H$34,MATCH($B98,Summary!$G$28:$G$34,0))),IF($G98&lt;&gt;INDEX(Summary!$H$28:$H$34,MATCH($B98,Summary!$G$28:$G$34,0)),1,0),0),0)</f>
        <v/>
      </c>
    </row>
    <row r="99">
      <c r="A99" s="27" t="n"/>
      <c r="B99" s="28" t="n"/>
      <c r="C99" s="28" t="n"/>
      <c r="D99" s="28" t="n"/>
      <c r="E99" s="28" t="n"/>
      <c r="F99" s="27" t="n"/>
      <c r="G99" s="29" t="n"/>
      <c r="H99" s="30">
        <f>IF($L99=0,"",$M99)</f>
        <v/>
      </c>
      <c r="I99" s="31">
        <f>IF($N99=0,"",INDEX(Runs!$A$6:$A$105,$N99))</f>
        <v/>
      </c>
      <c r="J99" s="31">
        <f>IF($L99=0,"",IF($N99&gt;0,INDEX(Runs!$N$6:$N$105,$N99),IF(COUNTIFS(Runs!$B$6:$B$105,$A99,Runs!$N$6:$N$105,"Planned")&gt;0,"Planned","No run")))</f>
        <v/>
      </c>
      <c r="K99" s="19">
        <f>IF($L99=0,"",IF($O99+$P99+$Q99=0,"○ Clear",IF($O99=1,"△ No ID, or ID used twice",IF($P99=1,"△ Met with no passing run",IF($J99="Failed","△ Needed soon, failed, with no re-run booked","△ Needed soon, with no run booked")))&amp;IF($O99+$P99+$Q99&gt;1,", and "&amp;($O99+$P99+$Q99-1)&amp;" more",""))&amp;IF($R99=1,"  ◇ passed: the Owner can mark it Met","")&amp;IF($S99=1,"  ◇ a run is planned after Needed by","")&amp;IF($T99=1,"  ◇ no Needed by date","")&amp;IF($W99=1,"  ◇ Needed by isn't the gate map's Date",""))</f>
        <v/>
      </c>
      <c r="L99" s="32">
        <f>IF(COUNTA($A99:$G99)&gt;0,1,0)</f>
        <v/>
      </c>
      <c r="M99" s="32">
        <f>IF($L99=0,0,COUNTIF(Runs!$B$6:$B$105,$A99))</f>
        <v/>
      </c>
      <c r="N99" s="32">
        <f>IF($L99=0,0,IFERROR(MATCH($A99,Runs!$R$6:$R$105,0),0))</f>
        <v/>
      </c>
      <c r="O99" s="32">
        <f>IF($L99=0,0,IF(OR(TRIM($A99)="",COUNTIF($A$6:$A$105,$A99)&gt;1),1,0))</f>
        <v/>
      </c>
      <c r="P99" s="32">
        <f>IF($L99=0,0,IF(AND($F99="Met",$J99&lt;&gt;"Passed"),1,0))</f>
        <v/>
      </c>
      <c r="Q99" s="32">
        <f>IF(OR($L99=0,$F99="Met",$F99="Waived",NOT(ISNUMBER($G99))),0,IF(AND($G99&lt;=Summary!$B$12+N(Summary!$B$11),OR($U99=0,AND($J99="Failed",$V99=0))),1,0))</f>
        <v/>
      </c>
      <c r="R99" s="32">
        <f>IF(AND($L99=1,OR($F99="",$F99="Open"),$J99="Passed"),1,0)</f>
        <v/>
      </c>
      <c r="S99" s="32">
        <f>IF(AND($L99=1,ISNUMBER($G99)),IF(SUMPRODUCT((Runs!$B$6:$B$105=$A99)*(Runs!$N$6:$N$105="Planned")*(Runs!$C$6:$C$105&gt;$G99))&gt;0,1,0),0)</f>
        <v/>
      </c>
      <c r="T99" s="32">
        <f>IF(AND($L99=1,OR($F99="",$F99="Open"),NOT(ISNUMBER($G99))),1,0)</f>
        <v/>
      </c>
      <c r="U99" s="32">
        <f>IF($L99=0,0,$M99-COUNTIFS(Runs!$B$6:$B$105,$A99,Runs!$N$6:$N$105,"Not run"))</f>
        <v/>
      </c>
      <c r="V99" s="32">
        <f>IF($L99=0,0,COUNTIFS(Runs!$B$6:$B$105,$A99,Runs!$N$6:$N$105,"Planned"))</f>
        <v/>
      </c>
      <c r="W99" s="32">
        <f>IF(AND($L99=1,OR($F99="",$F99="Open"),ISNUMBER($G99),ISNUMBER(MATCH($B99,Summary!$G$28:$G$34,0))),IF(ISNUMBER(INDEX(Summary!$H$28:$H$34,MATCH($B99,Summary!$G$28:$G$34,0))),IF($G99&lt;&gt;INDEX(Summary!$H$28:$H$34,MATCH($B99,Summary!$G$28:$G$34,0)),1,0),0),0)</f>
        <v/>
      </c>
    </row>
    <row r="100">
      <c r="A100" s="27" t="n"/>
      <c r="B100" s="28" t="n"/>
      <c r="C100" s="28" t="n"/>
      <c r="D100" s="28" t="n"/>
      <c r="E100" s="28" t="n"/>
      <c r="F100" s="27" t="n"/>
      <c r="G100" s="29" t="n"/>
      <c r="H100" s="30">
        <f>IF($L100=0,"",$M100)</f>
        <v/>
      </c>
      <c r="I100" s="31">
        <f>IF($N100=0,"",INDEX(Runs!$A$6:$A$105,$N100))</f>
        <v/>
      </c>
      <c r="J100" s="31">
        <f>IF($L100=0,"",IF($N100&gt;0,INDEX(Runs!$N$6:$N$105,$N100),IF(COUNTIFS(Runs!$B$6:$B$105,$A100,Runs!$N$6:$N$105,"Planned")&gt;0,"Planned","No run")))</f>
        <v/>
      </c>
      <c r="K100" s="19">
        <f>IF($L100=0,"",IF($O100+$P100+$Q100=0,"○ Clear",IF($O100=1,"△ No ID, or ID used twice",IF($P100=1,"△ Met with no passing run",IF($J100="Failed","△ Needed soon, failed, with no re-run booked","△ Needed soon, with no run booked")))&amp;IF($O100+$P100+$Q100&gt;1,", and "&amp;($O100+$P100+$Q100-1)&amp;" more",""))&amp;IF($R100=1,"  ◇ passed: the Owner can mark it Met","")&amp;IF($S100=1,"  ◇ a run is planned after Needed by","")&amp;IF($T100=1,"  ◇ no Needed by date","")&amp;IF($W100=1,"  ◇ Needed by isn't the gate map's Date",""))</f>
        <v/>
      </c>
      <c r="L100" s="32">
        <f>IF(COUNTA($A100:$G100)&gt;0,1,0)</f>
        <v/>
      </c>
      <c r="M100" s="32">
        <f>IF($L100=0,0,COUNTIF(Runs!$B$6:$B$105,$A100))</f>
        <v/>
      </c>
      <c r="N100" s="32">
        <f>IF($L100=0,0,IFERROR(MATCH($A100,Runs!$R$6:$R$105,0),0))</f>
        <v/>
      </c>
      <c r="O100" s="32">
        <f>IF($L100=0,0,IF(OR(TRIM($A100)="",COUNTIF($A$6:$A$105,$A100)&gt;1),1,0))</f>
        <v/>
      </c>
      <c r="P100" s="32">
        <f>IF($L100=0,0,IF(AND($F100="Met",$J100&lt;&gt;"Passed"),1,0))</f>
        <v/>
      </c>
      <c r="Q100" s="32">
        <f>IF(OR($L100=0,$F100="Met",$F100="Waived",NOT(ISNUMBER($G100))),0,IF(AND($G100&lt;=Summary!$B$12+N(Summary!$B$11),OR($U100=0,AND($J100="Failed",$V100=0))),1,0))</f>
        <v/>
      </c>
      <c r="R100" s="32">
        <f>IF(AND($L100=1,OR($F100="",$F100="Open"),$J100="Passed"),1,0)</f>
        <v/>
      </c>
      <c r="S100" s="32">
        <f>IF(AND($L100=1,ISNUMBER($G100)),IF(SUMPRODUCT((Runs!$B$6:$B$105=$A100)*(Runs!$N$6:$N$105="Planned")*(Runs!$C$6:$C$105&gt;$G100))&gt;0,1,0),0)</f>
        <v/>
      </c>
      <c r="T100" s="32">
        <f>IF(AND($L100=1,OR($F100="",$F100="Open"),NOT(ISNUMBER($G100))),1,0)</f>
        <v/>
      </c>
      <c r="U100" s="32">
        <f>IF($L100=0,0,$M100-COUNTIFS(Runs!$B$6:$B$105,$A100,Runs!$N$6:$N$105,"Not run"))</f>
        <v/>
      </c>
      <c r="V100" s="32">
        <f>IF($L100=0,0,COUNTIFS(Runs!$B$6:$B$105,$A100,Runs!$N$6:$N$105,"Planned"))</f>
        <v/>
      </c>
      <c r="W100" s="32">
        <f>IF(AND($L100=1,OR($F100="",$F100="Open"),ISNUMBER($G100),ISNUMBER(MATCH($B100,Summary!$G$28:$G$34,0))),IF(ISNUMBER(INDEX(Summary!$H$28:$H$34,MATCH($B100,Summary!$G$28:$G$34,0))),IF($G100&lt;&gt;INDEX(Summary!$H$28:$H$34,MATCH($B100,Summary!$G$28:$G$34,0)),1,0),0),0)</f>
        <v/>
      </c>
    </row>
    <row r="101">
      <c r="A101" s="27" t="n"/>
      <c r="B101" s="28" t="n"/>
      <c r="C101" s="28" t="n"/>
      <c r="D101" s="28" t="n"/>
      <c r="E101" s="28" t="n"/>
      <c r="F101" s="27" t="n"/>
      <c r="G101" s="29" t="n"/>
      <c r="H101" s="30">
        <f>IF($L101=0,"",$M101)</f>
        <v/>
      </c>
      <c r="I101" s="31">
        <f>IF($N101=0,"",INDEX(Runs!$A$6:$A$105,$N101))</f>
        <v/>
      </c>
      <c r="J101" s="31">
        <f>IF($L101=0,"",IF($N101&gt;0,INDEX(Runs!$N$6:$N$105,$N101),IF(COUNTIFS(Runs!$B$6:$B$105,$A101,Runs!$N$6:$N$105,"Planned")&gt;0,"Planned","No run")))</f>
        <v/>
      </c>
      <c r="K101" s="19">
        <f>IF($L101=0,"",IF($O101+$P101+$Q101=0,"○ Clear",IF($O101=1,"△ No ID, or ID used twice",IF($P101=1,"△ Met with no passing run",IF($J101="Failed","△ Needed soon, failed, with no re-run booked","△ Needed soon, with no run booked")))&amp;IF($O101+$P101+$Q101&gt;1,", and "&amp;($O101+$P101+$Q101-1)&amp;" more",""))&amp;IF($R101=1,"  ◇ passed: the Owner can mark it Met","")&amp;IF($S101=1,"  ◇ a run is planned after Needed by","")&amp;IF($T101=1,"  ◇ no Needed by date","")&amp;IF($W101=1,"  ◇ Needed by isn't the gate map's Date",""))</f>
        <v/>
      </c>
      <c r="L101" s="32">
        <f>IF(COUNTA($A101:$G101)&gt;0,1,0)</f>
        <v/>
      </c>
      <c r="M101" s="32">
        <f>IF($L101=0,0,COUNTIF(Runs!$B$6:$B$105,$A101))</f>
        <v/>
      </c>
      <c r="N101" s="32">
        <f>IF($L101=0,0,IFERROR(MATCH($A101,Runs!$R$6:$R$105,0),0))</f>
        <v/>
      </c>
      <c r="O101" s="32">
        <f>IF($L101=0,0,IF(OR(TRIM($A101)="",COUNTIF($A$6:$A$105,$A101)&gt;1),1,0))</f>
        <v/>
      </c>
      <c r="P101" s="32">
        <f>IF($L101=0,0,IF(AND($F101="Met",$J101&lt;&gt;"Passed"),1,0))</f>
        <v/>
      </c>
      <c r="Q101" s="32">
        <f>IF(OR($L101=0,$F101="Met",$F101="Waived",NOT(ISNUMBER($G101))),0,IF(AND($G101&lt;=Summary!$B$12+N(Summary!$B$11),OR($U101=0,AND($J101="Failed",$V101=0))),1,0))</f>
        <v/>
      </c>
      <c r="R101" s="32">
        <f>IF(AND($L101=1,OR($F101="",$F101="Open"),$J101="Passed"),1,0)</f>
        <v/>
      </c>
      <c r="S101" s="32">
        <f>IF(AND($L101=1,ISNUMBER($G101)),IF(SUMPRODUCT((Runs!$B$6:$B$105=$A101)*(Runs!$N$6:$N$105="Planned")*(Runs!$C$6:$C$105&gt;$G101))&gt;0,1,0),0)</f>
        <v/>
      </c>
      <c r="T101" s="32">
        <f>IF(AND($L101=1,OR($F101="",$F101="Open"),NOT(ISNUMBER($G101))),1,0)</f>
        <v/>
      </c>
      <c r="U101" s="32">
        <f>IF($L101=0,0,$M101-COUNTIFS(Runs!$B$6:$B$105,$A101,Runs!$N$6:$N$105,"Not run"))</f>
        <v/>
      </c>
      <c r="V101" s="32">
        <f>IF($L101=0,0,COUNTIFS(Runs!$B$6:$B$105,$A101,Runs!$N$6:$N$105,"Planned"))</f>
        <v/>
      </c>
      <c r="W101" s="32">
        <f>IF(AND($L101=1,OR($F101="",$F101="Open"),ISNUMBER($G101),ISNUMBER(MATCH($B101,Summary!$G$28:$G$34,0))),IF(ISNUMBER(INDEX(Summary!$H$28:$H$34,MATCH($B101,Summary!$G$28:$G$34,0))),IF($G101&lt;&gt;INDEX(Summary!$H$28:$H$34,MATCH($B101,Summary!$G$28:$G$34,0)),1,0),0),0)</f>
        <v/>
      </c>
    </row>
    <row r="102">
      <c r="A102" s="27" t="n"/>
      <c r="B102" s="28" t="n"/>
      <c r="C102" s="28" t="n"/>
      <c r="D102" s="28" t="n"/>
      <c r="E102" s="28" t="n"/>
      <c r="F102" s="27" t="n"/>
      <c r="G102" s="29" t="n"/>
      <c r="H102" s="30">
        <f>IF($L102=0,"",$M102)</f>
        <v/>
      </c>
      <c r="I102" s="31">
        <f>IF($N102=0,"",INDEX(Runs!$A$6:$A$105,$N102))</f>
        <v/>
      </c>
      <c r="J102" s="31">
        <f>IF($L102=0,"",IF($N102&gt;0,INDEX(Runs!$N$6:$N$105,$N102),IF(COUNTIFS(Runs!$B$6:$B$105,$A102,Runs!$N$6:$N$105,"Planned")&gt;0,"Planned","No run")))</f>
        <v/>
      </c>
      <c r="K102" s="19">
        <f>IF($L102=0,"",IF($O102+$P102+$Q102=0,"○ Clear",IF($O102=1,"△ No ID, or ID used twice",IF($P102=1,"△ Met with no passing run",IF($J102="Failed","△ Needed soon, failed, with no re-run booked","△ Needed soon, with no run booked")))&amp;IF($O102+$P102+$Q102&gt;1,", and "&amp;($O102+$P102+$Q102-1)&amp;" more",""))&amp;IF($R102=1,"  ◇ passed: the Owner can mark it Met","")&amp;IF($S102=1,"  ◇ a run is planned after Needed by","")&amp;IF($T102=1,"  ◇ no Needed by date","")&amp;IF($W102=1,"  ◇ Needed by isn't the gate map's Date",""))</f>
        <v/>
      </c>
      <c r="L102" s="32">
        <f>IF(COUNTA($A102:$G102)&gt;0,1,0)</f>
        <v/>
      </c>
      <c r="M102" s="32">
        <f>IF($L102=0,0,COUNTIF(Runs!$B$6:$B$105,$A102))</f>
        <v/>
      </c>
      <c r="N102" s="32">
        <f>IF($L102=0,0,IFERROR(MATCH($A102,Runs!$R$6:$R$105,0),0))</f>
        <v/>
      </c>
      <c r="O102" s="32">
        <f>IF($L102=0,0,IF(OR(TRIM($A102)="",COUNTIF($A$6:$A$105,$A102)&gt;1),1,0))</f>
        <v/>
      </c>
      <c r="P102" s="32">
        <f>IF($L102=0,0,IF(AND($F102="Met",$J102&lt;&gt;"Passed"),1,0))</f>
        <v/>
      </c>
      <c r="Q102" s="32">
        <f>IF(OR($L102=0,$F102="Met",$F102="Waived",NOT(ISNUMBER($G102))),0,IF(AND($G102&lt;=Summary!$B$12+N(Summary!$B$11),OR($U102=0,AND($J102="Failed",$V102=0))),1,0))</f>
        <v/>
      </c>
      <c r="R102" s="32">
        <f>IF(AND($L102=1,OR($F102="",$F102="Open"),$J102="Passed"),1,0)</f>
        <v/>
      </c>
      <c r="S102" s="32">
        <f>IF(AND($L102=1,ISNUMBER($G102)),IF(SUMPRODUCT((Runs!$B$6:$B$105=$A102)*(Runs!$N$6:$N$105="Planned")*(Runs!$C$6:$C$105&gt;$G102))&gt;0,1,0),0)</f>
        <v/>
      </c>
      <c r="T102" s="32">
        <f>IF(AND($L102=1,OR($F102="",$F102="Open"),NOT(ISNUMBER($G102))),1,0)</f>
        <v/>
      </c>
      <c r="U102" s="32">
        <f>IF($L102=0,0,$M102-COUNTIFS(Runs!$B$6:$B$105,$A102,Runs!$N$6:$N$105,"Not run"))</f>
        <v/>
      </c>
      <c r="V102" s="32">
        <f>IF($L102=0,0,COUNTIFS(Runs!$B$6:$B$105,$A102,Runs!$N$6:$N$105,"Planned"))</f>
        <v/>
      </c>
      <c r="W102" s="32">
        <f>IF(AND($L102=1,OR($F102="",$F102="Open"),ISNUMBER($G102),ISNUMBER(MATCH($B102,Summary!$G$28:$G$34,0))),IF(ISNUMBER(INDEX(Summary!$H$28:$H$34,MATCH($B102,Summary!$G$28:$G$34,0))),IF($G102&lt;&gt;INDEX(Summary!$H$28:$H$34,MATCH($B102,Summary!$G$28:$G$34,0)),1,0),0),0)</f>
        <v/>
      </c>
    </row>
    <row r="103">
      <c r="A103" s="27" t="n"/>
      <c r="B103" s="28" t="n"/>
      <c r="C103" s="28" t="n"/>
      <c r="D103" s="28" t="n"/>
      <c r="E103" s="28" t="n"/>
      <c r="F103" s="27" t="n"/>
      <c r="G103" s="29" t="n"/>
      <c r="H103" s="30">
        <f>IF($L103=0,"",$M103)</f>
        <v/>
      </c>
      <c r="I103" s="31">
        <f>IF($N103=0,"",INDEX(Runs!$A$6:$A$105,$N103))</f>
        <v/>
      </c>
      <c r="J103" s="31">
        <f>IF($L103=0,"",IF($N103&gt;0,INDEX(Runs!$N$6:$N$105,$N103),IF(COUNTIFS(Runs!$B$6:$B$105,$A103,Runs!$N$6:$N$105,"Planned")&gt;0,"Planned","No run")))</f>
        <v/>
      </c>
      <c r="K103" s="19">
        <f>IF($L103=0,"",IF($O103+$P103+$Q103=0,"○ Clear",IF($O103=1,"△ No ID, or ID used twice",IF($P103=1,"△ Met with no passing run",IF($J103="Failed","△ Needed soon, failed, with no re-run booked","△ Needed soon, with no run booked")))&amp;IF($O103+$P103+$Q103&gt;1,", and "&amp;($O103+$P103+$Q103-1)&amp;" more",""))&amp;IF($R103=1,"  ◇ passed: the Owner can mark it Met","")&amp;IF($S103=1,"  ◇ a run is planned after Needed by","")&amp;IF($T103=1,"  ◇ no Needed by date","")&amp;IF($W103=1,"  ◇ Needed by isn't the gate map's Date",""))</f>
        <v/>
      </c>
      <c r="L103" s="32">
        <f>IF(COUNTA($A103:$G103)&gt;0,1,0)</f>
        <v/>
      </c>
      <c r="M103" s="32">
        <f>IF($L103=0,0,COUNTIF(Runs!$B$6:$B$105,$A103))</f>
        <v/>
      </c>
      <c r="N103" s="32">
        <f>IF($L103=0,0,IFERROR(MATCH($A103,Runs!$R$6:$R$105,0),0))</f>
        <v/>
      </c>
      <c r="O103" s="32">
        <f>IF($L103=0,0,IF(OR(TRIM($A103)="",COUNTIF($A$6:$A$105,$A103)&gt;1),1,0))</f>
        <v/>
      </c>
      <c r="P103" s="32">
        <f>IF($L103=0,0,IF(AND($F103="Met",$J103&lt;&gt;"Passed"),1,0))</f>
        <v/>
      </c>
      <c r="Q103" s="32">
        <f>IF(OR($L103=0,$F103="Met",$F103="Waived",NOT(ISNUMBER($G103))),0,IF(AND($G103&lt;=Summary!$B$12+N(Summary!$B$11),OR($U103=0,AND($J103="Failed",$V103=0))),1,0))</f>
        <v/>
      </c>
      <c r="R103" s="32">
        <f>IF(AND($L103=1,OR($F103="",$F103="Open"),$J103="Passed"),1,0)</f>
        <v/>
      </c>
      <c r="S103" s="32">
        <f>IF(AND($L103=1,ISNUMBER($G103)),IF(SUMPRODUCT((Runs!$B$6:$B$105=$A103)*(Runs!$N$6:$N$105="Planned")*(Runs!$C$6:$C$105&gt;$G103))&gt;0,1,0),0)</f>
        <v/>
      </c>
      <c r="T103" s="32">
        <f>IF(AND($L103=1,OR($F103="",$F103="Open"),NOT(ISNUMBER($G103))),1,0)</f>
        <v/>
      </c>
      <c r="U103" s="32">
        <f>IF($L103=0,0,$M103-COUNTIFS(Runs!$B$6:$B$105,$A103,Runs!$N$6:$N$105,"Not run"))</f>
        <v/>
      </c>
      <c r="V103" s="32">
        <f>IF($L103=0,0,COUNTIFS(Runs!$B$6:$B$105,$A103,Runs!$N$6:$N$105,"Planned"))</f>
        <v/>
      </c>
      <c r="W103" s="32">
        <f>IF(AND($L103=1,OR($F103="",$F103="Open"),ISNUMBER($G103),ISNUMBER(MATCH($B103,Summary!$G$28:$G$34,0))),IF(ISNUMBER(INDEX(Summary!$H$28:$H$34,MATCH($B103,Summary!$G$28:$G$34,0))),IF($G103&lt;&gt;INDEX(Summary!$H$28:$H$34,MATCH($B103,Summary!$G$28:$G$34,0)),1,0),0),0)</f>
        <v/>
      </c>
    </row>
    <row r="104">
      <c r="A104" s="27" t="n"/>
      <c r="B104" s="28" t="n"/>
      <c r="C104" s="28" t="n"/>
      <c r="D104" s="28" t="n"/>
      <c r="E104" s="28" t="n"/>
      <c r="F104" s="27" t="n"/>
      <c r="G104" s="29" t="n"/>
      <c r="H104" s="30">
        <f>IF($L104=0,"",$M104)</f>
        <v/>
      </c>
      <c r="I104" s="31">
        <f>IF($N104=0,"",INDEX(Runs!$A$6:$A$105,$N104))</f>
        <v/>
      </c>
      <c r="J104" s="31">
        <f>IF($L104=0,"",IF($N104&gt;0,INDEX(Runs!$N$6:$N$105,$N104),IF(COUNTIFS(Runs!$B$6:$B$105,$A104,Runs!$N$6:$N$105,"Planned")&gt;0,"Planned","No run")))</f>
        <v/>
      </c>
      <c r="K104" s="19">
        <f>IF($L104=0,"",IF($O104+$P104+$Q104=0,"○ Clear",IF($O104=1,"△ No ID, or ID used twice",IF($P104=1,"△ Met with no passing run",IF($J104="Failed","△ Needed soon, failed, with no re-run booked","△ Needed soon, with no run booked")))&amp;IF($O104+$P104+$Q104&gt;1,", and "&amp;($O104+$P104+$Q104-1)&amp;" more",""))&amp;IF($R104=1,"  ◇ passed: the Owner can mark it Met","")&amp;IF($S104=1,"  ◇ a run is planned after Needed by","")&amp;IF($T104=1,"  ◇ no Needed by date","")&amp;IF($W104=1,"  ◇ Needed by isn't the gate map's Date",""))</f>
        <v/>
      </c>
      <c r="L104" s="32">
        <f>IF(COUNTA($A104:$G104)&gt;0,1,0)</f>
        <v/>
      </c>
      <c r="M104" s="32">
        <f>IF($L104=0,0,COUNTIF(Runs!$B$6:$B$105,$A104))</f>
        <v/>
      </c>
      <c r="N104" s="32">
        <f>IF($L104=0,0,IFERROR(MATCH($A104,Runs!$R$6:$R$105,0),0))</f>
        <v/>
      </c>
      <c r="O104" s="32">
        <f>IF($L104=0,0,IF(OR(TRIM($A104)="",COUNTIF($A$6:$A$105,$A104)&gt;1),1,0))</f>
        <v/>
      </c>
      <c r="P104" s="32">
        <f>IF($L104=0,0,IF(AND($F104="Met",$J104&lt;&gt;"Passed"),1,0))</f>
        <v/>
      </c>
      <c r="Q104" s="32">
        <f>IF(OR($L104=0,$F104="Met",$F104="Waived",NOT(ISNUMBER($G104))),0,IF(AND($G104&lt;=Summary!$B$12+N(Summary!$B$11),OR($U104=0,AND($J104="Failed",$V104=0))),1,0))</f>
        <v/>
      </c>
      <c r="R104" s="32">
        <f>IF(AND($L104=1,OR($F104="",$F104="Open"),$J104="Passed"),1,0)</f>
        <v/>
      </c>
      <c r="S104" s="32">
        <f>IF(AND($L104=1,ISNUMBER($G104)),IF(SUMPRODUCT((Runs!$B$6:$B$105=$A104)*(Runs!$N$6:$N$105="Planned")*(Runs!$C$6:$C$105&gt;$G104))&gt;0,1,0),0)</f>
        <v/>
      </c>
      <c r="T104" s="32">
        <f>IF(AND($L104=1,OR($F104="",$F104="Open"),NOT(ISNUMBER($G104))),1,0)</f>
        <v/>
      </c>
      <c r="U104" s="32">
        <f>IF($L104=0,0,$M104-COUNTIFS(Runs!$B$6:$B$105,$A104,Runs!$N$6:$N$105,"Not run"))</f>
        <v/>
      </c>
      <c r="V104" s="32">
        <f>IF($L104=0,0,COUNTIFS(Runs!$B$6:$B$105,$A104,Runs!$N$6:$N$105,"Planned"))</f>
        <v/>
      </c>
      <c r="W104" s="32">
        <f>IF(AND($L104=1,OR($F104="",$F104="Open"),ISNUMBER($G104),ISNUMBER(MATCH($B104,Summary!$G$28:$G$34,0))),IF(ISNUMBER(INDEX(Summary!$H$28:$H$34,MATCH($B104,Summary!$G$28:$G$34,0))),IF($G104&lt;&gt;INDEX(Summary!$H$28:$H$34,MATCH($B104,Summary!$G$28:$G$34,0)),1,0),0),0)</f>
        <v/>
      </c>
    </row>
    <row r="105">
      <c r="A105" s="27" t="n"/>
      <c r="B105" s="28" t="n"/>
      <c r="C105" s="28" t="n"/>
      <c r="D105" s="28" t="n"/>
      <c r="E105" s="28" t="n"/>
      <c r="F105" s="27" t="n"/>
      <c r="G105" s="29" t="n"/>
      <c r="H105" s="30">
        <f>IF($L105=0,"",$M105)</f>
        <v/>
      </c>
      <c r="I105" s="31">
        <f>IF($N105=0,"",INDEX(Runs!$A$6:$A$105,$N105))</f>
        <v/>
      </c>
      <c r="J105" s="31">
        <f>IF($L105=0,"",IF($N105&gt;0,INDEX(Runs!$N$6:$N$105,$N105),IF(COUNTIFS(Runs!$B$6:$B$105,$A105,Runs!$N$6:$N$105,"Planned")&gt;0,"Planned","No run")))</f>
        <v/>
      </c>
      <c r="K105" s="19">
        <f>IF($L105=0,"",IF($O105+$P105+$Q105=0,"○ Clear",IF($O105=1,"△ No ID, or ID used twice",IF($P105=1,"△ Met with no passing run",IF($J105="Failed","△ Needed soon, failed, with no re-run booked","△ Needed soon, with no run booked")))&amp;IF($O105+$P105+$Q105&gt;1,", and "&amp;($O105+$P105+$Q105-1)&amp;" more",""))&amp;IF($R105=1,"  ◇ passed: the Owner can mark it Met","")&amp;IF($S105=1,"  ◇ a run is planned after Needed by","")&amp;IF($T105=1,"  ◇ no Needed by date","")&amp;IF($W105=1,"  ◇ Needed by isn't the gate map's Date",""))</f>
        <v/>
      </c>
      <c r="L105" s="32">
        <f>IF(COUNTA($A105:$G105)&gt;0,1,0)</f>
        <v/>
      </c>
      <c r="M105" s="32">
        <f>IF($L105=0,0,COUNTIF(Runs!$B$6:$B$105,$A105))</f>
        <v/>
      </c>
      <c r="N105" s="32">
        <f>IF($L105=0,0,IFERROR(MATCH($A105,Runs!$R$6:$R$105,0),0))</f>
        <v/>
      </c>
      <c r="O105" s="32">
        <f>IF($L105=0,0,IF(OR(TRIM($A105)="",COUNTIF($A$6:$A$105,$A105)&gt;1),1,0))</f>
        <v/>
      </c>
      <c r="P105" s="32">
        <f>IF($L105=0,0,IF(AND($F105="Met",$J105&lt;&gt;"Passed"),1,0))</f>
        <v/>
      </c>
      <c r="Q105" s="32">
        <f>IF(OR($L105=0,$F105="Met",$F105="Waived",NOT(ISNUMBER($G105))),0,IF(AND($G105&lt;=Summary!$B$12+N(Summary!$B$11),OR($U105=0,AND($J105="Failed",$V105=0))),1,0))</f>
        <v/>
      </c>
      <c r="R105" s="32">
        <f>IF(AND($L105=1,OR($F105="",$F105="Open"),$J105="Passed"),1,0)</f>
        <v/>
      </c>
      <c r="S105" s="32">
        <f>IF(AND($L105=1,ISNUMBER($G105)),IF(SUMPRODUCT((Runs!$B$6:$B$105=$A105)*(Runs!$N$6:$N$105="Planned")*(Runs!$C$6:$C$105&gt;$G105))&gt;0,1,0),0)</f>
        <v/>
      </c>
      <c r="T105" s="32">
        <f>IF(AND($L105=1,OR($F105="",$F105="Open"),NOT(ISNUMBER($G105))),1,0)</f>
        <v/>
      </c>
      <c r="U105" s="32">
        <f>IF($L105=0,0,$M105-COUNTIFS(Runs!$B$6:$B$105,$A105,Runs!$N$6:$N$105,"Not run"))</f>
        <v/>
      </c>
      <c r="V105" s="32">
        <f>IF($L105=0,0,COUNTIFS(Runs!$B$6:$B$105,$A105,Runs!$N$6:$N$105,"Planned"))</f>
        <v/>
      </c>
      <c r="W105" s="32">
        <f>IF(AND($L105=1,OR($F105="",$F105="Open"),ISNUMBER($G105),ISNUMBER(MATCH($B105,Summary!$G$28:$G$34,0))),IF(ISNUMBER(INDEX(Summary!$H$28:$H$34,MATCH($B105,Summary!$G$28:$G$34,0))),IF($G105&lt;&gt;INDEX(Summary!$H$28:$H$34,MATCH($B105,Summary!$G$28:$G$34,0)),1,0),0),0)</f>
        <v/>
      </c>
    </row>
  </sheetData>
  <sheetProtection selectLockedCells="0" selectUnlockedCells="0" sheet="1" objects="0" insertRows="1" insertHyperlinks="1" autoFilter="0" scenarios="0" formatColumns="0" deleteColumns="1" insertColumns="1" pivotTables="1" deleteRows="1" formatCells="0" formatRows="0" sort="0"/>
  <autoFilter ref="A5:K105"/>
  <conditionalFormatting sqref="K6:K105">
    <cfRule type="expression" priority="1" dxfId="1" stopIfTrue="0">
      <formula>LEFT($K6,1)="△"</formula>
    </cfRule>
  </conditionalFormatting>
  <dataValidations count="11">
    <dataValidation sqref="A6:A105" showDropDown="0" showInputMessage="1" showErrorMessage="0" allowBlank="1" promptTitle="ID" prompt="Copied from acceptance and sign-off: C-01, C-02 and so on. Never reuse one." errorStyle="stop"/>
    <dataValidation sqref="C6:C105" showDropDown="0" showInputMessage="1" showErrorMessage="0" allowBlank="1" promptTitle="Criterion" prompt="Copied word for word from acceptance and sign-off." errorStyle="stop"/>
    <dataValidation sqref="D6:D105" showDropDown="0" showInputMessage="1" showErrorMessage="0" allowBlank="1" promptTitle="Pass line" prompt="Copied letter for letter from acceptance and sign-off. Each run keeps its own copy in Pass line used." errorStyle="stop"/>
    <dataValidation sqref="E6:E105" showDropDown="0" showInputMessage="1" showErrorMessage="0" allowBlank="1" promptTitle="Owner (says it's met)" prompt="The one person who says it's met, copied from acceptance and sign-off. By default they check its runs." errorStyle="stop"/>
    <dataValidation sqref="H6:H105" showDropDown="0" showInputMessage="1" showErrorMessage="0" allowBlank="1" promptTitle="Runs" prompt="Worked out: how many runs are for this criterion." errorStyle="stop"/>
    <dataValidation sqref="I6:I105" showDropDown="0" showInputMessage="1" showErrorMessage="0" allowBlank="1" promptTitle="Latest run" prompt="Worked out: the run whose result counts, the latest by Date." errorStyle="stop"/>
    <dataValidation sqref="J6:J105" showDropDown="0" showInputMessage="1" showErrorMessage="0" allowBlank="1" promptTitle="Reading" prompt="Worked out from the latest run with a result: Passed, Failed or Not run. With none, Planned if a run is booked, or No run." errorStyle="stop"/>
    <dataValidation sqref="K6:K105" showDropDown="0" showInputMessage="1" showErrorMessage="0" allowBlank="1" promptTitle="Row check" prompt="Worked out: the first thing wrong with this row. Filter on △ to list them." errorStyle="stop"/>
    <dataValidation sqref="B6:B105" showDropDown="0" showInputMessage="1" showErrorMessage="1" allowBlank="1" errorTitle="Check this entry" error="That isn't a gate under Gate map dates on Summary. You can keep it." promptTitle="Gate" prompt="Optional. The criterion's gate, copied from acceptance and sign-off." type="list" errorStyle="warning">
      <formula1>Summary!$G$28:$G$34</formula1>
    </dataValidation>
    <dataValidation sqref="F6:F105" showDropDown="0" showInputMessage="1" showErrorMessage="1" allowBlank="1" errorTitle="Check this entry" error="Pick Open, Met or Waived, or leave it blank." promptTitle="Status" prompt="Open, Met or Waived, copied from acceptance and sign-off. Blank reads as Open. The Owner marks it Met there, then you copy it here." type="list" errorStyle="stop">
      <formula1>"Open,Met,Waived"</formula1>
    </dataValidation>
    <dataValidation sqref="G6:G105" showDropDown="0" showInputMessage="1" showErrorMessage="1" allowBlank="1" errorTitle="Check this entry" error="Type a date, such as 13 Nov 2026, or leave it blank." promptTitle="Needed by" prompt="Optional. The day its gate is decided: the gate's Forecast on the plan's Schedule if that is a date, or else its Date on the gate map." type="date" errorStyle="stop" operator="between">
      <formula1>36526</formula1>
      <formula2>73415</formula2>
    </dataValidation>
  </dataValidations>
  <printOptions horizontalCentered="0"/>
  <pageMargins left="0.25" right="0.25" top="0.5" bottom="0.5" header="0.25" footer="0.25"/>
  <pageSetup orientation="landscape" paperSize="9" scale="100"/>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0"/>
  </sheetPr>
  <dimension ref="A1:X105"/>
  <sheetViews>
    <sheetView showGridLines="0" tabSelected="0" workbookViewId="0">
      <pane xSplit="2" ySplit="5" topLeftCell="C6" activePane="bottomRight" state="frozen"/>
      <selection pane="topRight"/>
      <selection pane="bottomLeft"/>
      <selection pane="bottomRight" activeCell="A1" sqref="A1"/>
    </sheetView>
  </sheetViews>
  <sheetFormatPr baseColWidth="8" defaultRowHeight="15"/>
  <cols>
    <col width="6" customWidth="1" min="1" max="1"/>
    <col width="7" customWidth="1" min="2" max="2"/>
    <col width="12" customWidth="1" min="3" max="3"/>
    <col width="14" customWidth="1" min="4" max="4"/>
    <col width="14" customWidth="1" min="5" max="5"/>
    <col width="9" customWidth="1" min="6" max="6"/>
    <col width="18" customWidth="1" min="7" max="7"/>
    <col width="18" customWidth="1" min="8" max="8"/>
    <col width="20" customWidth="1" min="9" max="9"/>
    <col width="18" customWidth="1" min="10" max="10"/>
    <col width="22" customWidth="1" min="11" max="11"/>
    <col width="30" customWidth="1" min="12" max="12"/>
    <col hidden="1" outlineLevel="1" width="12" customWidth="1" min="13" max="24"/>
  </cols>
  <sheetData>
    <row r="1" ht="36" customHeight="1">
      <c r="A1" s="1" t="inlineStr">
        <is>
          <t>Runs (Example)</t>
        </is>
      </c>
      <c r="J1" t="n"/>
    </row>
    <row r="2" ht="18" customHeight="1">
      <c r="A2" s="2">
        <f>Summary!$A$2</f>
        <v/>
      </c>
    </row>
    <row r="3" ht="18" customHeight="1">
      <c r="A3" s="3" t="inlineStr">
        <is>
          <t>Example. Hollins Software and everyone in it are made up. Billing Engine Rewrite, as of 22 Oct 2026. Clear the white cells to start your own.</t>
        </is>
      </c>
      <c r="B3" s="4" t="n"/>
      <c r="C3" s="4" t="n"/>
      <c r="D3" s="4" t="n"/>
      <c r="E3" s="4" t="n"/>
      <c r="F3" s="4" t="n"/>
      <c r="G3" s="4" t="n"/>
      <c r="H3" s="4" t="n"/>
      <c r="I3" s="4" t="n"/>
      <c r="J3" s="4" t="n"/>
      <c r="K3" s="4" t="n"/>
      <c r="L3" s="4" t="n"/>
    </row>
    <row r="4" ht="18" customHeight="1">
      <c r="A4" s="13" t="inlineStr">
        <is>
          <t>RUNS</t>
        </is>
      </c>
      <c r="B4" s="13" t="n"/>
      <c r="C4" s="13" t="n"/>
      <c r="D4" s="13" t="n"/>
      <c r="E4" s="13" t="n"/>
      <c r="F4" s="13" t="n"/>
      <c r="G4" s="13" t="n"/>
      <c r="H4" s="13" t="n"/>
      <c r="I4" s="13" t="n"/>
      <c r="J4" s="13" t="n"/>
      <c r="K4" s="13" t="n"/>
      <c r="L4" s="13" t="n"/>
    </row>
    <row r="5" ht="30" customHeight="1">
      <c r="A5" s="25" t="inlineStr">
        <is>
          <t>Run</t>
        </is>
      </c>
      <c r="B5" s="25" t="inlineStr">
        <is>
          <t>For</t>
        </is>
      </c>
      <c r="C5" s="25" t="inlineStr">
        <is>
          <t>Date</t>
        </is>
      </c>
      <c r="D5" s="25" t="inlineStr">
        <is>
          <t>Run by</t>
        </is>
      </c>
      <c r="E5" s="25" t="inlineStr">
        <is>
          <t>Checked by</t>
        </is>
      </c>
      <c r="F5" s="25" t="inlineStr">
        <is>
          <t>Outcome</t>
        </is>
      </c>
      <c r="G5" s="25" t="inlineStr">
        <is>
          <t>Result</t>
        </is>
      </c>
      <c r="H5" s="25" t="inlineStr">
        <is>
          <t>File</t>
        </is>
      </c>
      <c r="I5" s="25" t="inlineStr">
        <is>
          <t>Reason</t>
        </is>
      </c>
      <c r="J5" s="26" t="inlineStr">
        <is>
          <t>Row check</t>
        </is>
      </c>
      <c r="K5" s="25" t="inlineStr">
        <is>
          <t>Tested on</t>
        </is>
      </c>
      <c r="L5" s="25" t="inlineStr">
        <is>
          <t>Pass line used</t>
        </is>
      </c>
      <c r="M5" s="26" t="inlineStr">
        <is>
          <t>Row in use (1 or 0)</t>
        </is>
      </c>
      <c r="N5" s="26" t="inlineStr">
        <is>
          <t>Outcome as read (blank reads Planned)</t>
        </is>
      </c>
      <c r="O5" s="26" t="inlineStr">
        <is>
          <t>For is a criterion ID (1 or 0)</t>
        </is>
      </c>
      <c r="P5" s="26" t="inlineStr">
        <is>
          <t>For is shaped like a RAID Id (1 or 0)</t>
        </is>
      </c>
      <c r="Q5" s="26" t="inlineStr">
        <is>
          <t>Latest result for its For (1 or 0)</t>
        </is>
      </c>
      <c r="R5" s="26" t="inlineStr">
        <is>
          <t>For, on the latest result's row</t>
        </is>
      </c>
      <c r="S5" s="26" t="inlineStr">
        <is>
          <t>Fails check 1 (1 or 0)</t>
        </is>
      </c>
      <c r="T5" s="26" t="inlineStr">
        <is>
          <t>Fails check 2 (1 or 0)</t>
        </is>
      </c>
      <c r="U5" s="26" t="inlineStr">
        <is>
          <t>Fails check 3 (1 or 0)</t>
        </is>
      </c>
      <c r="V5" s="26" t="inlineStr">
        <is>
          <t>Fails check 6 (1 or 0)</t>
        </is>
      </c>
      <c r="W5" s="26" t="inlineStr">
        <is>
          <t>Fails check 7 (1 or 0)</t>
        </is>
      </c>
      <c r="X5" s="26" t="inlineStr">
        <is>
          <t>Fails check 1, Pass line (1 or 0)</t>
        </is>
      </c>
    </row>
    <row r="6" ht="44" customHeight="1">
      <c r="A6" s="27" t="inlineStr">
        <is>
          <t>T-01</t>
        </is>
      </c>
      <c r="B6" s="27" t="inlineStr">
        <is>
          <t>C-01</t>
        </is>
      </c>
      <c r="C6" s="29" t="n">
        <v>46185</v>
      </c>
      <c r="D6" s="28" t="inlineStr">
        <is>
          <t>Anders (Engineering Manager)</t>
        </is>
      </c>
      <c r="E6" s="28" t="inlineStr">
        <is>
          <t>Tomasz (PMO Head)</t>
        </is>
      </c>
      <c r="F6" s="27" t="inlineStr">
        <is>
          <t>Passed</t>
        </is>
      </c>
      <c r="G6" s="28" t="inlineStr">
        <is>
          <t>0 items missing either</t>
        </is>
      </c>
      <c r="H6" s="28" t="inlineStr">
        <is>
          <t>Tracker export, 12 Jun 2026</t>
        </is>
      </c>
      <c r="I6" s="28" t="n"/>
      <c r="J6" s="19">
        <f>IF($M6=0,"",IF(SUM($S6:$X6)=0,"○ Clear",IF($S6=1,"△ Run, For, Date, Tested on or Run by missing or wrong",IF($X6=1,IF(AND($N6="Planned",TRIM(INDEX(Criteria!$D$6:$D$105,MATCH($B6,Criteria!$A$6:$A$105,0)))=""),"△ The criterion has no Pass line","△ Pass line used is blank"),IF($T6=1,"△ Checked by a builder, the runner or nobody",IF($U6=1,IF($N6="Planned","△ Result or File typed on a planned run",IF(AND(OR($N6="Passed",$N6="Failed"),TRIM($G6)&lt;&gt;"",TRIM($H6)&lt;&gt;"",ISNUMBER($C6),NOT(AND($N6="Failed",TRIM($I6)=""))),"△ Result dated after the date the checks use","△ Result, File or Reason missing")),IF($V6=1,"△ Planned day has passed, with no result","△ Pass line has changed since this run was planned")))))&amp;IF(SUM($S6:$X6)&gt;1,", and "&amp;(SUM($S6:$X6)-1)&amp;" more","")))</f>
        <v/>
      </c>
      <c r="K6" s="28" t="inlineStr">
        <is>
          <t>The plan items in the tracker</t>
        </is>
      </c>
      <c r="L6" s="28" t="inlineStr">
        <is>
          <t>0 items missing either</t>
        </is>
      </c>
      <c r="M6" s="32">
        <f>IF(COUNTA($A6:$I6)+COUNTA($K6:$L6)&gt;0,1,0)</f>
        <v/>
      </c>
      <c r="N6" s="22">
        <f>IF($M6=0,"",IF($F6="","Planned",$F6))</f>
        <v/>
      </c>
      <c r="O6" s="32">
        <f>IF(OR($M6=0,TRIM($B6)=""),0,IF(COUNTIF(Criteria!$A$6:$A$105,$B6)&gt;0,1,0))</f>
        <v/>
      </c>
      <c r="P6" s="32">
        <f>IF(OR($M6=0,TRIM($B6)=""),0,IF(AND(LEN($B6)&gt;1,ISNUMBER(MATCH(LEFT($B6,1),{"R","I","A","X"},0)),ISNUMBER(VALUE(MID($B6,2,5)))),1,0))</f>
        <v/>
      </c>
      <c r="Q6" s="32">
        <f>IF(OR($M6=0,TRIM($B6)="",$N6="Planned"),0,IF(COUNTIFS($B$6:$B$105,$B6,$C$6:$C$105,"&gt;"&amp;$C6,$N$6:$N$105,"&lt;&gt;Planned")+COUNTIFS($B7:$B$106,$B6,$C7:$C$106,$C6,$N7:$N$106,"&lt;&gt;Planned")=0,1,0))</f>
        <v/>
      </c>
      <c r="R6" s="22">
        <f>IF($Q6=1,$B6,"")</f>
        <v/>
      </c>
      <c r="S6" s="32">
        <f>IF($M6=0,0,IF(OR(TRIM($A6)="",COUNTIF($A$6:$A$105,$A6)&gt;1,TRIM($B6)="",AND($O6=0,$P6=0),NOT(ISNUMBER($C6)),AND($N6&lt;&gt;"Not run",OR(TRIM($K6)="",TRIM($D6)=""))),1,0))</f>
        <v/>
      </c>
      <c r="T6" s="32">
        <f>IF($M6=0,0,IF(TRIM($E6)="",IF(OR($N6="Passed",$N6="Failed"),1,0),IF(OR(SUMPRODUCT(--(TRIM(LEFT(Summary!$G$6:$G$13,FIND(" (",Summary!$G$6:$G$13&amp;" (")-1))=TRIM(LEFT($E6,FIND(" (",$E6&amp;" (")-1))))&gt;0,TRIM(LEFT($E6,FIND(" (",$E6&amp;" (")-1))=TRIM(LEFT($D6,FIND(" (",$D6&amp;" (")-1))),1,0)))</f>
        <v/>
      </c>
      <c r="U6" s="32">
        <f>IF($M6=0,0,IF(OR($N6="Passed",$N6="Failed"),IF(OR(TRIM($G6)="",TRIM($H6)="",NOT(ISNUMBER($C6)),AND($N6="Failed",TRIM($I6)="")),1,IF($C6&gt;Summary!$B$12,1,0)),IF($N6="Not run",IF(TRIM($I6)="",1,0),IF(OR(TRIM($G6)&lt;&gt;"",TRIM($H6)&lt;&gt;""),1,0))))</f>
        <v/>
      </c>
      <c r="V6" s="32">
        <f>IF(OR($M6=0,$N6&lt;&gt;"Planned",NOT(ISNUMBER($C6))),0,IF($C6&lt;Summary!$B$12,1,0))</f>
        <v/>
      </c>
      <c r="W6" s="32">
        <f>IF(OR($M6=0,$O6=0,$N6="Not run",TRIM($L6)=""),0,IF(TRIM($L6)=TRIM(INDEX(Criteria!$D$6:$D$105,MATCH($B6,Criteria!$A$6:$A$105,0))),0,1))</f>
        <v/>
      </c>
      <c r="X6" s="32">
        <f>IF(OR($M6=0,$O6=0,$N6="Not run"),0,IF(OR(TRIM($L6)="",AND($N6="Planned",TRIM(INDEX(Criteria!$D$6:$D$105,MATCH($B6,Criteria!$A$6:$A$105,0)))="")),1,0))</f>
        <v/>
      </c>
    </row>
    <row r="7" ht="18" customHeight="1">
      <c r="A7" s="27" t="inlineStr">
        <is>
          <t>T-02</t>
        </is>
      </c>
      <c r="B7" s="27" t="inlineStr">
        <is>
          <t>C-02</t>
        </is>
      </c>
      <c r="C7" s="29" t="n">
        <v>46185</v>
      </c>
      <c r="D7" s="28" t="n"/>
      <c r="E7" s="28" t="n"/>
      <c r="F7" s="27" t="inlineStr">
        <is>
          <t>Not run</t>
        </is>
      </c>
      <c r="G7" s="28" t="n"/>
      <c r="H7" s="28" t="n"/>
      <c r="I7" s="28" t="inlineStr">
        <is>
          <t>Waived. See DL-04.</t>
        </is>
      </c>
      <c r="J7" s="19">
        <f>IF($M7=0,"",IF(SUM($S7:$X7)=0,"○ Clear",IF($S7=1,"△ Run, For, Date, Tested on or Run by missing or wrong",IF($X7=1,IF(AND($N7="Planned",TRIM(INDEX(Criteria!$D$6:$D$105,MATCH($B7,Criteria!$A$6:$A$105,0)))=""),"△ The criterion has no Pass line","△ Pass line used is blank"),IF($T7=1,"△ Checked by a builder, the runner or nobody",IF($U7=1,IF($N7="Planned","△ Result or File typed on a planned run",IF(AND(OR($N7="Passed",$N7="Failed"),TRIM($G7)&lt;&gt;"",TRIM($H7)&lt;&gt;"",ISNUMBER($C7),NOT(AND($N7="Failed",TRIM($I7)=""))),"△ Result dated after the date the checks use","△ Result, File or Reason missing")),IF($V7=1,"△ Planned day has passed, with no result","△ Pass line has changed since this run was planned")))))&amp;IF(SUM($S7:$X7)&gt;1,", and "&amp;(SUM($S7:$X7)-1)&amp;" more","")))</f>
        <v/>
      </c>
      <c r="K7" s="28" t="n"/>
      <c r="L7" s="28" t="n"/>
      <c r="M7" s="32">
        <f>IF(COUNTA($A7:$I7)+COUNTA($K7:$L7)&gt;0,1,0)</f>
        <v/>
      </c>
      <c r="N7" s="22">
        <f>IF($M7=0,"",IF($F7="","Planned",$F7))</f>
        <v/>
      </c>
      <c r="O7" s="32">
        <f>IF(OR($M7=0,TRIM($B7)=""),0,IF(COUNTIF(Criteria!$A$6:$A$105,$B7)&gt;0,1,0))</f>
        <v/>
      </c>
      <c r="P7" s="32">
        <f>IF(OR($M7=0,TRIM($B7)=""),0,IF(AND(LEN($B7)&gt;1,ISNUMBER(MATCH(LEFT($B7,1),{"R","I","A","X"},0)),ISNUMBER(VALUE(MID($B7,2,5)))),1,0))</f>
        <v/>
      </c>
      <c r="Q7" s="32">
        <f>IF(OR($M7=0,TRIM($B7)="",$N7="Planned"),0,IF(COUNTIFS($B$6:$B$105,$B7,$C$6:$C$105,"&gt;"&amp;$C7,$N$6:$N$105,"&lt;&gt;Planned")+COUNTIFS($B8:$B$106,$B7,$C8:$C$106,$C7,$N8:$N$106,"&lt;&gt;Planned")=0,1,0))</f>
        <v/>
      </c>
      <c r="R7" s="22">
        <f>IF($Q7=1,$B7,"")</f>
        <v/>
      </c>
      <c r="S7" s="32">
        <f>IF($M7=0,0,IF(OR(TRIM($A7)="",COUNTIF($A$6:$A$105,$A7)&gt;1,TRIM($B7)="",AND($O7=0,$P7=0),NOT(ISNUMBER($C7)),AND($N7&lt;&gt;"Not run",OR(TRIM($K7)="",TRIM($D7)=""))),1,0))</f>
        <v/>
      </c>
      <c r="T7" s="32">
        <f>IF($M7=0,0,IF(TRIM($E7)="",IF(OR($N7="Passed",$N7="Failed"),1,0),IF(OR(SUMPRODUCT(--(TRIM(LEFT(Summary!$G$6:$G$13,FIND(" (",Summary!$G$6:$G$13&amp;" (")-1))=TRIM(LEFT($E7,FIND(" (",$E7&amp;" (")-1))))&gt;0,TRIM(LEFT($E7,FIND(" (",$E7&amp;" (")-1))=TRIM(LEFT($D7,FIND(" (",$D7&amp;" (")-1))),1,0)))</f>
        <v/>
      </c>
      <c r="U7" s="32">
        <f>IF($M7=0,0,IF(OR($N7="Passed",$N7="Failed"),IF(OR(TRIM($G7)="",TRIM($H7)="",NOT(ISNUMBER($C7)),AND($N7="Failed",TRIM($I7)="")),1,IF($C7&gt;Summary!$B$12,1,0)),IF($N7="Not run",IF(TRIM($I7)="",1,0),IF(OR(TRIM($G7)&lt;&gt;"",TRIM($H7)&lt;&gt;""),1,0))))</f>
        <v/>
      </c>
      <c r="V7" s="32">
        <f>IF(OR($M7=0,$N7&lt;&gt;"Planned",NOT(ISNUMBER($C7))),0,IF($C7&lt;Summary!$B$12,1,0))</f>
        <v/>
      </c>
      <c r="W7" s="32">
        <f>IF(OR($M7=0,$O7=0,$N7="Not run",TRIM($L7)=""),0,IF(TRIM($L7)=TRIM(INDEX(Criteria!$D$6:$D$105,MATCH($B7,Criteria!$A$6:$A$105,0))),0,1))</f>
        <v/>
      </c>
      <c r="X7" s="32">
        <f>IF(OR($M7=0,$O7=0,$N7="Not run"),0,IF(OR(TRIM($L7)="",AND($N7="Planned",TRIM(INDEX(Criteria!$D$6:$D$105,MATCH($B7,Criteria!$A$6:$A$105,0)))="")),1,0))</f>
        <v/>
      </c>
    </row>
    <row r="8" ht="44" customHeight="1">
      <c r="A8" s="27" t="inlineStr">
        <is>
          <t>T-03</t>
        </is>
      </c>
      <c r="B8" s="27" t="inlineStr">
        <is>
          <t>C-03</t>
        </is>
      </c>
      <c r="C8" s="29" t="n">
        <v>46309</v>
      </c>
      <c r="D8" s="28" t="inlineStr">
        <is>
          <t>Build agent</t>
        </is>
      </c>
      <c r="E8" s="28" t="inlineStr">
        <is>
          <t>Rhys (Finance Operations Lead)</t>
        </is>
      </c>
      <c r="F8" s="27" t="inlineStr">
        <is>
          <t>Passed</t>
        </is>
      </c>
      <c r="G8" s="28" t="inlineStr">
        <is>
          <t>40 of 40 match to the cent</t>
        </is>
      </c>
      <c r="H8" s="28" t="inlineStr">
        <is>
          <t>Comparison run report, 14 Oct 2026</t>
        </is>
      </c>
      <c r="I8" s="28" t="n"/>
      <c r="J8" s="19">
        <f>IF($M8=0,"",IF(SUM($S8:$X8)=0,"○ Clear",IF($S8=1,"△ Run, For, Date, Tested on or Run by missing or wrong",IF($X8=1,IF(AND($N8="Planned",TRIM(INDEX(Criteria!$D$6:$D$105,MATCH($B8,Criteria!$A$6:$A$105,0)))=""),"△ The criterion has no Pass line","△ Pass line used is blank"),IF($T8=1,"△ Checked by a builder, the runner or nobody",IF($U8=1,IF($N8="Planned","△ Result or File typed on a planned run",IF(AND(OR($N8="Passed",$N8="Failed"),TRIM($G8)&lt;&gt;"",TRIM($H8)&lt;&gt;"",ISNUMBER($C8),NOT(AND($N8="Failed",TRIM($I8)=""))),"△ Result dated after the date the checks use","△ Result, File or Reason missing")),IF($V8=1,"△ Planned day has passed, with no result","△ Pass line has changed since this run was planned")))))&amp;IF(SUM($S8:$X8)&gt;1,", and "&amp;(SUM($S8:$X8)-1)&amp;" more","")))</f>
        <v/>
      </c>
      <c r="K8" s="28" t="inlineStr">
        <is>
          <t>Both engines, 40 sample accounts</t>
        </is>
      </c>
      <c r="L8" s="28" t="inlineStr">
        <is>
          <t>40 of 40 match to the cent</t>
        </is>
      </c>
      <c r="M8" s="32">
        <f>IF(COUNTA($A8:$I8)+COUNTA($K8:$L8)&gt;0,1,0)</f>
        <v/>
      </c>
      <c r="N8" s="22">
        <f>IF($M8=0,"",IF($F8="","Planned",$F8))</f>
        <v/>
      </c>
      <c r="O8" s="32">
        <f>IF(OR($M8=0,TRIM($B8)=""),0,IF(COUNTIF(Criteria!$A$6:$A$105,$B8)&gt;0,1,0))</f>
        <v/>
      </c>
      <c r="P8" s="32">
        <f>IF(OR($M8=0,TRIM($B8)=""),0,IF(AND(LEN($B8)&gt;1,ISNUMBER(MATCH(LEFT($B8,1),{"R","I","A","X"},0)),ISNUMBER(VALUE(MID($B8,2,5)))),1,0))</f>
        <v/>
      </c>
      <c r="Q8" s="32">
        <f>IF(OR($M8=0,TRIM($B8)="",$N8="Planned"),0,IF(COUNTIFS($B$6:$B$105,$B8,$C$6:$C$105,"&gt;"&amp;$C8,$N$6:$N$105,"&lt;&gt;Planned")+COUNTIFS($B9:$B$106,$B8,$C9:$C$106,$C8,$N9:$N$106,"&lt;&gt;Planned")=0,1,0))</f>
        <v/>
      </c>
      <c r="R8" s="22">
        <f>IF($Q8=1,$B8,"")</f>
        <v/>
      </c>
      <c r="S8" s="32">
        <f>IF($M8=0,0,IF(OR(TRIM($A8)="",COUNTIF($A$6:$A$105,$A8)&gt;1,TRIM($B8)="",AND($O8=0,$P8=0),NOT(ISNUMBER($C8)),AND($N8&lt;&gt;"Not run",OR(TRIM($K8)="",TRIM($D8)=""))),1,0))</f>
        <v/>
      </c>
      <c r="T8" s="32">
        <f>IF($M8=0,0,IF(TRIM($E8)="",IF(OR($N8="Passed",$N8="Failed"),1,0),IF(OR(SUMPRODUCT(--(TRIM(LEFT(Summary!$G$6:$G$13,FIND(" (",Summary!$G$6:$G$13&amp;" (")-1))=TRIM(LEFT($E8,FIND(" (",$E8&amp;" (")-1))))&gt;0,TRIM(LEFT($E8,FIND(" (",$E8&amp;" (")-1))=TRIM(LEFT($D8,FIND(" (",$D8&amp;" (")-1))),1,0)))</f>
        <v/>
      </c>
      <c r="U8" s="32">
        <f>IF($M8=0,0,IF(OR($N8="Passed",$N8="Failed"),IF(OR(TRIM($G8)="",TRIM($H8)="",NOT(ISNUMBER($C8)),AND($N8="Failed",TRIM($I8)="")),1,IF($C8&gt;Summary!$B$12,1,0)),IF($N8="Not run",IF(TRIM($I8)="",1,0),IF(OR(TRIM($G8)&lt;&gt;"",TRIM($H8)&lt;&gt;""),1,0))))</f>
        <v/>
      </c>
      <c r="V8" s="32">
        <f>IF(OR($M8=0,$N8&lt;&gt;"Planned",NOT(ISNUMBER($C8))),0,IF($C8&lt;Summary!$B$12,1,0))</f>
        <v/>
      </c>
      <c r="W8" s="32">
        <f>IF(OR($M8=0,$O8=0,$N8="Not run",TRIM($L8)=""),0,IF(TRIM($L8)=TRIM(INDEX(Criteria!$D$6:$D$105,MATCH($B8,Criteria!$A$6:$A$105,0))),0,1))</f>
        <v/>
      </c>
      <c r="X8" s="32">
        <f>IF(OR($M8=0,$O8=0,$N8="Not run"),0,IF(OR(TRIM($L8)="",AND($N8="Planned",TRIM(INDEX(Criteria!$D$6:$D$105,MATCH($B8,Criteria!$A$6:$A$105,0)))="")),1,0))</f>
        <v/>
      </c>
    </row>
    <row r="9" ht="44" customHeight="1">
      <c r="A9" s="27" t="inlineStr">
        <is>
          <t>T-04</t>
        </is>
      </c>
      <c r="B9" s="27" t="inlineStr">
        <is>
          <t>C-07</t>
        </is>
      </c>
      <c r="C9" s="29" t="n">
        <v>46310</v>
      </c>
      <c r="D9" s="28" t="inlineStr">
        <is>
          <t>Build agent</t>
        </is>
      </c>
      <c r="E9" s="28" t="inlineStr">
        <is>
          <t>Anders (Engineering Manager)</t>
        </is>
      </c>
      <c r="F9" s="27" t="inlineStr">
        <is>
          <t>Passed</t>
        </is>
      </c>
      <c r="G9" s="28" t="inlineStr">
        <is>
          <t>12 of 12 pass</t>
        </is>
      </c>
      <c r="H9" s="28" t="inlineStr">
        <is>
          <t>Case run results, 15 Oct 2026</t>
        </is>
      </c>
      <c r="I9" s="28" t="n"/>
      <c r="J9" s="19">
        <f>IF($M9=0,"",IF(SUM($S9:$X9)=0,"○ Clear",IF($S9=1,"△ Run, For, Date, Tested on or Run by missing or wrong",IF($X9=1,IF(AND($N9="Planned",TRIM(INDEX(Criteria!$D$6:$D$105,MATCH($B9,Criteria!$A$6:$A$105,0)))=""),"△ The criterion has no Pass line","△ Pass line used is blank"),IF($T9=1,"△ Checked by a builder, the runner or nobody",IF($U9=1,IF($N9="Planned","△ Result or File typed on a planned run",IF(AND(OR($N9="Passed",$N9="Failed"),TRIM($G9)&lt;&gt;"",TRIM($H9)&lt;&gt;"",ISNUMBER($C9),NOT(AND($N9="Failed",TRIM($I9)=""))),"△ Result dated after the date the checks use","△ Result, File or Reason missing")),IF($V9=1,"△ Planned day has passed, with no result","△ Pass line has changed since this run was planned")))))&amp;IF(SUM($S9:$X9)&gt;1,", and "&amp;(SUM($S9:$X9)-1)&amp;" more","")))</f>
        <v/>
      </c>
      <c r="K9" s="28" t="inlineStr">
        <is>
          <t>Finance's 12 invoice cases</t>
        </is>
      </c>
      <c r="L9" s="28" t="inlineStr">
        <is>
          <t>12 of 12 pass</t>
        </is>
      </c>
      <c r="M9" s="32">
        <f>IF(COUNTA($A9:$I9)+COUNTA($K9:$L9)&gt;0,1,0)</f>
        <v/>
      </c>
      <c r="N9" s="22">
        <f>IF($M9=0,"",IF($F9="","Planned",$F9))</f>
        <v/>
      </c>
      <c r="O9" s="32">
        <f>IF(OR($M9=0,TRIM($B9)=""),0,IF(COUNTIF(Criteria!$A$6:$A$105,$B9)&gt;0,1,0))</f>
        <v/>
      </c>
      <c r="P9" s="32">
        <f>IF(OR($M9=0,TRIM($B9)=""),0,IF(AND(LEN($B9)&gt;1,ISNUMBER(MATCH(LEFT($B9,1),{"R","I","A","X"},0)),ISNUMBER(VALUE(MID($B9,2,5)))),1,0))</f>
        <v/>
      </c>
      <c r="Q9" s="32">
        <f>IF(OR($M9=0,TRIM($B9)="",$N9="Planned"),0,IF(COUNTIFS($B$6:$B$105,$B9,$C$6:$C$105,"&gt;"&amp;$C9,$N$6:$N$105,"&lt;&gt;Planned")+COUNTIFS($B10:$B$106,$B9,$C10:$C$106,$C9,$N10:$N$106,"&lt;&gt;Planned")=0,1,0))</f>
        <v/>
      </c>
      <c r="R9" s="22">
        <f>IF($Q9=1,$B9,"")</f>
        <v/>
      </c>
      <c r="S9" s="32">
        <f>IF($M9=0,0,IF(OR(TRIM($A9)="",COUNTIF($A$6:$A$105,$A9)&gt;1,TRIM($B9)="",AND($O9=0,$P9=0),NOT(ISNUMBER($C9)),AND($N9&lt;&gt;"Not run",OR(TRIM($K9)="",TRIM($D9)=""))),1,0))</f>
        <v/>
      </c>
      <c r="T9" s="32">
        <f>IF($M9=0,0,IF(TRIM($E9)="",IF(OR($N9="Passed",$N9="Failed"),1,0),IF(OR(SUMPRODUCT(--(TRIM(LEFT(Summary!$G$6:$G$13,FIND(" (",Summary!$G$6:$G$13&amp;" (")-1))=TRIM(LEFT($E9,FIND(" (",$E9&amp;" (")-1))))&gt;0,TRIM(LEFT($E9,FIND(" (",$E9&amp;" (")-1))=TRIM(LEFT($D9,FIND(" (",$D9&amp;" (")-1))),1,0)))</f>
        <v/>
      </c>
      <c r="U9" s="32">
        <f>IF($M9=0,0,IF(OR($N9="Passed",$N9="Failed"),IF(OR(TRIM($G9)="",TRIM($H9)="",NOT(ISNUMBER($C9)),AND($N9="Failed",TRIM($I9)="")),1,IF($C9&gt;Summary!$B$12,1,0)),IF($N9="Not run",IF(TRIM($I9)="",1,0),IF(OR(TRIM($G9)&lt;&gt;"",TRIM($H9)&lt;&gt;""),1,0))))</f>
        <v/>
      </c>
      <c r="V9" s="32">
        <f>IF(OR($M9=0,$N9&lt;&gt;"Planned",NOT(ISNUMBER($C9))),0,IF($C9&lt;Summary!$B$12,1,0))</f>
        <v/>
      </c>
      <c r="W9" s="32">
        <f>IF(OR($M9=0,$O9=0,$N9="Not run",TRIM($L9)=""),0,IF(TRIM($L9)=TRIM(INDEX(Criteria!$D$6:$D$105,MATCH($B9,Criteria!$A$6:$A$105,0))),0,1))</f>
        <v/>
      </c>
      <c r="X9" s="32">
        <f>IF(OR($M9=0,$O9=0,$N9="Not run"),0,IF(OR(TRIM($L9)="",AND($N9="Planned",TRIM(INDEX(Criteria!$D$6:$D$105,MATCH($B9,Criteria!$A$6:$A$105,0)))="")),1,0))</f>
        <v/>
      </c>
    </row>
    <row r="10" ht="57" customHeight="1">
      <c r="A10" s="27" t="inlineStr">
        <is>
          <t>T-05</t>
        </is>
      </c>
      <c r="B10" s="27" t="inlineStr">
        <is>
          <t>R5</t>
        </is>
      </c>
      <c r="C10" s="29" t="n">
        <v>46310</v>
      </c>
      <c r="D10" s="28" t="inlineStr">
        <is>
          <t>Anders (Engineering Manager)</t>
        </is>
      </c>
      <c r="E10" s="28" t="n"/>
      <c r="F10" s="27" t="inlineStr">
        <is>
          <t>Passed</t>
        </is>
      </c>
      <c r="G10" s="28" t="n"/>
      <c r="H10" s="28" t="n"/>
      <c r="I10" s="28" t="inlineStr">
        <is>
          <t>Typed on 15 Oct 2026, when R5 was closed. No result was kept.</t>
        </is>
      </c>
      <c r="J10" s="19">
        <f>IF($M10=0,"",IF(SUM($S10:$X10)=0,"○ Clear",IF($S10=1,"△ Run, For, Date, Tested on or Run by missing or wrong",IF($X10=1,IF(AND($N10="Planned",TRIM(INDEX(Criteria!$D$6:$D$105,MATCH($B10,Criteria!$A$6:$A$105,0)))=""),"△ The criterion has no Pass line","△ Pass line used is blank"),IF($T10=1,"△ Checked by a builder, the runner or nobody",IF($U10=1,IF($N10="Planned","△ Result or File typed on a planned run",IF(AND(OR($N10="Passed",$N10="Failed"),TRIM($G10)&lt;&gt;"",TRIM($H10)&lt;&gt;"",ISNUMBER($C10),NOT(AND($N10="Failed",TRIM($I10)=""))),"△ Result dated after the date the checks use","△ Result, File or Reason missing")),IF($V10=1,"△ Planned day has passed, with no result","△ Pass line has changed since this run was planned")))))&amp;IF(SUM($S10:$X10)&gt;1,", and "&amp;(SUM($S10:$X10)-1)&amp;" more","")))</f>
        <v/>
      </c>
      <c r="K10" s="28" t="inlineStr">
        <is>
          <t>200 invoices, tax rounded both ways</t>
        </is>
      </c>
      <c r="L10" s="28" t="n"/>
      <c r="M10" s="32">
        <f>IF(COUNTA($A10:$I10)+COUNTA($K10:$L10)&gt;0,1,0)</f>
        <v/>
      </c>
      <c r="N10" s="22">
        <f>IF($M10=0,"",IF($F10="","Planned",$F10))</f>
        <v/>
      </c>
      <c r="O10" s="32">
        <f>IF(OR($M10=0,TRIM($B10)=""),0,IF(COUNTIF(Criteria!$A$6:$A$105,$B10)&gt;0,1,0))</f>
        <v/>
      </c>
      <c r="P10" s="32">
        <f>IF(OR($M10=0,TRIM($B10)=""),0,IF(AND(LEN($B10)&gt;1,ISNUMBER(MATCH(LEFT($B10,1),{"R","I","A","X"},0)),ISNUMBER(VALUE(MID($B10,2,5)))),1,0))</f>
        <v/>
      </c>
      <c r="Q10" s="32">
        <f>IF(OR($M10=0,TRIM($B10)="",$N10="Planned"),0,IF(COUNTIFS($B$6:$B$105,$B10,$C$6:$C$105,"&gt;"&amp;$C10,$N$6:$N$105,"&lt;&gt;Planned")+COUNTIFS($B11:$B$106,$B10,$C11:$C$106,$C10,$N11:$N$106,"&lt;&gt;Planned")=0,1,0))</f>
        <v/>
      </c>
      <c r="R10" s="22">
        <f>IF($Q10=1,$B10,"")</f>
        <v/>
      </c>
      <c r="S10" s="32">
        <f>IF($M10=0,0,IF(OR(TRIM($A10)="",COUNTIF($A$6:$A$105,$A10)&gt;1,TRIM($B10)="",AND($O10=0,$P10=0),NOT(ISNUMBER($C10)),AND($N10&lt;&gt;"Not run",OR(TRIM($K10)="",TRIM($D10)=""))),1,0))</f>
        <v/>
      </c>
      <c r="T10" s="32">
        <f>IF($M10=0,0,IF(TRIM($E10)="",IF(OR($N10="Passed",$N10="Failed"),1,0),IF(OR(SUMPRODUCT(--(TRIM(LEFT(Summary!$G$6:$G$13,FIND(" (",Summary!$G$6:$G$13&amp;" (")-1))=TRIM(LEFT($E10,FIND(" (",$E10&amp;" (")-1))))&gt;0,TRIM(LEFT($E10,FIND(" (",$E10&amp;" (")-1))=TRIM(LEFT($D10,FIND(" (",$D10&amp;" (")-1))),1,0)))</f>
        <v/>
      </c>
      <c r="U10" s="32">
        <f>IF($M10=0,0,IF(OR($N10="Passed",$N10="Failed"),IF(OR(TRIM($G10)="",TRIM($H10)="",NOT(ISNUMBER($C10)),AND($N10="Failed",TRIM($I10)="")),1,IF($C10&gt;Summary!$B$12,1,0)),IF($N10="Not run",IF(TRIM($I10)="",1,0),IF(OR(TRIM($G10)&lt;&gt;"",TRIM($H10)&lt;&gt;""),1,0))))</f>
        <v/>
      </c>
      <c r="V10" s="32">
        <f>IF(OR($M10=0,$N10&lt;&gt;"Planned",NOT(ISNUMBER($C10))),0,IF($C10&lt;Summary!$B$12,1,0))</f>
        <v/>
      </c>
      <c r="W10" s="32">
        <f>IF(OR($M10=0,$O10=0,$N10="Not run",TRIM($L10)=""),0,IF(TRIM($L10)=TRIM(INDEX(Criteria!$D$6:$D$105,MATCH($B10,Criteria!$A$6:$A$105,0))),0,1))</f>
        <v/>
      </c>
      <c r="X10" s="32">
        <f>IF(OR($M10=0,$O10=0,$N10="Not run"),0,IF(OR(TRIM($L10)="",AND($N10="Planned",TRIM(INDEX(Criteria!$D$6:$D$105,MATCH($B10,Criteria!$A$6:$A$105,0)))="")),1,0))</f>
        <v/>
      </c>
    </row>
    <row r="11" ht="44" customHeight="1">
      <c r="A11" s="27" t="inlineStr">
        <is>
          <t>T-06</t>
        </is>
      </c>
      <c r="B11" s="27" t="inlineStr">
        <is>
          <t>C-04</t>
        </is>
      </c>
      <c r="C11" s="29" t="n">
        <v>46338</v>
      </c>
      <c r="D11" s="28" t="inlineStr">
        <is>
          <t>Backend engineer 1</t>
        </is>
      </c>
      <c r="E11" s="28" t="inlineStr">
        <is>
          <t>Rhys (Finance Operations Lead)</t>
        </is>
      </c>
      <c r="F11" s="27" t="inlineStr">
        <is>
          <t>Planned</t>
        </is>
      </c>
      <c r="G11" s="28" t="n"/>
      <c r="H11" s="28" t="n"/>
      <c r="I11" s="28" t="inlineStr">
        <is>
          <t>Runs 10 to 12 Nov, once the second environment arrives.</t>
        </is>
      </c>
      <c r="J11" s="19">
        <f>IF($M11=0,"",IF(SUM($S11:$X11)=0,"○ Clear",IF($S11=1,"△ Run, For, Date, Tested on or Run by missing or wrong",IF($X11=1,IF(AND($N11="Planned",TRIM(INDEX(Criteria!$D$6:$D$105,MATCH($B11,Criteria!$A$6:$A$105,0)))=""),"△ The criterion has no Pass line","△ Pass line used is blank"),IF($T11=1,"△ Checked by a builder, the runner or nobody",IF($U11=1,IF($N11="Planned","△ Result or File typed on a planned run",IF(AND(OR($N11="Passed",$N11="Failed"),TRIM($G11)&lt;&gt;"",TRIM($H11)&lt;&gt;"",ISNUMBER($C11),NOT(AND($N11="Failed",TRIM($I11)=""))),"△ Result dated after the date the checks use","△ Result, File or Reason missing")),IF($V11=1,"△ Planned day has passed, with no result","△ Pass line has changed since this run was planned")))))&amp;IF(SUM($S11:$X11)&gt;1,", and "&amp;(SUM($S11:$X11)-1)&amp;" more","")))</f>
        <v/>
      </c>
      <c r="K11" s="28" t="inlineStr">
        <is>
          <t>Full copy of the customer records</t>
        </is>
      </c>
      <c r="L11" s="28" t="inlineStr">
        <is>
          <t>Counts match, with 0 invoices missing</t>
        </is>
      </c>
      <c r="M11" s="32">
        <f>IF(COUNTA($A11:$I11)+COUNTA($K11:$L11)&gt;0,1,0)</f>
        <v/>
      </c>
      <c r="N11" s="22">
        <f>IF($M11=0,"",IF($F11="","Planned",$F11))</f>
        <v/>
      </c>
      <c r="O11" s="32">
        <f>IF(OR($M11=0,TRIM($B11)=""),0,IF(COUNTIF(Criteria!$A$6:$A$105,$B11)&gt;0,1,0))</f>
        <v/>
      </c>
      <c r="P11" s="32">
        <f>IF(OR($M11=0,TRIM($B11)=""),0,IF(AND(LEN($B11)&gt;1,ISNUMBER(MATCH(LEFT($B11,1),{"R","I","A","X"},0)),ISNUMBER(VALUE(MID($B11,2,5)))),1,0))</f>
        <v/>
      </c>
      <c r="Q11" s="32">
        <f>IF(OR($M11=0,TRIM($B11)="",$N11="Planned"),0,IF(COUNTIFS($B$6:$B$105,$B11,$C$6:$C$105,"&gt;"&amp;$C11,$N$6:$N$105,"&lt;&gt;Planned")+COUNTIFS($B12:$B$106,$B11,$C12:$C$106,$C11,$N12:$N$106,"&lt;&gt;Planned")=0,1,0))</f>
        <v/>
      </c>
      <c r="R11" s="22">
        <f>IF($Q11=1,$B11,"")</f>
        <v/>
      </c>
      <c r="S11" s="32">
        <f>IF($M11=0,0,IF(OR(TRIM($A11)="",COUNTIF($A$6:$A$105,$A11)&gt;1,TRIM($B11)="",AND($O11=0,$P11=0),NOT(ISNUMBER($C11)),AND($N11&lt;&gt;"Not run",OR(TRIM($K11)="",TRIM($D11)=""))),1,0))</f>
        <v/>
      </c>
      <c r="T11" s="32">
        <f>IF($M11=0,0,IF(TRIM($E11)="",IF(OR($N11="Passed",$N11="Failed"),1,0),IF(OR(SUMPRODUCT(--(TRIM(LEFT(Summary!$G$6:$G$13,FIND(" (",Summary!$G$6:$G$13&amp;" (")-1))=TRIM(LEFT($E11,FIND(" (",$E11&amp;" (")-1))))&gt;0,TRIM(LEFT($E11,FIND(" (",$E11&amp;" (")-1))=TRIM(LEFT($D11,FIND(" (",$D11&amp;" (")-1))),1,0)))</f>
        <v/>
      </c>
      <c r="U11" s="32">
        <f>IF($M11=0,0,IF(OR($N11="Passed",$N11="Failed"),IF(OR(TRIM($G11)="",TRIM($H11)="",NOT(ISNUMBER($C11)),AND($N11="Failed",TRIM($I11)="")),1,IF($C11&gt;Summary!$B$12,1,0)),IF($N11="Not run",IF(TRIM($I11)="",1,0),IF(OR(TRIM($G11)&lt;&gt;"",TRIM($H11)&lt;&gt;""),1,0))))</f>
        <v/>
      </c>
      <c r="V11" s="32">
        <f>IF(OR($M11=0,$N11&lt;&gt;"Planned",NOT(ISNUMBER($C11))),0,IF($C11&lt;Summary!$B$12,1,0))</f>
        <v/>
      </c>
      <c r="W11" s="32">
        <f>IF(OR($M11=0,$O11=0,$N11="Not run",TRIM($L11)=""),0,IF(TRIM($L11)=TRIM(INDEX(Criteria!$D$6:$D$105,MATCH($B11,Criteria!$A$6:$A$105,0))),0,1))</f>
        <v/>
      </c>
      <c r="X11" s="32">
        <f>IF(OR($M11=0,$O11=0,$N11="Not run"),0,IF(OR(TRIM($L11)="",AND($N11="Planned",TRIM(INDEX(Criteria!$D$6:$D$105,MATCH($B11,Criteria!$A$6:$A$105,0)))="")),1,0))</f>
        <v/>
      </c>
    </row>
    <row r="12" ht="44" customHeight="1">
      <c r="A12" s="27" t="inlineStr">
        <is>
          <t>T-07</t>
        </is>
      </c>
      <c r="B12" s="27" t="inlineStr">
        <is>
          <t>C-05</t>
        </is>
      </c>
      <c r="C12" s="29" t="n">
        <v>46343</v>
      </c>
      <c r="D12" s="28" t="inlineStr">
        <is>
          <t>Backend engineer 1</t>
        </is>
      </c>
      <c r="E12" s="28" t="inlineStr">
        <is>
          <t>Rhys (Finance Operations Lead)</t>
        </is>
      </c>
      <c r="F12" s="27" t="inlineStr">
        <is>
          <t>Planned</t>
        </is>
      </c>
      <c r="G12" s="28" t="n"/>
      <c r="H12" s="28" t="n"/>
      <c r="I12" s="28" t="n"/>
      <c r="J12" s="19">
        <f>IF($M12=0,"",IF(SUM($S12:$X12)=0,"○ Clear",IF($S12=1,"△ Run, For, Date, Tested on or Run by missing or wrong",IF($X12=1,IF(AND($N12="Planned",TRIM(INDEX(Criteria!$D$6:$D$105,MATCH($B12,Criteria!$A$6:$A$105,0)))=""),"△ The criterion has no Pass line","△ Pass line used is blank"),IF($T12=1,"△ Checked by a builder, the runner or nobody",IF($U12=1,IF($N12="Planned","△ Result or File typed on a planned run",IF(AND(OR($N12="Passed",$N12="Failed"),TRIM($G12)&lt;&gt;"",TRIM($H12)&lt;&gt;"",ISNUMBER($C12),NOT(AND($N12="Failed",TRIM($I12)=""))),"△ Result dated after the date the checks use","△ Result, File or Reason missing")),IF($V12=1,"△ Planned day has passed, with no result","△ Pass line has changed since this run was planned")))))&amp;IF(SUM($S12:$X12)&gt;1,", and "&amp;(SUM($S12:$X12)-1)&amp;" more","")))</f>
        <v/>
      </c>
      <c r="K12" s="28" t="inlineStr">
        <is>
          <t>The month-end invoice run</t>
        </is>
      </c>
      <c r="L12" s="28" t="inlineStr">
        <is>
          <t>Fast enough for month end</t>
        </is>
      </c>
      <c r="M12" s="32">
        <f>IF(COUNTA($A12:$I12)+COUNTA($K12:$L12)&gt;0,1,0)</f>
        <v/>
      </c>
      <c r="N12" s="22">
        <f>IF($M12=0,"",IF($F12="","Planned",$F12))</f>
        <v/>
      </c>
      <c r="O12" s="32">
        <f>IF(OR($M12=0,TRIM($B12)=""),0,IF(COUNTIF(Criteria!$A$6:$A$105,$B12)&gt;0,1,0))</f>
        <v/>
      </c>
      <c r="P12" s="32">
        <f>IF(OR($M12=0,TRIM($B12)=""),0,IF(AND(LEN($B12)&gt;1,ISNUMBER(MATCH(LEFT($B12,1),{"R","I","A","X"},0)),ISNUMBER(VALUE(MID($B12,2,5)))),1,0))</f>
        <v/>
      </c>
      <c r="Q12" s="32">
        <f>IF(OR($M12=0,TRIM($B12)="",$N12="Planned"),0,IF(COUNTIFS($B$6:$B$105,$B12,$C$6:$C$105,"&gt;"&amp;$C12,$N$6:$N$105,"&lt;&gt;Planned")+COUNTIFS($B13:$B$106,$B12,$C13:$C$106,$C12,$N13:$N$106,"&lt;&gt;Planned")=0,1,0))</f>
        <v/>
      </c>
      <c r="R12" s="22">
        <f>IF($Q12=1,$B12,"")</f>
        <v/>
      </c>
      <c r="S12" s="32">
        <f>IF($M12=0,0,IF(OR(TRIM($A12)="",COUNTIF($A$6:$A$105,$A12)&gt;1,TRIM($B12)="",AND($O12=0,$P12=0),NOT(ISNUMBER($C12)),AND($N12&lt;&gt;"Not run",OR(TRIM($K12)="",TRIM($D12)=""))),1,0))</f>
        <v/>
      </c>
      <c r="T12" s="32">
        <f>IF($M12=0,0,IF(TRIM($E12)="",IF(OR($N12="Passed",$N12="Failed"),1,0),IF(OR(SUMPRODUCT(--(TRIM(LEFT(Summary!$G$6:$G$13,FIND(" (",Summary!$G$6:$G$13&amp;" (")-1))=TRIM(LEFT($E12,FIND(" (",$E12&amp;" (")-1))))&gt;0,TRIM(LEFT($E12,FIND(" (",$E12&amp;" (")-1))=TRIM(LEFT($D12,FIND(" (",$D12&amp;" (")-1))),1,0)))</f>
        <v/>
      </c>
      <c r="U12" s="32">
        <f>IF($M12=0,0,IF(OR($N12="Passed",$N12="Failed"),IF(OR(TRIM($G12)="",TRIM($H12)="",NOT(ISNUMBER($C12)),AND($N12="Failed",TRIM($I12)="")),1,IF($C12&gt;Summary!$B$12,1,0)),IF($N12="Not run",IF(TRIM($I12)="",1,0),IF(OR(TRIM($G12)&lt;&gt;"",TRIM($H12)&lt;&gt;""),1,0))))</f>
        <v/>
      </c>
      <c r="V12" s="32">
        <f>IF(OR($M12=0,$N12&lt;&gt;"Planned",NOT(ISNUMBER($C12))),0,IF($C12&lt;Summary!$B$12,1,0))</f>
        <v/>
      </c>
      <c r="W12" s="32">
        <f>IF(OR($M12=0,$O12=0,$N12="Not run",TRIM($L12)=""),0,IF(TRIM($L12)=TRIM(INDEX(Criteria!$D$6:$D$105,MATCH($B12,Criteria!$A$6:$A$105,0))),0,1))</f>
        <v/>
      </c>
      <c r="X12" s="32">
        <f>IF(OR($M12=0,$O12=0,$N12="Not run"),0,IF(OR(TRIM($L12)="",AND($N12="Planned",TRIM(INDEX(Criteria!$D$6:$D$105,MATCH($B12,Criteria!$A$6:$A$105,0)))="")),1,0))</f>
        <v/>
      </c>
    </row>
    <row r="13" ht="57" customHeight="1">
      <c r="A13" s="27" t="inlineStr">
        <is>
          <t>T-08</t>
        </is>
      </c>
      <c r="B13" s="27" t="inlineStr">
        <is>
          <t>C-06</t>
        </is>
      </c>
      <c r="C13" s="29" t="n">
        <v>46339</v>
      </c>
      <c r="D13" s="28" t="inlineStr">
        <is>
          <t>Backend engineer 1</t>
        </is>
      </c>
      <c r="E13" s="28" t="inlineStr">
        <is>
          <t>Noor (Support Lead)</t>
        </is>
      </c>
      <c r="F13" s="27" t="inlineStr">
        <is>
          <t>Planned</t>
        </is>
      </c>
      <c r="G13" s="28" t="n"/>
      <c r="H13" s="28" t="n"/>
      <c r="I13" s="28" t="n"/>
      <c r="J13" s="19">
        <f>IF($M13=0,"",IF(SUM($S13:$X13)=0,"○ Clear",IF($S13=1,"△ Run, For, Date, Tested on or Run by missing or wrong",IF($X13=1,IF(AND($N13="Planned",TRIM(INDEX(Criteria!$D$6:$D$105,MATCH($B13,Criteria!$A$6:$A$105,0)))=""),"△ The criterion has no Pass line","△ Pass line used is blank"),IF($T13=1,"△ Checked by a builder, the runner or nobody",IF($U13=1,IF($N13="Planned","△ Result or File typed on a planned run",IF(AND(OR($N13="Passed",$N13="Failed"),TRIM($G13)&lt;&gt;"",TRIM($H13)&lt;&gt;"",ISNUMBER($C13),NOT(AND($N13="Failed",TRIM($I13)=""))),"△ Result dated after the date the checks use","△ Result, File or Reason missing")),IF($V13=1,"△ Planned day has passed, with no result","△ Pass line has changed since this run was planned")))))&amp;IF(SUM($S13:$X13)&gt;1,", and "&amp;(SUM($S13:$X13)-1)&amp;" more","")))</f>
        <v/>
      </c>
      <c r="K13" s="28" t="inlineStr">
        <is>
          <t>Open defects, counted by severity</t>
        </is>
      </c>
      <c r="L13" s="28" t="inlineStr">
        <is>
          <t>0 severity 1, 0 severity 2, 5 or fewer severity 3</t>
        </is>
      </c>
      <c r="M13" s="32">
        <f>IF(COUNTA($A13:$I13)+COUNTA($K13:$L13)&gt;0,1,0)</f>
        <v/>
      </c>
      <c r="N13" s="22">
        <f>IF($M13=0,"",IF($F13="","Planned",$F13))</f>
        <v/>
      </c>
      <c r="O13" s="32">
        <f>IF(OR($M13=0,TRIM($B13)=""),0,IF(COUNTIF(Criteria!$A$6:$A$105,$B13)&gt;0,1,0))</f>
        <v/>
      </c>
      <c r="P13" s="32">
        <f>IF(OR($M13=0,TRIM($B13)=""),0,IF(AND(LEN($B13)&gt;1,ISNUMBER(MATCH(LEFT($B13,1),{"R","I","A","X"},0)),ISNUMBER(VALUE(MID($B13,2,5)))),1,0))</f>
        <v/>
      </c>
      <c r="Q13" s="32">
        <f>IF(OR($M13=0,TRIM($B13)="",$N13="Planned"),0,IF(COUNTIFS($B$6:$B$105,$B13,$C$6:$C$105,"&gt;"&amp;$C13,$N$6:$N$105,"&lt;&gt;Planned")+COUNTIFS($B14:$B$106,$B13,$C14:$C$106,$C13,$N14:$N$106,"&lt;&gt;Planned")=0,1,0))</f>
        <v/>
      </c>
      <c r="R13" s="22">
        <f>IF($Q13=1,$B13,"")</f>
        <v/>
      </c>
      <c r="S13" s="32">
        <f>IF($M13=0,0,IF(OR(TRIM($A13)="",COUNTIF($A$6:$A$105,$A13)&gt;1,TRIM($B13)="",AND($O13=0,$P13=0),NOT(ISNUMBER($C13)),AND($N13&lt;&gt;"Not run",OR(TRIM($K13)="",TRIM($D13)=""))),1,0))</f>
        <v/>
      </c>
      <c r="T13" s="32">
        <f>IF($M13=0,0,IF(TRIM($E13)="",IF(OR($N13="Passed",$N13="Failed"),1,0),IF(OR(SUMPRODUCT(--(TRIM(LEFT(Summary!$G$6:$G$13,FIND(" (",Summary!$G$6:$G$13&amp;" (")-1))=TRIM(LEFT($E13,FIND(" (",$E13&amp;" (")-1))))&gt;0,TRIM(LEFT($E13,FIND(" (",$E13&amp;" (")-1))=TRIM(LEFT($D13,FIND(" (",$D13&amp;" (")-1))),1,0)))</f>
        <v/>
      </c>
      <c r="U13" s="32">
        <f>IF($M13=0,0,IF(OR($N13="Passed",$N13="Failed"),IF(OR(TRIM($G13)="",TRIM($H13)="",NOT(ISNUMBER($C13)),AND($N13="Failed",TRIM($I13)="")),1,IF($C13&gt;Summary!$B$12,1,0)),IF($N13="Not run",IF(TRIM($I13)="",1,0),IF(OR(TRIM($G13)&lt;&gt;"",TRIM($H13)&lt;&gt;""),1,0))))</f>
        <v/>
      </c>
      <c r="V13" s="32">
        <f>IF(OR($M13=0,$N13&lt;&gt;"Planned",NOT(ISNUMBER($C13))),0,IF($C13&lt;Summary!$B$12,1,0))</f>
        <v/>
      </c>
      <c r="W13" s="32">
        <f>IF(OR($M13=0,$O13=0,$N13="Not run",TRIM($L13)=""),0,IF(TRIM($L13)=TRIM(INDEX(Criteria!$D$6:$D$105,MATCH($B13,Criteria!$A$6:$A$105,0))),0,1))</f>
        <v/>
      </c>
      <c r="X13" s="32">
        <f>IF(OR($M13=0,$O13=0,$N13="Not run"),0,IF(OR(TRIM($L13)="",AND($N13="Planned",TRIM(INDEX(Criteria!$D$6:$D$105,MATCH($B13,Criteria!$A$6:$A$105,0)))="")),1,0))</f>
        <v/>
      </c>
    </row>
    <row r="14" ht="31" customHeight="1">
      <c r="A14" s="27" t="inlineStr">
        <is>
          <t>T-09</t>
        </is>
      </c>
      <c r="B14" s="27" t="inlineStr">
        <is>
          <t>C-08</t>
        </is>
      </c>
      <c r="C14" s="29" t="n">
        <v>46340</v>
      </c>
      <c r="D14" s="28" t="inlineStr">
        <is>
          <t>Backend engineer 1</t>
        </is>
      </c>
      <c r="E14" s="28" t="inlineStr">
        <is>
          <t>Priya (CTO)</t>
        </is>
      </c>
      <c r="F14" s="27" t="inlineStr">
        <is>
          <t>Planned</t>
        </is>
      </c>
      <c r="G14" s="28" t="n"/>
      <c r="H14" s="28" t="n"/>
      <c r="I14" s="28" t="n"/>
      <c r="J14" s="19">
        <f>IF($M14=0,"",IF(SUM($S14:$X14)=0,"○ Clear",IF($S14=1,"△ Run, For, Date, Tested on or Run by missing or wrong",IF($X14=1,IF(AND($N14="Planned",TRIM(INDEX(Criteria!$D$6:$D$105,MATCH($B14,Criteria!$A$6:$A$105,0)))=""),"△ The criterion has no Pass line","△ Pass line used is blank"),IF($T14=1,"△ Checked by a builder, the runner or nobody",IF($U14=1,IF($N14="Planned","△ Result or File typed on a planned run",IF(AND(OR($N14="Passed",$N14="Failed"),TRIM($G14)&lt;&gt;"",TRIM($H14)&lt;&gt;"",ISNUMBER($C14),NOT(AND($N14="Failed",TRIM($I14)=""))),"△ Result dated after the date the checks use","△ Result, File or Reason missing")),IF($V14=1,"△ Planned day has passed, with no result","△ Pass line has changed since this run was planned")))))&amp;IF(SUM($S14:$X14)&gt;1,", and "&amp;(SUM($S14:$X14)-1)&amp;" more","")))</f>
        <v/>
      </c>
      <c r="K14" s="28" t="inlineStr">
        <is>
          <t>Rehearsal 1, rollback on the staging copy</t>
        </is>
      </c>
      <c r="L14" s="28" t="inlineStr">
        <is>
          <t>Rollback finishes in 4 hours or less</t>
        </is>
      </c>
      <c r="M14" s="32">
        <f>IF(COUNTA($A14:$I14)+COUNTA($K14:$L14)&gt;0,1,0)</f>
        <v/>
      </c>
      <c r="N14" s="22">
        <f>IF($M14=0,"",IF($F14="","Planned",$F14))</f>
        <v/>
      </c>
      <c r="O14" s="32">
        <f>IF(OR($M14=0,TRIM($B14)=""),0,IF(COUNTIF(Criteria!$A$6:$A$105,$B14)&gt;0,1,0))</f>
        <v/>
      </c>
      <c r="P14" s="32">
        <f>IF(OR($M14=0,TRIM($B14)=""),0,IF(AND(LEN($B14)&gt;1,ISNUMBER(MATCH(LEFT($B14,1),{"R","I","A","X"},0)),ISNUMBER(VALUE(MID($B14,2,5)))),1,0))</f>
        <v/>
      </c>
      <c r="Q14" s="32">
        <f>IF(OR($M14=0,TRIM($B14)="",$N14="Planned"),0,IF(COUNTIFS($B$6:$B$105,$B14,$C$6:$C$105,"&gt;"&amp;$C14,$N$6:$N$105,"&lt;&gt;Planned")+COUNTIFS($B15:$B$106,$B14,$C15:$C$106,$C14,$N15:$N$106,"&lt;&gt;Planned")=0,1,0))</f>
        <v/>
      </c>
      <c r="R14" s="22">
        <f>IF($Q14=1,$B14,"")</f>
        <v/>
      </c>
      <c r="S14" s="32">
        <f>IF($M14=0,0,IF(OR(TRIM($A14)="",COUNTIF($A$6:$A$105,$A14)&gt;1,TRIM($B14)="",AND($O14=0,$P14=0),NOT(ISNUMBER($C14)),AND($N14&lt;&gt;"Not run",OR(TRIM($K14)="",TRIM($D14)=""))),1,0))</f>
        <v/>
      </c>
      <c r="T14" s="32">
        <f>IF($M14=0,0,IF(TRIM($E14)="",IF(OR($N14="Passed",$N14="Failed"),1,0),IF(OR(SUMPRODUCT(--(TRIM(LEFT(Summary!$G$6:$G$13,FIND(" (",Summary!$G$6:$G$13&amp;" (")-1))=TRIM(LEFT($E14,FIND(" (",$E14&amp;" (")-1))))&gt;0,TRIM(LEFT($E14,FIND(" (",$E14&amp;" (")-1))=TRIM(LEFT($D14,FIND(" (",$D14&amp;" (")-1))),1,0)))</f>
        <v/>
      </c>
      <c r="U14" s="32">
        <f>IF($M14=0,0,IF(OR($N14="Passed",$N14="Failed"),IF(OR(TRIM($G14)="",TRIM($H14)="",NOT(ISNUMBER($C14)),AND($N14="Failed",TRIM($I14)="")),1,IF($C14&gt;Summary!$B$12,1,0)),IF($N14="Not run",IF(TRIM($I14)="",1,0),IF(OR(TRIM($G14)&lt;&gt;"",TRIM($H14)&lt;&gt;""),1,0))))</f>
        <v/>
      </c>
      <c r="V14" s="32">
        <f>IF(OR($M14=0,$N14&lt;&gt;"Planned",NOT(ISNUMBER($C14))),0,IF($C14&lt;Summary!$B$12,1,0))</f>
        <v/>
      </c>
      <c r="W14" s="32">
        <f>IF(OR($M14=0,$O14=0,$N14="Not run",TRIM($L14)=""),0,IF(TRIM($L14)=TRIM(INDEX(Criteria!$D$6:$D$105,MATCH($B14,Criteria!$A$6:$A$105,0))),0,1))</f>
        <v/>
      </c>
      <c r="X14" s="32">
        <f>IF(OR($M14=0,$O14=0,$N14="Not run"),0,IF(OR(TRIM($L14)="",AND($N14="Planned",TRIM(INDEX(Criteria!$D$6:$D$105,MATCH($B14,Criteria!$A$6:$A$105,0)))="")),1,0))</f>
        <v/>
      </c>
    </row>
    <row r="15" ht="31" customHeight="1">
      <c r="A15" s="27" t="inlineStr">
        <is>
          <t>T-10</t>
        </is>
      </c>
      <c r="B15" s="27" t="inlineStr">
        <is>
          <t>C-08</t>
        </is>
      </c>
      <c r="C15" s="29" t="n">
        <v>46354</v>
      </c>
      <c r="D15" s="28" t="inlineStr">
        <is>
          <t>Backend engineer 1</t>
        </is>
      </c>
      <c r="E15" s="28" t="inlineStr">
        <is>
          <t>Priya (CTO)</t>
        </is>
      </c>
      <c r="F15" s="27" t="inlineStr">
        <is>
          <t>Planned</t>
        </is>
      </c>
      <c r="G15" s="28" t="n"/>
      <c r="H15" s="28" t="n"/>
      <c r="I15" s="28" t="n"/>
      <c r="J15" s="19">
        <f>IF($M15=0,"",IF(SUM($S15:$X15)=0,"○ Clear",IF($S15=1,"△ Run, For, Date, Tested on or Run by missing or wrong",IF($X15=1,IF(AND($N15="Planned",TRIM(INDEX(Criteria!$D$6:$D$105,MATCH($B15,Criteria!$A$6:$A$105,0)))=""),"△ The criterion has no Pass line","△ Pass line used is blank"),IF($T15=1,"△ Checked by a builder, the runner or nobody",IF($U15=1,IF($N15="Planned","△ Result or File typed on a planned run",IF(AND(OR($N15="Passed",$N15="Failed"),TRIM($G15)&lt;&gt;"",TRIM($H15)&lt;&gt;"",ISNUMBER($C15),NOT(AND($N15="Failed",TRIM($I15)=""))),"△ Result dated after the date the checks use","△ Result, File or Reason missing")),IF($V15=1,"△ Planned day has passed, with no result","△ Pass line has changed since this run was planned")))))&amp;IF(SUM($S15:$X15)&gt;1,", and "&amp;(SUM($S15:$X15)-1)&amp;" more","")))</f>
        <v/>
      </c>
      <c r="K15" s="28" t="inlineStr">
        <is>
          <t>Rehearsal 2, rollback on the staging copy</t>
        </is>
      </c>
      <c r="L15" s="28" t="inlineStr">
        <is>
          <t>Rollback finishes in 4 hours or less</t>
        </is>
      </c>
      <c r="M15" s="32">
        <f>IF(COUNTA($A15:$I15)+COUNTA($K15:$L15)&gt;0,1,0)</f>
        <v/>
      </c>
      <c r="N15" s="22">
        <f>IF($M15=0,"",IF($F15="","Planned",$F15))</f>
        <v/>
      </c>
      <c r="O15" s="32">
        <f>IF(OR($M15=0,TRIM($B15)=""),0,IF(COUNTIF(Criteria!$A$6:$A$105,$B15)&gt;0,1,0))</f>
        <v/>
      </c>
      <c r="P15" s="32">
        <f>IF(OR($M15=0,TRIM($B15)=""),0,IF(AND(LEN($B15)&gt;1,ISNUMBER(MATCH(LEFT($B15,1),{"R","I","A","X"},0)),ISNUMBER(VALUE(MID($B15,2,5)))),1,0))</f>
        <v/>
      </c>
      <c r="Q15" s="32">
        <f>IF(OR($M15=0,TRIM($B15)="",$N15="Planned"),0,IF(COUNTIFS($B$6:$B$105,$B15,$C$6:$C$105,"&gt;"&amp;$C15,$N$6:$N$105,"&lt;&gt;Planned")+COUNTIFS($B16:$B$106,$B15,$C16:$C$106,$C15,$N16:$N$106,"&lt;&gt;Planned")=0,1,0))</f>
        <v/>
      </c>
      <c r="R15" s="22">
        <f>IF($Q15=1,$B15,"")</f>
        <v/>
      </c>
      <c r="S15" s="32">
        <f>IF($M15=0,0,IF(OR(TRIM($A15)="",COUNTIF($A$6:$A$105,$A15)&gt;1,TRIM($B15)="",AND($O15=0,$P15=0),NOT(ISNUMBER($C15)),AND($N15&lt;&gt;"Not run",OR(TRIM($K15)="",TRIM($D15)=""))),1,0))</f>
        <v/>
      </c>
      <c r="T15" s="32">
        <f>IF($M15=0,0,IF(TRIM($E15)="",IF(OR($N15="Passed",$N15="Failed"),1,0),IF(OR(SUMPRODUCT(--(TRIM(LEFT(Summary!$G$6:$G$13,FIND(" (",Summary!$G$6:$G$13&amp;" (")-1))=TRIM(LEFT($E15,FIND(" (",$E15&amp;" (")-1))))&gt;0,TRIM(LEFT($E15,FIND(" (",$E15&amp;" (")-1))=TRIM(LEFT($D15,FIND(" (",$D15&amp;" (")-1))),1,0)))</f>
        <v/>
      </c>
      <c r="U15" s="32">
        <f>IF($M15=0,0,IF(OR($N15="Passed",$N15="Failed"),IF(OR(TRIM($G15)="",TRIM($H15)="",NOT(ISNUMBER($C15)),AND($N15="Failed",TRIM($I15)="")),1,IF($C15&gt;Summary!$B$12,1,0)),IF($N15="Not run",IF(TRIM($I15)="",1,0),IF(OR(TRIM($G15)&lt;&gt;"",TRIM($H15)&lt;&gt;""),1,0))))</f>
        <v/>
      </c>
      <c r="V15" s="32">
        <f>IF(OR($M15=0,$N15&lt;&gt;"Planned",NOT(ISNUMBER($C15))),0,IF($C15&lt;Summary!$B$12,1,0))</f>
        <v/>
      </c>
      <c r="W15" s="32">
        <f>IF(OR($M15=0,$O15=0,$N15="Not run",TRIM($L15)=""),0,IF(TRIM($L15)=TRIM(INDEX(Criteria!$D$6:$D$105,MATCH($B15,Criteria!$A$6:$A$105,0))),0,1))</f>
        <v/>
      </c>
      <c r="X15" s="32">
        <f>IF(OR($M15=0,$O15=0,$N15="Not run"),0,IF(OR(TRIM($L15)="",AND($N15="Planned",TRIM(INDEX(Criteria!$D$6:$D$105,MATCH($B15,Criteria!$A$6:$A$105,0)))="")),1,0))</f>
        <v/>
      </c>
    </row>
    <row r="16" ht="31" customHeight="1">
      <c r="A16" s="27" t="inlineStr">
        <is>
          <t>T-11</t>
        </is>
      </c>
      <c r="B16" s="27" t="inlineStr">
        <is>
          <t>C-10</t>
        </is>
      </c>
      <c r="C16" s="29" t="n">
        <v>46352</v>
      </c>
      <c r="D16" s="28" t="inlineStr">
        <is>
          <t>Support staff 1</t>
        </is>
      </c>
      <c r="E16" s="28" t="inlineStr">
        <is>
          <t>Noor (Support Lead)</t>
        </is>
      </c>
      <c r="F16" s="27" t="inlineStr">
        <is>
          <t>Planned</t>
        </is>
      </c>
      <c r="G16" s="28" t="n"/>
      <c r="H16" s="28" t="n"/>
      <c r="I16" s="28" t="n"/>
      <c r="J16" s="19">
        <f>IF($M16=0,"",IF(SUM($S16:$X16)=0,"○ Clear",IF($S16=1,"△ Run, For, Date, Tested on or Run by missing or wrong",IF($X16=1,IF(AND($N16="Planned",TRIM(INDEX(Criteria!$D$6:$D$105,MATCH($B16,Criteria!$A$6:$A$105,0)))=""),"△ The criterion has no Pass line","△ Pass line used is blank"),IF($T16=1,"△ Checked by a builder, the runner or nobody",IF($U16=1,IF($N16="Planned","△ Result or File typed on a planned run",IF(AND(OR($N16="Passed",$N16="Failed"),TRIM($G16)&lt;&gt;"",TRIM($H16)&lt;&gt;"",ISNUMBER($C16),NOT(AND($N16="Failed",TRIM($I16)=""))),"△ Result dated after the date the checks use","△ Result, File or Reason missing")),IF($V16=1,"△ Planned day has passed, with no result","△ Pass line has changed since this run was planned")))))&amp;IF(SUM($S16:$X16)&gt;1,", and "&amp;(SUM($S16:$X16)-1)&amp;" more","")))</f>
        <v/>
      </c>
      <c r="K16" s="28" t="inlineStr">
        <is>
          <t>10 sample billing questions</t>
        </is>
      </c>
      <c r="L16" s="28" t="inlineStr">
        <is>
          <t>10 of 10 answered without escalation</t>
        </is>
      </c>
      <c r="M16" s="32">
        <f>IF(COUNTA($A16:$I16)+COUNTA($K16:$L16)&gt;0,1,0)</f>
        <v/>
      </c>
      <c r="N16" s="22">
        <f>IF($M16=0,"",IF($F16="","Planned",$F16))</f>
        <v/>
      </c>
      <c r="O16" s="32">
        <f>IF(OR($M16=0,TRIM($B16)=""),0,IF(COUNTIF(Criteria!$A$6:$A$105,$B16)&gt;0,1,0))</f>
        <v/>
      </c>
      <c r="P16" s="32">
        <f>IF(OR($M16=0,TRIM($B16)=""),0,IF(AND(LEN($B16)&gt;1,ISNUMBER(MATCH(LEFT($B16,1),{"R","I","A","X"},0)),ISNUMBER(VALUE(MID($B16,2,5)))),1,0))</f>
        <v/>
      </c>
      <c r="Q16" s="32">
        <f>IF(OR($M16=0,TRIM($B16)="",$N16="Planned"),0,IF(COUNTIFS($B$6:$B$105,$B16,$C$6:$C$105,"&gt;"&amp;$C16,$N$6:$N$105,"&lt;&gt;Planned")+COUNTIFS($B17:$B$106,$B16,$C17:$C$106,$C16,$N17:$N$106,"&lt;&gt;Planned")=0,1,0))</f>
        <v/>
      </c>
      <c r="R16" s="22">
        <f>IF($Q16=1,$B16,"")</f>
        <v/>
      </c>
      <c r="S16" s="32">
        <f>IF($M16=0,0,IF(OR(TRIM($A16)="",COUNTIF($A$6:$A$105,$A16)&gt;1,TRIM($B16)="",AND($O16=0,$P16=0),NOT(ISNUMBER($C16)),AND($N16&lt;&gt;"Not run",OR(TRIM($K16)="",TRIM($D16)=""))),1,0))</f>
        <v/>
      </c>
      <c r="T16" s="32">
        <f>IF($M16=0,0,IF(TRIM($E16)="",IF(OR($N16="Passed",$N16="Failed"),1,0),IF(OR(SUMPRODUCT(--(TRIM(LEFT(Summary!$G$6:$G$13,FIND(" (",Summary!$G$6:$G$13&amp;" (")-1))=TRIM(LEFT($E16,FIND(" (",$E16&amp;" (")-1))))&gt;0,TRIM(LEFT($E16,FIND(" (",$E16&amp;" (")-1))=TRIM(LEFT($D16,FIND(" (",$D16&amp;" (")-1))),1,0)))</f>
        <v/>
      </c>
      <c r="U16" s="32">
        <f>IF($M16=0,0,IF(OR($N16="Passed",$N16="Failed"),IF(OR(TRIM($G16)="",TRIM($H16)="",NOT(ISNUMBER($C16)),AND($N16="Failed",TRIM($I16)="")),1,IF($C16&gt;Summary!$B$12,1,0)),IF($N16="Not run",IF(TRIM($I16)="",1,0),IF(OR(TRIM($G16)&lt;&gt;"",TRIM($H16)&lt;&gt;""),1,0))))</f>
        <v/>
      </c>
      <c r="V16" s="32">
        <f>IF(OR($M16=0,$N16&lt;&gt;"Planned",NOT(ISNUMBER($C16))),0,IF($C16&lt;Summary!$B$12,1,0))</f>
        <v/>
      </c>
      <c r="W16" s="32">
        <f>IF(OR($M16=0,$O16=0,$N16="Not run",TRIM($L16)=""),0,IF(TRIM($L16)=TRIM(INDEX(Criteria!$D$6:$D$105,MATCH($B16,Criteria!$A$6:$A$105,0))),0,1))</f>
        <v/>
      </c>
      <c r="X16" s="32">
        <f>IF(OR($M16=0,$O16=0,$N16="Not run"),0,IF(OR(TRIM($L16)="",AND($N16="Planned",TRIM(INDEX(Criteria!$D$6:$D$105,MATCH($B16,Criteria!$A$6:$A$105,0)))="")),1,0))</f>
        <v/>
      </c>
    </row>
    <row r="17" ht="44" customHeight="1">
      <c r="A17" s="27" t="inlineStr">
        <is>
          <t>T-12</t>
        </is>
      </c>
      <c r="B17" s="27" t="inlineStr">
        <is>
          <t>C-09</t>
        </is>
      </c>
      <c r="C17" s="29" t="n">
        <v>46395</v>
      </c>
      <c r="D17" s="28" t="inlineStr">
        <is>
          <t>Finance Operations analyst 1</t>
        </is>
      </c>
      <c r="E17" s="28" t="inlineStr">
        <is>
          <t>Rhys (Finance Operations Lead)</t>
        </is>
      </c>
      <c r="F17" s="27" t="inlineStr">
        <is>
          <t>Planned</t>
        </is>
      </c>
      <c r="G17" s="28" t="n"/>
      <c r="H17" s="28" t="n"/>
      <c r="I17" s="28" t="n"/>
      <c r="J17" s="19">
        <f>IF($M17=0,"",IF(SUM($S17:$X17)=0,"○ Clear",IF($S17=1,"△ Run, For, Date, Tested on or Run by missing or wrong",IF($X17=1,IF(AND($N17="Planned",TRIM(INDEX(Criteria!$D$6:$D$105,MATCH($B17,Criteria!$A$6:$A$105,0)))=""),"△ The criterion has no Pass line","△ Pass line used is blank"),IF($T17=1,"△ Checked by a builder, the runner or nobody",IF($U17=1,IF($N17="Planned","△ Result or File typed on a planned run",IF(AND(OR($N17="Passed",$N17="Failed"),TRIM($G17)&lt;&gt;"",TRIM($H17)&lt;&gt;"",ISNUMBER($C17),NOT(AND($N17="Failed",TRIM($I17)=""))),"△ Result dated after the date the checks use","△ Result, File or Reason missing")),IF($V17=1,"△ Planned day has passed, with no result","△ Pass line has changed since this run was planned")))))&amp;IF(SUM($S17:$X17)&gt;1,", and "&amp;(SUM($S17:$X17)-1)&amp;" more","")))</f>
        <v/>
      </c>
      <c r="K17" s="28" t="inlineStr">
        <is>
          <t>December's first live run</t>
        </is>
      </c>
      <c r="L17" s="28" t="inlineStr">
        <is>
          <t>Totals match to the cent, with 0 unexplained differences</t>
        </is>
      </c>
      <c r="M17" s="32">
        <f>IF(COUNTA($A17:$I17)+COUNTA($K17:$L17)&gt;0,1,0)</f>
        <v/>
      </c>
      <c r="N17" s="22">
        <f>IF($M17=0,"",IF($F17="","Planned",$F17))</f>
        <v/>
      </c>
      <c r="O17" s="32">
        <f>IF(OR($M17=0,TRIM($B17)=""),0,IF(COUNTIF(Criteria!$A$6:$A$105,$B17)&gt;0,1,0))</f>
        <v/>
      </c>
      <c r="P17" s="32">
        <f>IF(OR($M17=0,TRIM($B17)=""),0,IF(AND(LEN($B17)&gt;1,ISNUMBER(MATCH(LEFT($B17,1),{"R","I","A","X"},0)),ISNUMBER(VALUE(MID($B17,2,5)))),1,0))</f>
        <v/>
      </c>
      <c r="Q17" s="32">
        <f>IF(OR($M17=0,TRIM($B17)="",$N17="Planned"),0,IF(COUNTIFS($B$6:$B$105,$B17,$C$6:$C$105,"&gt;"&amp;$C17,$N$6:$N$105,"&lt;&gt;Planned")+COUNTIFS($B18:$B$106,$B17,$C18:$C$106,$C17,$N18:$N$106,"&lt;&gt;Planned")=0,1,0))</f>
        <v/>
      </c>
      <c r="R17" s="22">
        <f>IF($Q17=1,$B17,"")</f>
        <v/>
      </c>
      <c r="S17" s="32">
        <f>IF($M17=0,0,IF(OR(TRIM($A17)="",COUNTIF($A$6:$A$105,$A17)&gt;1,TRIM($B17)="",AND($O17=0,$P17=0),NOT(ISNUMBER($C17)),AND($N17&lt;&gt;"Not run",OR(TRIM($K17)="",TRIM($D17)=""))),1,0))</f>
        <v/>
      </c>
      <c r="T17" s="32">
        <f>IF($M17=0,0,IF(TRIM($E17)="",IF(OR($N17="Passed",$N17="Failed"),1,0),IF(OR(SUMPRODUCT(--(TRIM(LEFT(Summary!$G$6:$G$13,FIND(" (",Summary!$G$6:$G$13&amp;" (")-1))=TRIM(LEFT($E17,FIND(" (",$E17&amp;" (")-1))))&gt;0,TRIM(LEFT($E17,FIND(" (",$E17&amp;" (")-1))=TRIM(LEFT($D17,FIND(" (",$D17&amp;" (")-1))),1,0)))</f>
        <v/>
      </c>
      <c r="U17" s="32">
        <f>IF($M17=0,0,IF(OR($N17="Passed",$N17="Failed"),IF(OR(TRIM($G17)="",TRIM($H17)="",NOT(ISNUMBER($C17)),AND($N17="Failed",TRIM($I17)="")),1,IF($C17&gt;Summary!$B$12,1,0)),IF($N17="Not run",IF(TRIM($I17)="",1,0),IF(OR(TRIM($G17)&lt;&gt;"",TRIM($H17)&lt;&gt;""),1,0))))</f>
        <v/>
      </c>
      <c r="V17" s="32">
        <f>IF(OR($M17=0,$N17&lt;&gt;"Planned",NOT(ISNUMBER($C17))),0,IF($C17&lt;Summary!$B$12,1,0))</f>
        <v/>
      </c>
      <c r="W17" s="32">
        <f>IF(OR($M17=0,$O17=0,$N17="Not run",TRIM($L17)=""),0,IF(TRIM($L17)=TRIM(INDEX(Criteria!$D$6:$D$105,MATCH($B17,Criteria!$A$6:$A$105,0))),0,1))</f>
        <v/>
      </c>
      <c r="X17" s="32">
        <f>IF(OR($M17=0,$O17=0,$N17="Not run"),0,IF(OR(TRIM($L17)="",AND($N17="Planned",TRIM(INDEX(Criteria!$D$6:$D$105,MATCH($B17,Criteria!$A$6:$A$105,0)))="")),1,0))</f>
        <v/>
      </c>
    </row>
    <row r="18" ht="44" customHeight="1">
      <c r="A18" s="27" t="inlineStr">
        <is>
          <t>T-13</t>
        </is>
      </c>
      <c r="B18" s="27" t="inlineStr">
        <is>
          <t>C-11</t>
        </is>
      </c>
      <c r="C18" s="29" t="n">
        <v>46416</v>
      </c>
      <c r="D18" s="28" t="inlineStr">
        <is>
          <t>Finance Operations analyst 1</t>
        </is>
      </c>
      <c r="E18" s="28" t="inlineStr">
        <is>
          <t>Rhys (Finance Operations Lead)</t>
        </is>
      </c>
      <c r="F18" s="27" t="inlineStr">
        <is>
          <t>Planned</t>
        </is>
      </c>
      <c r="G18" s="28" t="n"/>
      <c r="H18" s="28" t="n"/>
      <c r="I18" s="28" t="n"/>
      <c r="J18" s="19">
        <f>IF($M18=0,"",IF(SUM($S18:$X18)=0,"○ Clear",IF($S18=1,"△ Run, For, Date, Tested on or Run by missing or wrong",IF($X18=1,IF(AND($N18="Planned",TRIM(INDEX(Criteria!$D$6:$D$105,MATCH($B18,Criteria!$A$6:$A$105,0)))=""),"△ The criterion has no Pass line","△ Pass line used is blank"),IF($T18=1,"△ Checked by a builder, the runner or nobody",IF($U18=1,IF($N18="Planned","△ Result or File typed on a planned run",IF(AND(OR($N18="Passed",$N18="Failed"),TRIM($G18)&lt;&gt;"",TRIM($H18)&lt;&gt;"",ISNUMBER($C18),NOT(AND($N18="Failed",TRIM($I18)=""))),"△ Result dated after the date the checks use","△ Result, File or Reason missing")),IF($V18=1,"△ Planned day has passed, with no result","△ Pass line has changed since this run was planned")))))&amp;IF(SUM($S18:$X18)&gt;1,", and "&amp;(SUM($S18:$X18)-1)&amp;" more","")))</f>
        <v/>
      </c>
      <c r="K18" s="28" t="inlineStr">
        <is>
          <t>The January month-end run</t>
        </is>
      </c>
      <c r="L18" s="28" t="inlineStr">
        <is>
          <t>The run finishes with no engineering help</t>
        </is>
      </c>
      <c r="M18" s="32">
        <f>IF(COUNTA($A18:$I18)+COUNTA($K18:$L18)&gt;0,1,0)</f>
        <v/>
      </c>
      <c r="N18" s="22">
        <f>IF($M18=0,"",IF($F18="","Planned",$F18))</f>
        <v/>
      </c>
      <c r="O18" s="32">
        <f>IF(OR($M18=0,TRIM($B18)=""),0,IF(COUNTIF(Criteria!$A$6:$A$105,$B18)&gt;0,1,0))</f>
        <v/>
      </c>
      <c r="P18" s="32">
        <f>IF(OR($M18=0,TRIM($B18)=""),0,IF(AND(LEN($B18)&gt;1,ISNUMBER(MATCH(LEFT($B18,1),{"R","I","A","X"},0)),ISNUMBER(VALUE(MID($B18,2,5)))),1,0))</f>
        <v/>
      </c>
      <c r="Q18" s="32">
        <f>IF(OR($M18=0,TRIM($B18)="",$N18="Planned"),0,IF(COUNTIFS($B$6:$B$105,$B18,$C$6:$C$105,"&gt;"&amp;$C18,$N$6:$N$105,"&lt;&gt;Planned")+COUNTIFS($B19:$B$106,$B18,$C19:$C$106,$C18,$N19:$N$106,"&lt;&gt;Planned")=0,1,0))</f>
        <v/>
      </c>
      <c r="R18" s="22">
        <f>IF($Q18=1,$B18,"")</f>
        <v/>
      </c>
      <c r="S18" s="32">
        <f>IF($M18=0,0,IF(OR(TRIM($A18)="",COUNTIF($A$6:$A$105,$A18)&gt;1,TRIM($B18)="",AND($O18=0,$P18=0),NOT(ISNUMBER($C18)),AND($N18&lt;&gt;"Not run",OR(TRIM($K18)="",TRIM($D18)=""))),1,0))</f>
        <v/>
      </c>
      <c r="T18" s="32">
        <f>IF($M18=0,0,IF(TRIM($E18)="",IF(OR($N18="Passed",$N18="Failed"),1,0),IF(OR(SUMPRODUCT(--(TRIM(LEFT(Summary!$G$6:$G$13,FIND(" (",Summary!$G$6:$G$13&amp;" (")-1))=TRIM(LEFT($E18,FIND(" (",$E18&amp;" (")-1))))&gt;0,TRIM(LEFT($E18,FIND(" (",$E18&amp;" (")-1))=TRIM(LEFT($D18,FIND(" (",$D18&amp;" (")-1))),1,0)))</f>
        <v/>
      </c>
      <c r="U18" s="32">
        <f>IF($M18=0,0,IF(OR($N18="Passed",$N18="Failed"),IF(OR(TRIM($G18)="",TRIM($H18)="",NOT(ISNUMBER($C18)),AND($N18="Failed",TRIM($I18)="")),1,IF($C18&gt;Summary!$B$12,1,0)),IF($N18="Not run",IF(TRIM($I18)="",1,0),IF(OR(TRIM($G18)&lt;&gt;"",TRIM($H18)&lt;&gt;""),1,0))))</f>
        <v/>
      </c>
      <c r="V18" s="32">
        <f>IF(OR($M18=0,$N18&lt;&gt;"Planned",NOT(ISNUMBER($C18))),0,IF($C18&lt;Summary!$B$12,1,0))</f>
        <v/>
      </c>
      <c r="W18" s="32">
        <f>IF(OR($M18=0,$O18=0,$N18="Not run",TRIM($L18)=""),0,IF(TRIM($L18)=TRIM(INDEX(Criteria!$D$6:$D$105,MATCH($B18,Criteria!$A$6:$A$105,0))),0,1))</f>
        <v/>
      </c>
      <c r="X18" s="32">
        <f>IF(OR($M18=0,$O18=0,$N18="Not run"),0,IF(OR(TRIM($L18)="",AND($N18="Planned",TRIM(INDEX(Criteria!$D$6:$D$105,MATCH($B18,Criteria!$A$6:$A$105,0)))="")),1,0))</f>
        <v/>
      </c>
    </row>
    <row r="19">
      <c r="A19" s="27" t="n"/>
      <c r="B19" s="27" t="n"/>
      <c r="C19" s="29" t="n"/>
      <c r="D19" s="28" t="n"/>
      <c r="E19" s="28" t="n"/>
      <c r="F19" s="27" t="n"/>
      <c r="G19" s="28" t="n"/>
      <c r="H19" s="28" t="n"/>
      <c r="I19" s="28" t="n"/>
      <c r="J19" s="19">
        <f>IF($M19=0,"",IF(SUM($S19:$X19)=0,"○ Clear",IF($S19=1,"△ Run, For, Date, Tested on or Run by missing or wrong",IF($X19=1,IF(AND($N19="Planned",TRIM(INDEX(Criteria!$D$6:$D$105,MATCH($B19,Criteria!$A$6:$A$105,0)))=""),"△ The criterion has no Pass line","△ Pass line used is blank"),IF($T19=1,"△ Checked by a builder, the runner or nobody",IF($U19=1,IF($N19="Planned","△ Result or File typed on a planned run",IF(AND(OR($N19="Passed",$N19="Failed"),TRIM($G19)&lt;&gt;"",TRIM($H19)&lt;&gt;"",ISNUMBER($C19),NOT(AND($N19="Failed",TRIM($I19)=""))),"△ Result dated after the date the checks use","△ Result, File or Reason missing")),IF($V19=1,"△ Planned day has passed, with no result","△ Pass line has changed since this run was planned")))))&amp;IF(SUM($S19:$X19)&gt;1,", and "&amp;(SUM($S19:$X19)-1)&amp;" more","")))</f>
        <v/>
      </c>
      <c r="K19" s="28" t="n"/>
      <c r="L19" s="28" t="n"/>
      <c r="M19" s="32">
        <f>IF(COUNTA($A19:$I19)+COUNTA($K19:$L19)&gt;0,1,0)</f>
        <v/>
      </c>
      <c r="N19" s="22">
        <f>IF($M19=0,"",IF($F19="","Planned",$F19))</f>
        <v/>
      </c>
      <c r="O19" s="32">
        <f>IF(OR($M19=0,TRIM($B19)=""),0,IF(COUNTIF(Criteria!$A$6:$A$105,$B19)&gt;0,1,0))</f>
        <v/>
      </c>
      <c r="P19" s="32">
        <f>IF(OR($M19=0,TRIM($B19)=""),0,IF(AND(LEN($B19)&gt;1,ISNUMBER(MATCH(LEFT($B19,1),{"R","I","A","X"},0)),ISNUMBER(VALUE(MID($B19,2,5)))),1,0))</f>
        <v/>
      </c>
      <c r="Q19" s="32">
        <f>IF(OR($M19=0,TRIM($B19)="",$N19="Planned"),0,IF(COUNTIFS($B$6:$B$105,$B19,$C$6:$C$105,"&gt;"&amp;$C19,$N$6:$N$105,"&lt;&gt;Planned")+COUNTIFS($B20:$B$106,$B19,$C20:$C$106,$C19,$N20:$N$106,"&lt;&gt;Planned")=0,1,0))</f>
        <v/>
      </c>
      <c r="R19" s="22">
        <f>IF($Q19=1,$B19,"")</f>
        <v/>
      </c>
      <c r="S19" s="32">
        <f>IF($M19=0,0,IF(OR(TRIM($A19)="",COUNTIF($A$6:$A$105,$A19)&gt;1,TRIM($B19)="",AND($O19=0,$P19=0),NOT(ISNUMBER($C19)),AND($N19&lt;&gt;"Not run",OR(TRIM($K19)="",TRIM($D19)=""))),1,0))</f>
        <v/>
      </c>
      <c r="T19" s="32">
        <f>IF($M19=0,0,IF(TRIM($E19)="",IF(OR($N19="Passed",$N19="Failed"),1,0),IF(OR(SUMPRODUCT(--(TRIM(LEFT(Summary!$G$6:$G$13,FIND(" (",Summary!$G$6:$G$13&amp;" (")-1))=TRIM(LEFT($E19,FIND(" (",$E19&amp;" (")-1))))&gt;0,TRIM(LEFT($E19,FIND(" (",$E19&amp;" (")-1))=TRIM(LEFT($D19,FIND(" (",$D19&amp;" (")-1))),1,0)))</f>
        <v/>
      </c>
      <c r="U19" s="32">
        <f>IF($M19=0,0,IF(OR($N19="Passed",$N19="Failed"),IF(OR(TRIM($G19)="",TRIM($H19)="",NOT(ISNUMBER($C19)),AND($N19="Failed",TRIM($I19)="")),1,IF($C19&gt;Summary!$B$12,1,0)),IF($N19="Not run",IF(TRIM($I19)="",1,0),IF(OR(TRIM($G19)&lt;&gt;"",TRIM($H19)&lt;&gt;""),1,0))))</f>
        <v/>
      </c>
      <c r="V19" s="32">
        <f>IF(OR($M19=0,$N19&lt;&gt;"Planned",NOT(ISNUMBER($C19))),0,IF($C19&lt;Summary!$B$12,1,0))</f>
        <v/>
      </c>
      <c r="W19" s="32">
        <f>IF(OR($M19=0,$O19=0,$N19="Not run",TRIM($L19)=""),0,IF(TRIM($L19)=TRIM(INDEX(Criteria!$D$6:$D$105,MATCH($B19,Criteria!$A$6:$A$105,0))),0,1))</f>
        <v/>
      </c>
      <c r="X19" s="32">
        <f>IF(OR($M19=0,$O19=0,$N19="Not run"),0,IF(OR(TRIM($L19)="",AND($N19="Planned",TRIM(INDEX(Criteria!$D$6:$D$105,MATCH($B19,Criteria!$A$6:$A$105,0)))="")),1,0))</f>
        <v/>
      </c>
    </row>
    <row r="20">
      <c r="A20" s="27" t="n"/>
      <c r="B20" s="27" t="n"/>
      <c r="C20" s="29" t="n"/>
      <c r="D20" s="28" t="n"/>
      <c r="E20" s="28" t="n"/>
      <c r="F20" s="27" t="n"/>
      <c r="G20" s="28" t="n"/>
      <c r="H20" s="28" t="n"/>
      <c r="I20" s="28" t="n"/>
      <c r="J20" s="19">
        <f>IF($M20=0,"",IF(SUM($S20:$X20)=0,"○ Clear",IF($S20=1,"△ Run, For, Date, Tested on or Run by missing or wrong",IF($X20=1,IF(AND($N20="Planned",TRIM(INDEX(Criteria!$D$6:$D$105,MATCH($B20,Criteria!$A$6:$A$105,0)))=""),"△ The criterion has no Pass line","△ Pass line used is blank"),IF($T20=1,"△ Checked by a builder, the runner or nobody",IF($U20=1,IF($N20="Planned","△ Result or File typed on a planned run",IF(AND(OR($N20="Passed",$N20="Failed"),TRIM($G20)&lt;&gt;"",TRIM($H20)&lt;&gt;"",ISNUMBER($C20),NOT(AND($N20="Failed",TRIM($I20)=""))),"△ Result dated after the date the checks use","△ Result, File or Reason missing")),IF($V20=1,"△ Planned day has passed, with no result","△ Pass line has changed since this run was planned")))))&amp;IF(SUM($S20:$X20)&gt;1,", and "&amp;(SUM($S20:$X20)-1)&amp;" more","")))</f>
        <v/>
      </c>
      <c r="K20" s="28" t="n"/>
      <c r="L20" s="28" t="n"/>
      <c r="M20" s="32">
        <f>IF(COUNTA($A20:$I20)+COUNTA($K20:$L20)&gt;0,1,0)</f>
        <v/>
      </c>
      <c r="N20" s="22">
        <f>IF($M20=0,"",IF($F20="","Planned",$F20))</f>
        <v/>
      </c>
      <c r="O20" s="32">
        <f>IF(OR($M20=0,TRIM($B20)=""),0,IF(COUNTIF(Criteria!$A$6:$A$105,$B20)&gt;0,1,0))</f>
        <v/>
      </c>
      <c r="P20" s="32">
        <f>IF(OR($M20=0,TRIM($B20)=""),0,IF(AND(LEN($B20)&gt;1,ISNUMBER(MATCH(LEFT($B20,1),{"R","I","A","X"},0)),ISNUMBER(VALUE(MID($B20,2,5)))),1,0))</f>
        <v/>
      </c>
      <c r="Q20" s="32">
        <f>IF(OR($M20=0,TRIM($B20)="",$N20="Planned"),0,IF(COUNTIFS($B$6:$B$105,$B20,$C$6:$C$105,"&gt;"&amp;$C20,$N$6:$N$105,"&lt;&gt;Planned")+COUNTIFS($B21:$B$106,$B20,$C21:$C$106,$C20,$N21:$N$106,"&lt;&gt;Planned")=0,1,0))</f>
        <v/>
      </c>
      <c r="R20" s="22">
        <f>IF($Q20=1,$B20,"")</f>
        <v/>
      </c>
      <c r="S20" s="32">
        <f>IF($M20=0,0,IF(OR(TRIM($A20)="",COUNTIF($A$6:$A$105,$A20)&gt;1,TRIM($B20)="",AND($O20=0,$P20=0),NOT(ISNUMBER($C20)),AND($N20&lt;&gt;"Not run",OR(TRIM($K20)="",TRIM($D20)=""))),1,0))</f>
        <v/>
      </c>
      <c r="T20" s="32">
        <f>IF($M20=0,0,IF(TRIM($E20)="",IF(OR($N20="Passed",$N20="Failed"),1,0),IF(OR(SUMPRODUCT(--(TRIM(LEFT(Summary!$G$6:$G$13,FIND(" (",Summary!$G$6:$G$13&amp;" (")-1))=TRIM(LEFT($E20,FIND(" (",$E20&amp;" (")-1))))&gt;0,TRIM(LEFT($E20,FIND(" (",$E20&amp;" (")-1))=TRIM(LEFT($D20,FIND(" (",$D20&amp;" (")-1))),1,0)))</f>
        <v/>
      </c>
      <c r="U20" s="32">
        <f>IF($M20=0,0,IF(OR($N20="Passed",$N20="Failed"),IF(OR(TRIM($G20)="",TRIM($H20)="",NOT(ISNUMBER($C20)),AND($N20="Failed",TRIM($I20)="")),1,IF($C20&gt;Summary!$B$12,1,0)),IF($N20="Not run",IF(TRIM($I20)="",1,0),IF(OR(TRIM($G20)&lt;&gt;"",TRIM($H20)&lt;&gt;""),1,0))))</f>
        <v/>
      </c>
      <c r="V20" s="32">
        <f>IF(OR($M20=0,$N20&lt;&gt;"Planned",NOT(ISNUMBER($C20))),0,IF($C20&lt;Summary!$B$12,1,0))</f>
        <v/>
      </c>
      <c r="W20" s="32">
        <f>IF(OR($M20=0,$O20=0,$N20="Not run",TRIM($L20)=""),0,IF(TRIM($L20)=TRIM(INDEX(Criteria!$D$6:$D$105,MATCH($B20,Criteria!$A$6:$A$105,0))),0,1))</f>
        <v/>
      </c>
      <c r="X20" s="32">
        <f>IF(OR($M20=0,$O20=0,$N20="Not run"),0,IF(OR(TRIM($L20)="",AND($N20="Planned",TRIM(INDEX(Criteria!$D$6:$D$105,MATCH($B20,Criteria!$A$6:$A$105,0)))="")),1,0))</f>
        <v/>
      </c>
    </row>
    <row r="21">
      <c r="A21" s="27" t="n"/>
      <c r="B21" s="27" t="n"/>
      <c r="C21" s="29" t="n"/>
      <c r="D21" s="28" t="n"/>
      <c r="E21" s="28" t="n"/>
      <c r="F21" s="27" t="n"/>
      <c r="G21" s="28" t="n"/>
      <c r="H21" s="28" t="n"/>
      <c r="I21" s="28" t="n"/>
      <c r="J21" s="19">
        <f>IF($M21=0,"",IF(SUM($S21:$X21)=0,"○ Clear",IF($S21=1,"△ Run, For, Date, Tested on or Run by missing or wrong",IF($X21=1,IF(AND($N21="Planned",TRIM(INDEX(Criteria!$D$6:$D$105,MATCH($B21,Criteria!$A$6:$A$105,0)))=""),"△ The criterion has no Pass line","△ Pass line used is blank"),IF($T21=1,"△ Checked by a builder, the runner or nobody",IF($U21=1,IF($N21="Planned","△ Result or File typed on a planned run",IF(AND(OR($N21="Passed",$N21="Failed"),TRIM($G21)&lt;&gt;"",TRIM($H21)&lt;&gt;"",ISNUMBER($C21),NOT(AND($N21="Failed",TRIM($I21)=""))),"△ Result dated after the date the checks use","△ Result, File or Reason missing")),IF($V21=1,"△ Planned day has passed, with no result","△ Pass line has changed since this run was planned")))))&amp;IF(SUM($S21:$X21)&gt;1,", and "&amp;(SUM($S21:$X21)-1)&amp;" more","")))</f>
        <v/>
      </c>
      <c r="K21" s="28" t="n"/>
      <c r="L21" s="28" t="n"/>
      <c r="M21" s="32">
        <f>IF(COUNTA($A21:$I21)+COUNTA($K21:$L21)&gt;0,1,0)</f>
        <v/>
      </c>
      <c r="N21" s="22">
        <f>IF($M21=0,"",IF($F21="","Planned",$F21))</f>
        <v/>
      </c>
      <c r="O21" s="32">
        <f>IF(OR($M21=0,TRIM($B21)=""),0,IF(COUNTIF(Criteria!$A$6:$A$105,$B21)&gt;0,1,0))</f>
        <v/>
      </c>
      <c r="P21" s="32">
        <f>IF(OR($M21=0,TRIM($B21)=""),0,IF(AND(LEN($B21)&gt;1,ISNUMBER(MATCH(LEFT($B21,1),{"R","I","A","X"},0)),ISNUMBER(VALUE(MID($B21,2,5)))),1,0))</f>
        <v/>
      </c>
      <c r="Q21" s="32">
        <f>IF(OR($M21=0,TRIM($B21)="",$N21="Planned"),0,IF(COUNTIFS($B$6:$B$105,$B21,$C$6:$C$105,"&gt;"&amp;$C21,$N$6:$N$105,"&lt;&gt;Planned")+COUNTIFS($B22:$B$106,$B21,$C22:$C$106,$C21,$N22:$N$106,"&lt;&gt;Planned")=0,1,0))</f>
        <v/>
      </c>
      <c r="R21" s="22">
        <f>IF($Q21=1,$B21,"")</f>
        <v/>
      </c>
      <c r="S21" s="32">
        <f>IF($M21=0,0,IF(OR(TRIM($A21)="",COUNTIF($A$6:$A$105,$A21)&gt;1,TRIM($B21)="",AND($O21=0,$P21=0),NOT(ISNUMBER($C21)),AND($N21&lt;&gt;"Not run",OR(TRIM($K21)="",TRIM($D21)=""))),1,0))</f>
        <v/>
      </c>
      <c r="T21" s="32">
        <f>IF($M21=0,0,IF(TRIM($E21)="",IF(OR($N21="Passed",$N21="Failed"),1,0),IF(OR(SUMPRODUCT(--(TRIM(LEFT(Summary!$G$6:$G$13,FIND(" (",Summary!$G$6:$G$13&amp;" (")-1))=TRIM(LEFT($E21,FIND(" (",$E21&amp;" (")-1))))&gt;0,TRIM(LEFT($E21,FIND(" (",$E21&amp;" (")-1))=TRIM(LEFT($D21,FIND(" (",$D21&amp;" (")-1))),1,0)))</f>
        <v/>
      </c>
      <c r="U21" s="32">
        <f>IF($M21=0,0,IF(OR($N21="Passed",$N21="Failed"),IF(OR(TRIM($G21)="",TRIM($H21)="",NOT(ISNUMBER($C21)),AND($N21="Failed",TRIM($I21)="")),1,IF($C21&gt;Summary!$B$12,1,0)),IF($N21="Not run",IF(TRIM($I21)="",1,0),IF(OR(TRIM($G21)&lt;&gt;"",TRIM($H21)&lt;&gt;""),1,0))))</f>
        <v/>
      </c>
      <c r="V21" s="32">
        <f>IF(OR($M21=0,$N21&lt;&gt;"Planned",NOT(ISNUMBER($C21))),0,IF($C21&lt;Summary!$B$12,1,0))</f>
        <v/>
      </c>
      <c r="W21" s="32">
        <f>IF(OR($M21=0,$O21=0,$N21="Not run",TRIM($L21)=""),0,IF(TRIM($L21)=TRIM(INDEX(Criteria!$D$6:$D$105,MATCH($B21,Criteria!$A$6:$A$105,0))),0,1))</f>
        <v/>
      </c>
      <c r="X21" s="32">
        <f>IF(OR($M21=0,$O21=0,$N21="Not run"),0,IF(OR(TRIM($L21)="",AND($N21="Planned",TRIM(INDEX(Criteria!$D$6:$D$105,MATCH($B21,Criteria!$A$6:$A$105,0)))="")),1,0))</f>
        <v/>
      </c>
    </row>
    <row r="22">
      <c r="A22" s="27" t="n"/>
      <c r="B22" s="27" t="n"/>
      <c r="C22" s="29" t="n"/>
      <c r="D22" s="28" t="n"/>
      <c r="E22" s="28" t="n"/>
      <c r="F22" s="27" t="n"/>
      <c r="G22" s="28" t="n"/>
      <c r="H22" s="28" t="n"/>
      <c r="I22" s="28" t="n"/>
      <c r="J22" s="19">
        <f>IF($M22=0,"",IF(SUM($S22:$X22)=0,"○ Clear",IF($S22=1,"△ Run, For, Date, Tested on or Run by missing or wrong",IF($X22=1,IF(AND($N22="Planned",TRIM(INDEX(Criteria!$D$6:$D$105,MATCH($B22,Criteria!$A$6:$A$105,0)))=""),"△ The criterion has no Pass line","△ Pass line used is blank"),IF($T22=1,"△ Checked by a builder, the runner or nobody",IF($U22=1,IF($N22="Planned","△ Result or File typed on a planned run",IF(AND(OR($N22="Passed",$N22="Failed"),TRIM($G22)&lt;&gt;"",TRIM($H22)&lt;&gt;"",ISNUMBER($C22),NOT(AND($N22="Failed",TRIM($I22)=""))),"△ Result dated after the date the checks use","△ Result, File or Reason missing")),IF($V22=1,"△ Planned day has passed, with no result","△ Pass line has changed since this run was planned")))))&amp;IF(SUM($S22:$X22)&gt;1,", and "&amp;(SUM($S22:$X22)-1)&amp;" more","")))</f>
        <v/>
      </c>
      <c r="K22" s="28" t="n"/>
      <c r="L22" s="28" t="n"/>
      <c r="M22" s="32">
        <f>IF(COUNTA($A22:$I22)+COUNTA($K22:$L22)&gt;0,1,0)</f>
        <v/>
      </c>
      <c r="N22" s="22">
        <f>IF($M22=0,"",IF($F22="","Planned",$F22))</f>
        <v/>
      </c>
      <c r="O22" s="32">
        <f>IF(OR($M22=0,TRIM($B22)=""),0,IF(COUNTIF(Criteria!$A$6:$A$105,$B22)&gt;0,1,0))</f>
        <v/>
      </c>
      <c r="P22" s="32">
        <f>IF(OR($M22=0,TRIM($B22)=""),0,IF(AND(LEN($B22)&gt;1,ISNUMBER(MATCH(LEFT($B22,1),{"R","I","A","X"},0)),ISNUMBER(VALUE(MID($B22,2,5)))),1,0))</f>
        <v/>
      </c>
      <c r="Q22" s="32">
        <f>IF(OR($M22=0,TRIM($B22)="",$N22="Planned"),0,IF(COUNTIFS($B$6:$B$105,$B22,$C$6:$C$105,"&gt;"&amp;$C22,$N$6:$N$105,"&lt;&gt;Planned")+COUNTIFS($B23:$B$106,$B22,$C23:$C$106,$C22,$N23:$N$106,"&lt;&gt;Planned")=0,1,0))</f>
        <v/>
      </c>
      <c r="R22" s="22">
        <f>IF($Q22=1,$B22,"")</f>
        <v/>
      </c>
      <c r="S22" s="32">
        <f>IF($M22=0,0,IF(OR(TRIM($A22)="",COUNTIF($A$6:$A$105,$A22)&gt;1,TRIM($B22)="",AND($O22=0,$P22=0),NOT(ISNUMBER($C22)),AND($N22&lt;&gt;"Not run",OR(TRIM($K22)="",TRIM($D22)=""))),1,0))</f>
        <v/>
      </c>
      <c r="T22" s="32">
        <f>IF($M22=0,0,IF(TRIM($E22)="",IF(OR($N22="Passed",$N22="Failed"),1,0),IF(OR(SUMPRODUCT(--(TRIM(LEFT(Summary!$G$6:$G$13,FIND(" (",Summary!$G$6:$G$13&amp;" (")-1))=TRIM(LEFT($E22,FIND(" (",$E22&amp;" (")-1))))&gt;0,TRIM(LEFT($E22,FIND(" (",$E22&amp;" (")-1))=TRIM(LEFT($D22,FIND(" (",$D22&amp;" (")-1))),1,0)))</f>
        <v/>
      </c>
      <c r="U22" s="32">
        <f>IF($M22=0,0,IF(OR($N22="Passed",$N22="Failed"),IF(OR(TRIM($G22)="",TRIM($H22)="",NOT(ISNUMBER($C22)),AND($N22="Failed",TRIM($I22)="")),1,IF($C22&gt;Summary!$B$12,1,0)),IF($N22="Not run",IF(TRIM($I22)="",1,0),IF(OR(TRIM($G22)&lt;&gt;"",TRIM($H22)&lt;&gt;""),1,0))))</f>
        <v/>
      </c>
      <c r="V22" s="32">
        <f>IF(OR($M22=0,$N22&lt;&gt;"Planned",NOT(ISNUMBER($C22))),0,IF($C22&lt;Summary!$B$12,1,0))</f>
        <v/>
      </c>
      <c r="W22" s="32">
        <f>IF(OR($M22=0,$O22=0,$N22="Not run",TRIM($L22)=""),0,IF(TRIM($L22)=TRIM(INDEX(Criteria!$D$6:$D$105,MATCH($B22,Criteria!$A$6:$A$105,0))),0,1))</f>
        <v/>
      </c>
      <c r="X22" s="32">
        <f>IF(OR($M22=0,$O22=0,$N22="Not run"),0,IF(OR(TRIM($L22)="",AND($N22="Planned",TRIM(INDEX(Criteria!$D$6:$D$105,MATCH($B22,Criteria!$A$6:$A$105,0)))="")),1,0))</f>
        <v/>
      </c>
    </row>
    <row r="23">
      <c r="A23" s="27" t="n"/>
      <c r="B23" s="27" t="n"/>
      <c r="C23" s="29" t="n"/>
      <c r="D23" s="28" t="n"/>
      <c r="E23" s="28" t="n"/>
      <c r="F23" s="27" t="n"/>
      <c r="G23" s="28" t="n"/>
      <c r="H23" s="28" t="n"/>
      <c r="I23" s="28" t="n"/>
      <c r="J23" s="19">
        <f>IF($M23=0,"",IF(SUM($S23:$X23)=0,"○ Clear",IF($S23=1,"△ Run, For, Date, Tested on or Run by missing or wrong",IF($X23=1,IF(AND($N23="Planned",TRIM(INDEX(Criteria!$D$6:$D$105,MATCH($B23,Criteria!$A$6:$A$105,0)))=""),"△ The criterion has no Pass line","△ Pass line used is blank"),IF($T23=1,"△ Checked by a builder, the runner or nobody",IF($U23=1,IF($N23="Planned","△ Result or File typed on a planned run",IF(AND(OR($N23="Passed",$N23="Failed"),TRIM($G23)&lt;&gt;"",TRIM($H23)&lt;&gt;"",ISNUMBER($C23),NOT(AND($N23="Failed",TRIM($I23)=""))),"△ Result dated after the date the checks use","△ Result, File or Reason missing")),IF($V23=1,"△ Planned day has passed, with no result","△ Pass line has changed since this run was planned")))))&amp;IF(SUM($S23:$X23)&gt;1,", and "&amp;(SUM($S23:$X23)-1)&amp;" more","")))</f>
        <v/>
      </c>
      <c r="K23" s="28" t="n"/>
      <c r="L23" s="28" t="n"/>
      <c r="M23" s="32">
        <f>IF(COUNTA($A23:$I23)+COUNTA($K23:$L23)&gt;0,1,0)</f>
        <v/>
      </c>
      <c r="N23" s="22">
        <f>IF($M23=0,"",IF($F23="","Planned",$F23))</f>
        <v/>
      </c>
      <c r="O23" s="32">
        <f>IF(OR($M23=0,TRIM($B23)=""),0,IF(COUNTIF(Criteria!$A$6:$A$105,$B23)&gt;0,1,0))</f>
        <v/>
      </c>
      <c r="P23" s="32">
        <f>IF(OR($M23=0,TRIM($B23)=""),0,IF(AND(LEN($B23)&gt;1,ISNUMBER(MATCH(LEFT($B23,1),{"R","I","A","X"},0)),ISNUMBER(VALUE(MID($B23,2,5)))),1,0))</f>
        <v/>
      </c>
      <c r="Q23" s="32">
        <f>IF(OR($M23=0,TRIM($B23)="",$N23="Planned"),0,IF(COUNTIFS($B$6:$B$105,$B23,$C$6:$C$105,"&gt;"&amp;$C23,$N$6:$N$105,"&lt;&gt;Planned")+COUNTIFS($B24:$B$106,$B23,$C24:$C$106,$C23,$N24:$N$106,"&lt;&gt;Planned")=0,1,0))</f>
        <v/>
      </c>
      <c r="R23" s="22">
        <f>IF($Q23=1,$B23,"")</f>
        <v/>
      </c>
      <c r="S23" s="32">
        <f>IF($M23=0,0,IF(OR(TRIM($A23)="",COUNTIF($A$6:$A$105,$A23)&gt;1,TRIM($B23)="",AND($O23=0,$P23=0),NOT(ISNUMBER($C23)),AND($N23&lt;&gt;"Not run",OR(TRIM($K23)="",TRIM($D23)=""))),1,0))</f>
        <v/>
      </c>
      <c r="T23" s="32">
        <f>IF($M23=0,0,IF(TRIM($E23)="",IF(OR($N23="Passed",$N23="Failed"),1,0),IF(OR(SUMPRODUCT(--(TRIM(LEFT(Summary!$G$6:$G$13,FIND(" (",Summary!$G$6:$G$13&amp;" (")-1))=TRIM(LEFT($E23,FIND(" (",$E23&amp;" (")-1))))&gt;0,TRIM(LEFT($E23,FIND(" (",$E23&amp;" (")-1))=TRIM(LEFT($D23,FIND(" (",$D23&amp;" (")-1))),1,0)))</f>
        <v/>
      </c>
      <c r="U23" s="32">
        <f>IF($M23=0,0,IF(OR($N23="Passed",$N23="Failed"),IF(OR(TRIM($G23)="",TRIM($H23)="",NOT(ISNUMBER($C23)),AND($N23="Failed",TRIM($I23)="")),1,IF($C23&gt;Summary!$B$12,1,0)),IF($N23="Not run",IF(TRIM($I23)="",1,0),IF(OR(TRIM($G23)&lt;&gt;"",TRIM($H23)&lt;&gt;""),1,0))))</f>
        <v/>
      </c>
      <c r="V23" s="32">
        <f>IF(OR($M23=0,$N23&lt;&gt;"Planned",NOT(ISNUMBER($C23))),0,IF($C23&lt;Summary!$B$12,1,0))</f>
        <v/>
      </c>
      <c r="W23" s="32">
        <f>IF(OR($M23=0,$O23=0,$N23="Not run",TRIM($L23)=""),0,IF(TRIM($L23)=TRIM(INDEX(Criteria!$D$6:$D$105,MATCH($B23,Criteria!$A$6:$A$105,0))),0,1))</f>
        <v/>
      </c>
      <c r="X23" s="32">
        <f>IF(OR($M23=0,$O23=0,$N23="Not run"),0,IF(OR(TRIM($L23)="",AND($N23="Planned",TRIM(INDEX(Criteria!$D$6:$D$105,MATCH($B23,Criteria!$A$6:$A$105,0)))="")),1,0))</f>
        <v/>
      </c>
    </row>
    <row r="24">
      <c r="A24" s="27" t="n"/>
      <c r="B24" s="27" t="n"/>
      <c r="C24" s="29" t="n"/>
      <c r="D24" s="28" t="n"/>
      <c r="E24" s="28" t="n"/>
      <c r="F24" s="27" t="n"/>
      <c r="G24" s="28" t="n"/>
      <c r="H24" s="28" t="n"/>
      <c r="I24" s="28" t="n"/>
      <c r="J24" s="19">
        <f>IF($M24=0,"",IF(SUM($S24:$X24)=0,"○ Clear",IF($S24=1,"△ Run, For, Date, Tested on or Run by missing or wrong",IF($X24=1,IF(AND($N24="Planned",TRIM(INDEX(Criteria!$D$6:$D$105,MATCH($B24,Criteria!$A$6:$A$105,0)))=""),"△ The criterion has no Pass line","△ Pass line used is blank"),IF($T24=1,"△ Checked by a builder, the runner or nobody",IF($U24=1,IF($N24="Planned","△ Result or File typed on a planned run",IF(AND(OR($N24="Passed",$N24="Failed"),TRIM($G24)&lt;&gt;"",TRIM($H24)&lt;&gt;"",ISNUMBER($C24),NOT(AND($N24="Failed",TRIM($I24)=""))),"△ Result dated after the date the checks use","△ Result, File or Reason missing")),IF($V24=1,"△ Planned day has passed, with no result","△ Pass line has changed since this run was planned")))))&amp;IF(SUM($S24:$X24)&gt;1,", and "&amp;(SUM($S24:$X24)-1)&amp;" more","")))</f>
        <v/>
      </c>
      <c r="K24" s="28" t="n"/>
      <c r="L24" s="28" t="n"/>
      <c r="M24" s="32">
        <f>IF(COUNTA($A24:$I24)+COUNTA($K24:$L24)&gt;0,1,0)</f>
        <v/>
      </c>
      <c r="N24" s="22">
        <f>IF($M24=0,"",IF($F24="","Planned",$F24))</f>
        <v/>
      </c>
      <c r="O24" s="32">
        <f>IF(OR($M24=0,TRIM($B24)=""),0,IF(COUNTIF(Criteria!$A$6:$A$105,$B24)&gt;0,1,0))</f>
        <v/>
      </c>
      <c r="P24" s="32">
        <f>IF(OR($M24=0,TRIM($B24)=""),0,IF(AND(LEN($B24)&gt;1,ISNUMBER(MATCH(LEFT($B24,1),{"R","I","A","X"},0)),ISNUMBER(VALUE(MID($B24,2,5)))),1,0))</f>
        <v/>
      </c>
      <c r="Q24" s="32">
        <f>IF(OR($M24=0,TRIM($B24)="",$N24="Planned"),0,IF(COUNTIFS($B$6:$B$105,$B24,$C$6:$C$105,"&gt;"&amp;$C24,$N$6:$N$105,"&lt;&gt;Planned")+COUNTIFS($B25:$B$106,$B24,$C25:$C$106,$C24,$N25:$N$106,"&lt;&gt;Planned")=0,1,0))</f>
        <v/>
      </c>
      <c r="R24" s="22">
        <f>IF($Q24=1,$B24,"")</f>
        <v/>
      </c>
      <c r="S24" s="32">
        <f>IF($M24=0,0,IF(OR(TRIM($A24)="",COUNTIF($A$6:$A$105,$A24)&gt;1,TRIM($B24)="",AND($O24=0,$P24=0),NOT(ISNUMBER($C24)),AND($N24&lt;&gt;"Not run",OR(TRIM($K24)="",TRIM($D24)=""))),1,0))</f>
        <v/>
      </c>
      <c r="T24" s="32">
        <f>IF($M24=0,0,IF(TRIM($E24)="",IF(OR($N24="Passed",$N24="Failed"),1,0),IF(OR(SUMPRODUCT(--(TRIM(LEFT(Summary!$G$6:$G$13,FIND(" (",Summary!$G$6:$G$13&amp;" (")-1))=TRIM(LEFT($E24,FIND(" (",$E24&amp;" (")-1))))&gt;0,TRIM(LEFT($E24,FIND(" (",$E24&amp;" (")-1))=TRIM(LEFT($D24,FIND(" (",$D24&amp;" (")-1))),1,0)))</f>
        <v/>
      </c>
      <c r="U24" s="32">
        <f>IF($M24=0,0,IF(OR($N24="Passed",$N24="Failed"),IF(OR(TRIM($G24)="",TRIM($H24)="",NOT(ISNUMBER($C24)),AND($N24="Failed",TRIM($I24)="")),1,IF($C24&gt;Summary!$B$12,1,0)),IF($N24="Not run",IF(TRIM($I24)="",1,0),IF(OR(TRIM($G24)&lt;&gt;"",TRIM($H24)&lt;&gt;""),1,0))))</f>
        <v/>
      </c>
      <c r="V24" s="32">
        <f>IF(OR($M24=0,$N24&lt;&gt;"Planned",NOT(ISNUMBER($C24))),0,IF($C24&lt;Summary!$B$12,1,0))</f>
        <v/>
      </c>
      <c r="W24" s="32">
        <f>IF(OR($M24=0,$O24=0,$N24="Not run",TRIM($L24)=""),0,IF(TRIM($L24)=TRIM(INDEX(Criteria!$D$6:$D$105,MATCH($B24,Criteria!$A$6:$A$105,0))),0,1))</f>
        <v/>
      </c>
      <c r="X24" s="32">
        <f>IF(OR($M24=0,$O24=0,$N24="Not run"),0,IF(OR(TRIM($L24)="",AND($N24="Planned",TRIM(INDEX(Criteria!$D$6:$D$105,MATCH($B24,Criteria!$A$6:$A$105,0)))="")),1,0))</f>
        <v/>
      </c>
    </row>
    <row r="25">
      <c r="A25" s="27" t="n"/>
      <c r="B25" s="27" t="n"/>
      <c r="C25" s="29" t="n"/>
      <c r="D25" s="28" t="n"/>
      <c r="E25" s="28" t="n"/>
      <c r="F25" s="27" t="n"/>
      <c r="G25" s="28" t="n"/>
      <c r="H25" s="28" t="n"/>
      <c r="I25" s="28" t="n"/>
      <c r="J25" s="19">
        <f>IF($M25=0,"",IF(SUM($S25:$X25)=0,"○ Clear",IF($S25=1,"△ Run, For, Date, Tested on or Run by missing or wrong",IF($X25=1,IF(AND($N25="Planned",TRIM(INDEX(Criteria!$D$6:$D$105,MATCH($B25,Criteria!$A$6:$A$105,0)))=""),"△ The criterion has no Pass line","△ Pass line used is blank"),IF($T25=1,"△ Checked by a builder, the runner or nobody",IF($U25=1,IF($N25="Planned","△ Result or File typed on a planned run",IF(AND(OR($N25="Passed",$N25="Failed"),TRIM($G25)&lt;&gt;"",TRIM($H25)&lt;&gt;"",ISNUMBER($C25),NOT(AND($N25="Failed",TRIM($I25)=""))),"△ Result dated after the date the checks use","△ Result, File or Reason missing")),IF($V25=1,"△ Planned day has passed, with no result","△ Pass line has changed since this run was planned")))))&amp;IF(SUM($S25:$X25)&gt;1,", and "&amp;(SUM($S25:$X25)-1)&amp;" more","")))</f>
        <v/>
      </c>
      <c r="K25" s="28" t="n"/>
      <c r="L25" s="28" t="n"/>
      <c r="M25" s="32">
        <f>IF(COUNTA($A25:$I25)+COUNTA($K25:$L25)&gt;0,1,0)</f>
        <v/>
      </c>
      <c r="N25" s="22">
        <f>IF($M25=0,"",IF($F25="","Planned",$F25))</f>
        <v/>
      </c>
      <c r="O25" s="32">
        <f>IF(OR($M25=0,TRIM($B25)=""),0,IF(COUNTIF(Criteria!$A$6:$A$105,$B25)&gt;0,1,0))</f>
        <v/>
      </c>
      <c r="P25" s="32">
        <f>IF(OR($M25=0,TRIM($B25)=""),0,IF(AND(LEN($B25)&gt;1,ISNUMBER(MATCH(LEFT($B25,1),{"R","I","A","X"},0)),ISNUMBER(VALUE(MID($B25,2,5)))),1,0))</f>
        <v/>
      </c>
      <c r="Q25" s="32">
        <f>IF(OR($M25=0,TRIM($B25)="",$N25="Planned"),0,IF(COUNTIFS($B$6:$B$105,$B25,$C$6:$C$105,"&gt;"&amp;$C25,$N$6:$N$105,"&lt;&gt;Planned")+COUNTIFS($B26:$B$106,$B25,$C26:$C$106,$C25,$N26:$N$106,"&lt;&gt;Planned")=0,1,0))</f>
        <v/>
      </c>
      <c r="R25" s="22">
        <f>IF($Q25=1,$B25,"")</f>
        <v/>
      </c>
      <c r="S25" s="32">
        <f>IF($M25=0,0,IF(OR(TRIM($A25)="",COUNTIF($A$6:$A$105,$A25)&gt;1,TRIM($B25)="",AND($O25=0,$P25=0),NOT(ISNUMBER($C25)),AND($N25&lt;&gt;"Not run",OR(TRIM($K25)="",TRIM($D25)=""))),1,0))</f>
        <v/>
      </c>
      <c r="T25" s="32">
        <f>IF($M25=0,0,IF(TRIM($E25)="",IF(OR($N25="Passed",$N25="Failed"),1,0),IF(OR(SUMPRODUCT(--(TRIM(LEFT(Summary!$G$6:$G$13,FIND(" (",Summary!$G$6:$G$13&amp;" (")-1))=TRIM(LEFT($E25,FIND(" (",$E25&amp;" (")-1))))&gt;0,TRIM(LEFT($E25,FIND(" (",$E25&amp;" (")-1))=TRIM(LEFT($D25,FIND(" (",$D25&amp;" (")-1))),1,0)))</f>
        <v/>
      </c>
      <c r="U25" s="32">
        <f>IF($M25=0,0,IF(OR($N25="Passed",$N25="Failed"),IF(OR(TRIM($G25)="",TRIM($H25)="",NOT(ISNUMBER($C25)),AND($N25="Failed",TRIM($I25)="")),1,IF($C25&gt;Summary!$B$12,1,0)),IF($N25="Not run",IF(TRIM($I25)="",1,0),IF(OR(TRIM($G25)&lt;&gt;"",TRIM($H25)&lt;&gt;""),1,0))))</f>
        <v/>
      </c>
      <c r="V25" s="32">
        <f>IF(OR($M25=0,$N25&lt;&gt;"Planned",NOT(ISNUMBER($C25))),0,IF($C25&lt;Summary!$B$12,1,0))</f>
        <v/>
      </c>
      <c r="W25" s="32">
        <f>IF(OR($M25=0,$O25=0,$N25="Not run",TRIM($L25)=""),0,IF(TRIM($L25)=TRIM(INDEX(Criteria!$D$6:$D$105,MATCH($B25,Criteria!$A$6:$A$105,0))),0,1))</f>
        <v/>
      </c>
      <c r="X25" s="32">
        <f>IF(OR($M25=0,$O25=0,$N25="Not run"),0,IF(OR(TRIM($L25)="",AND($N25="Planned",TRIM(INDEX(Criteria!$D$6:$D$105,MATCH($B25,Criteria!$A$6:$A$105,0)))="")),1,0))</f>
        <v/>
      </c>
    </row>
    <row r="26">
      <c r="A26" s="27" t="n"/>
      <c r="B26" s="27" t="n"/>
      <c r="C26" s="29" t="n"/>
      <c r="D26" s="28" t="n"/>
      <c r="E26" s="28" t="n"/>
      <c r="F26" s="27" t="n"/>
      <c r="G26" s="28" t="n"/>
      <c r="H26" s="28" t="n"/>
      <c r="I26" s="28" t="n"/>
      <c r="J26" s="19">
        <f>IF($M26=0,"",IF(SUM($S26:$X26)=0,"○ Clear",IF($S26=1,"△ Run, For, Date, Tested on or Run by missing or wrong",IF($X26=1,IF(AND($N26="Planned",TRIM(INDEX(Criteria!$D$6:$D$105,MATCH($B26,Criteria!$A$6:$A$105,0)))=""),"△ The criterion has no Pass line","△ Pass line used is blank"),IF($T26=1,"△ Checked by a builder, the runner or nobody",IF($U26=1,IF($N26="Planned","△ Result or File typed on a planned run",IF(AND(OR($N26="Passed",$N26="Failed"),TRIM($G26)&lt;&gt;"",TRIM($H26)&lt;&gt;"",ISNUMBER($C26),NOT(AND($N26="Failed",TRIM($I26)=""))),"△ Result dated after the date the checks use","△ Result, File or Reason missing")),IF($V26=1,"△ Planned day has passed, with no result","△ Pass line has changed since this run was planned")))))&amp;IF(SUM($S26:$X26)&gt;1,", and "&amp;(SUM($S26:$X26)-1)&amp;" more","")))</f>
        <v/>
      </c>
      <c r="K26" s="28" t="n"/>
      <c r="L26" s="28" t="n"/>
      <c r="M26" s="32">
        <f>IF(COUNTA($A26:$I26)+COUNTA($K26:$L26)&gt;0,1,0)</f>
        <v/>
      </c>
      <c r="N26" s="22">
        <f>IF($M26=0,"",IF($F26="","Planned",$F26))</f>
        <v/>
      </c>
      <c r="O26" s="32">
        <f>IF(OR($M26=0,TRIM($B26)=""),0,IF(COUNTIF(Criteria!$A$6:$A$105,$B26)&gt;0,1,0))</f>
        <v/>
      </c>
      <c r="P26" s="32">
        <f>IF(OR($M26=0,TRIM($B26)=""),0,IF(AND(LEN($B26)&gt;1,ISNUMBER(MATCH(LEFT($B26,1),{"R","I","A","X"},0)),ISNUMBER(VALUE(MID($B26,2,5)))),1,0))</f>
        <v/>
      </c>
      <c r="Q26" s="32">
        <f>IF(OR($M26=0,TRIM($B26)="",$N26="Planned"),0,IF(COUNTIFS($B$6:$B$105,$B26,$C$6:$C$105,"&gt;"&amp;$C26,$N$6:$N$105,"&lt;&gt;Planned")+COUNTIFS($B27:$B$106,$B26,$C27:$C$106,$C26,$N27:$N$106,"&lt;&gt;Planned")=0,1,0))</f>
        <v/>
      </c>
      <c r="R26" s="22">
        <f>IF($Q26=1,$B26,"")</f>
        <v/>
      </c>
      <c r="S26" s="32">
        <f>IF($M26=0,0,IF(OR(TRIM($A26)="",COUNTIF($A$6:$A$105,$A26)&gt;1,TRIM($B26)="",AND($O26=0,$P26=0),NOT(ISNUMBER($C26)),AND($N26&lt;&gt;"Not run",OR(TRIM($K26)="",TRIM($D26)=""))),1,0))</f>
        <v/>
      </c>
      <c r="T26" s="32">
        <f>IF($M26=0,0,IF(TRIM($E26)="",IF(OR($N26="Passed",$N26="Failed"),1,0),IF(OR(SUMPRODUCT(--(TRIM(LEFT(Summary!$G$6:$G$13,FIND(" (",Summary!$G$6:$G$13&amp;" (")-1))=TRIM(LEFT($E26,FIND(" (",$E26&amp;" (")-1))))&gt;0,TRIM(LEFT($E26,FIND(" (",$E26&amp;" (")-1))=TRIM(LEFT($D26,FIND(" (",$D26&amp;" (")-1))),1,0)))</f>
        <v/>
      </c>
      <c r="U26" s="32">
        <f>IF($M26=0,0,IF(OR($N26="Passed",$N26="Failed"),IF(OR(TRIM($G26)="",TRIM($H26)="",NOT(ISNUMBER($C26)),AND($N26="Failed",TRIM($I26)="")),1,IF($C26&gt;Summary!$B$12,1,0)),IF($N26="Not run",IF(TRIM($I26)="",1,0),IF(OR(TRIM($G26)&lt;&gt;"",TRIM($H26)&lt;&gt;""),1,0))))</f>
        <v/>
      </c>
      <c r="V26" s="32">
        <f>IF(OR($M26=0,$N26&lt;&gt;"Planned",NOT(ISNUMBER($C26))),0,IF($C26&lt;Summary!$B$12,1,0))</f>
        <v/>
      </c>
      <c r="W26" s="32">
        <f>IF(OR($M26=0,$O26=0,$N26="Not run",TRIM($L26)=""),0,IF(TRIM($L26)=TRIM(INDEX(Criteria!$D$6:$D$105,MATCH($B26,Criteria!$A$6:$A$105,0))),0,1))</f>
        <v/>
      </c>
      <c r="X26" s="32">
        <f>IF(OR($M26=0,$O26=0,$N26="Not run"),0,IF(OR(TRIM($L26)="",AND($N26="Planned",TRIM(INDEX(Criteria!$D$6:$D$105,MATCH($B26,Criteria!$A$6:$A$105,0)))="")),1,0))</f>
        <v/>
      </c>
    </row>
    <row r="27">
      <c r="A27" s="27" t="n"/>
      <c r="B27" s="27" t="n"/>
      <c r="C27" s="29" t="n"/>
      <c r="D27" s="28" t="n"/>
      <c r="E27" s="28" t="n"/>
      <c r="F27" s="27" t="n"/>
      <c r="G27" s="28" t="n"/>
      <c r="H27" s="28" t="n"/>
      <c r="I27" s="28" t="n"/>
      <c r="J27" s="19">
        <f>IF($M27=0,"",IF(SUM($S27:$X27)=0,"○ Clear",IF($S27=1,"△ Run, For, Date, Tested on or Run by missing or wrong",IF($X27=1,IF(AND($N27="Planned",TRIM(INDEX(Criteria!$D$6:$D$105,MATCH($B27,Criteria!$A$6:$A$105,0)))=""),"△ The criterion has no Pass line","△ Pass line used is blank"),IF($T27=1,"△ Checked by a builder, the runner or nobody",IF($U27=1,IF($N27="Planned","△ Result or File typed on a planned run",IF(AND(OR($N27="Passed",$N27="Failed"),TRIM($G27)&lt;&gt;"",TRIM($H27)&lt;&gt;"",ISNUMBER($C27),NOT(AND($N27="Failed",TRIM($I27)=""))),"△ Result dated after the date the checks use","△ Result, File or Reason missing")),IF($V27=1,"△ Planned day has passed, with no result","△ Pass line has changed since this run was planned")))))&amp;IF(SUM($S27:$X27)&gt;1,", and "&amp;(SUM($S27:$X27)-1)&amp;" more","")))</f>
        <v/>
      </c>
      <c r="K27" s="28" t="n"/>
      <c r="L27" s="28" t="n"/>
      <c r="M27" s="32">
        <f>IF(COUNTA($A27:$I27)+COUNTA($K27:$L27)&gt;0,1,0)</f>
        <v/>
      </c>
      <c r="N27" s="22">
        <f>IF($M27=0,"",IF($F27="","Planned",$F27))</f>
        <v/>
      </c>
      <c r="O27" s="32">
        <f>IF(OR($M27=0,TRIM($B27)=""),0,IF(COUNTIF(Criteria!$A$6:$A$105,$B27)&gt;0,1,0))</f>
        <v/>
      </c>
      <c r="P27" s="32">
        <f>IF(OR($M27=0,TRIM($B27)=""),0,IF(AND(LEN($B27)&gt;1,ISNUMBER(MATCH(LEFT($B27,1),{"R","I","A","X"},0)),ISNUMBER(VALUE(MID($B27,2,5)))),1,0))</f>
        <v/>
      </c>
      <c r="Q27" s="32">
        <f>IF(OR($M27=0,TRIM($B27)="",$N27="Planned"),0,IF(COUNTIFS($B$6:$B$105,$B27,$C$6:$C$105,"&gt;"&amp;$C27,$N$6:$N$105,"&lt;&gt;Planned")+COUNTIFS($B28:$B$106,$B27,$C28:$C$106,$C27,$N28:$N$106,"&lt;&gt;Planned")=0,1,0))</f>
        <v/>
      </c>
      <c r="R27" s="22">
        <f>IF($Q27=1,$B27,"")</f>
        <v/>
      </c>
      <c r="S27" s="32">
        <f>IF($M27=0,0,IF(OR(TRIM($A27)="",COUNTIF($A$6:$A$105,$A27)&gt;1,TRIM($B27)="",AND($O27=0,$P27=0),NOT(ISNUMBER($C27)),AND($N27&lt;&gt;"Not run",OR(TRIM($K27)="",TRIM($D27)=""))),1,0))</f>
        <v/>
      </c>
      <c r="T27" s="32">
        <f>IF($M27=0,0,IF(TRIM($E27)="",IF(OR($N27="Passed",$N27="Failed"),1,0),IF(OR(SUMPRODUCT(--(TRIM(LEFT(Summary!$G$6:$G$13,FIND(" (",Summary!$G$6:$G$13&amp;" (")-1))=TRIM(LEFT($E27,FIND(" (",$E27&amp;" (")-1))))&gt;0,TRIM(LEFT($E27,FIND(" (",$E27&amp;" (")-1))=TRIM(LEFT($D27,FIND(" (",$D27&amp;" (")-1))),1,0)))</f>
        <v/>
      </c>
      <c r="U27" s="32">
        <f>IF($M27=0,0,IF(OR($N27="Passed",$N27="Failed"),IF(OR(TRIM($G27)="",TRIM($H27)="",NOT(ISNUMBER($C27)),AND($N27="Failed",TRIM($I27)="")),1,IF($C27&gt;Summary!$B$12,1,0)),IF($N27="Not run",IF(TRIM($I27)="",1,0),IF(OR(TRIM($G27)&lt;&gt;"",TRIM($H27)&lt;&gt;""),1,0))))</f>
        <v/>
      </c>
      <c r="V27" s="32">
        <f>IF(OR($M27=0,$N27&lt;&gt;"Planned",NOT(ISNUMBER($C27))),0,IF($C27&lt;Summary!$B$12,1,0))</f>
        <v/>
      </c>
      <c r="W27" s="32">
        <f>IF(OR($M27=0,$O27=0,$N27="Not run",TRIM($L27)=""),0,IF(TRIM($L27)=TRIM(INDEX(Criteria!$D$6:$D$105,MATCH($B27,Criteria!$A$6:$A$105,0))),0,1))</f>
        <v/>
      </c>
      <c r="X27" s="32">
        <f>IF(OR($M27=0,$O27=0,$N27="Not run"),0,IF(OR(TRIM($L27)="",AND($N27="Planned",TRIM(INDEX(Criteria!$D$6:$D$105,MATCH($B27,Criteria!$A$6:$A$105,0)))="")),1,0))</f>
        <v/>
      </c>
    </row>
    <row r="28">
      <c r="A28" s="27" t="n"/>
      <c r="B28" s="27" t="n"/>
      <c r="C28" s="29" t="n"/>
      <c r="D28" s="28" t="n"/>
      <c r="E28" s="28" t="n"/>
      <c r="F28" s="27" t="n"/>
      <c r="G28" s="28" t="n"/>
      <c r="H28" s="28" t="n"/>
      <c r="I28" s="28" t="n"/>
      <c r="J28" s="19">
        <f>IF($M28=0,"",IF(SUM($S28:$X28)=0,"○ Clear",IF($S28=1,"△ Run, For, Date, Tested on or Run by missing or wrong",IF($X28=1,IF(AND($N28="Planned",TRIM(INDEX(Criteria!$D$6:$D$105,MATCH($B28,Criteria!$A$6:$A$105,0)))=""),"△ The criterion has no Pass line","△ Pass line used is blank"),IF($T28=1,"△ Checked by a builder, the runner or nobody",IF($U28=1,IF($N28="Planned","△ Result or File typed on a planned run",IF(AND(OR($N28="Passed",$N28="Failed"),TRIM($G28)&lt;&gt;"",TRIM($H28)&lt;&gt;"",ISNUMBER($C28),NOT(AND($N28="Failed",TRIM($I28)=""))),"△ Result dated after the date the checks use","△ Result, File or Reason missing")),IF($V28=1,"△ Planned day has passed, with no result","△ Pass line has changed since this run was planned")))))&amp;IF(SUM($S28:$X28)&gt;1,", and "&amp;(SUM($S28:$X28)-1)&amp;" more","")))</f>
        <v/>
      </c>
      <c r="K28" s="28" t="n"/>
      <c r="L28" s="28" t="n"/>
      <c r="M28" s="32">
        <f>IF(COUNTA($A28:$I28)+COUNTA($K28:$L28)&gt;0,1,0)</f>
        <v/>
      </c>
      <c r="N28" s="22">
        <f>IF($M28=0,"",IF($F28="","Planned",$F28))</f>
        <v/>
      </c>
      <c r="O28" s="32">
        <f>IF(OR($M28=0,TRIM($B28)=""),0,IF(COUNTIF(Criteria!$A$6:$A$105,$B28)&gt;0,1,0))</f>
        <v/>
      </c>
      <c r="P28" s="32">
        <f>IF(OR($M28=0,TRIM($B28)=""),0,IF(AND(LEN($B28)&gt;1,ISNUMBER(MATCH(LEFT($B28,1),{"R","I","A","X"},0)),ISNUMBER(VALUE(MID($B28,2,5)))),1,0))</f>
        <v/>
      </c>
      <c r="Q28" s="32">
        <f>IF(OR($M28=0,TRIM($B28)="",$N28="Planned"),0,IF(COUNTIFS($B$6:$B$105,$B28,$C$6:$C$105,"&gt;"&amp;$C28,$N$6:$N$105,"&lt;&gt;Planned")+COUNTIFS($B29:$B$106,$B28,$C29:$C$106,$C28,$N29:$N$106,"&lt;&gt;Planned")=0,1,0))</f>
        <v/>
      </c>
      <c r="R28" s="22">
        <f>IF($Q28=1,$B28,"")</f>
        <v/>
      </c>
      <c r="S28" s="32">
        <f>IF($M28=0,0,IF(OR(TRIM($A28)="",COUNTIF($A$6:$A$105,$A28)&gt;1,TRIM($B28)="",AND($O28=0,$P28=0),NOT(ISNUMBER($C28)),AND($N28&lt;&gt;"Not run",OR(TRIM($K28)="",TRIM($D28)=""))),1,0))</f>
        <v/>
      </c>
      <c r="T28" s="32">
        <f>IF($M28=0,0,IF(TRIM($E28)="",IF(OR($N28="Passed",$N28="Failed"),1,0),IF(OR(SUMPRODUCT(--(TRIM(LEFT(Summary!$G$6:$G$13,FIND(" (",Summary!$G$6:$G$13&amp;" (")-1))=TRIM(LEFT($E28,FIND(" (",$E28&amp;" (")-1))))&gt;0,TRIM(LEFT($E28,FIND(" (",$E28&amp;" (")-1))=TRIM(LEFT($D28,FIND(" (",$D28&amp;" (")-1))),1,0)))</f>
        <v/>
      </c>
      <c r="U28" s="32">
        <f>IF($M28=0,0,IF(OR($N28="Passed",$N28="Failed"),IF(OR(TRIM($G28)="",TRIM($H28)="",NOT(ISNUMBER($C28)),AND($N28="Failed",TRIM($I28)="")),1,IF($C28&gt;Summary!$B$12,1,0)),IF($N28="Not run",IF(TRIM($I28)="",1,0),IF(OR(TRIM($G28)&lt;&gt;"",TRIM($H28)&lt;&gt;""),1,0))))</f>
        <v/>
      </c>
      <c r="V28" s="32">
        <f>IF(OR($M28=0,$N28&lt;&gt;"Planned",NOT(ISNUMBER($C28))),0,IF($C28&lt;Summary!$B$12,1,0))</f>
        <v/>
      </c>
      <c r="W28" s="32">
        <f>IF(OR($M28=0,$O28=0,$N28="Not run",TRIM($L28)=""),0,IF(TRIM($L28)=TRIM(INDEX(Criteria!$D$6:$D$105,MATCH($B28,Criteria!$A$6:$A$105,0))),0,1))</f>
        <v/>
      </c>
      <c r="X28" s="32">
        <f>IF(OR($M28=0,$O28=0,$N28="Not run"),0,IF(OR(TRIM($L28)="",AND($N28="Planned",TRIM(INDEX(Criteria!$D$6:$D$105,MATCH($B28,Criteria!$A$6:$A$105,0)))="")),1,0))</f>
        <v/>
      </c>
    </row>
    <row r="29">
      <c r="A29" s="27" t="n"/>
      <c r="B29" s="27" t="n"/>
      <c r="C29" s="29" t="n"/>
      <c r="D29" s="28" t="n"/>
      <c r="E29" s="28" t="n"/>
      <c r="F29" s="27" t="n"/>
      <c r="G29" s="28" t="n"/>
      <c r="H29" s="28" t="n"/>
      <c r="I29" s="28" t="n"/>
      <c r="J29" s="19">
        <f>IF($M29=0,"",IF(SUM($S29:$X29)=0,"○ Clear",IF($S29=1,"△ Run, For, Date, Tested on or Run by missing or wrong",IF($X29=1,IF(AND($N29="Planned",TRIM(INDEX(Criteria!$D$6:$D$105,MATCH($B29,Criteria!$A$6:$A$105,0)))=""),"△ The criterion has no Pass line","△ Pass line used is blank"),IF($T29=1,"△ Checked by a builder, the runner or nobody",IF($U29=1,IF($N29="Planned","△ Result or File typed on a planned run",IF(AND(OR($N29="Passed",$N29="Failed"),TRIM($G29)&lt;&gt;"",TRIM($H29)&lt;&gt;"",ISNUMBER($C29),NOT(AND($N29="Failed",TRIM($I29)=""))),"△ Result dated after the date the checks use","△ Result, File or Reason missing")),IF($V29=1,"△ Planned day has passed, with no result","△ Pass line has changed since this run was planned")))))&amp;IF(SUM($S29:$X29)&gt;1,", and "&amp;(SUM($S29:$X29)-1)&amp;" more","")))</f>
        <v/>
      </c>
      <c r="K29" s="28" t="n"/>
      <c r="L29" s="28" t="n"/>
      <c r="M29" s="32">
        <f>IF(COUNTA($A29:$I29)+COUNTA($K29:$L29)&gt;0,1,0)</f>
        <v/>
      </c>
      <c r="N29" s="22">
        <f>IF($M29=0,"",IF($F29="","Planned",$F29))</f>
        <v/>
      </c>
      <c r="O29" s="32">
        <f>IF(OR($M29=0,TRIM($B29)=""),0,IF(COUNTIF(Criteria!$A$6:$A$105,$B29)&gt;0,1,0))</f>
        <v/>
      </c>
      <c r="P29" s="32">
        <f>IF(OR($M29=0,TRIM($B29)=""),0,IF(AND(LEN($B29)&gt;1,ISNUMBER(MATCH(LEFT($B29,1),{"R","I","A","X"},0)),ISNUMBER(VALUE(MID($B29,2,5)))),1,0))</f>
        <v/>
      </c>
      <c r="Q29" s="32">
        <f>IF(OR($M29=0,TRIM($B29)="",$N29="Planned"),0,IF(COUNTIFS($B$6:$B$105,$B29,$C$6:$C$105,"&gt;"&amp;$C29,$N$6:$N$105,"&lt;&gt;Planned")+COUNTIFS($B30:$B$106,$B29,$C30:$C$106,$C29,$N30:$N$106,"&lt;&gt;Planned")=0,1,0))</f>
        <v/>
      </c>
      <c r="R29" s="22">
        <f>IF($Q29=1,$B29,"")</f>
        <v/>
      </c>
      <c r="S29" s="32">
        <f>IF($M29=0,0,IF(OR(TRIM($A29)="",COUNTIF($A$6:$A$105,$A29)&gt;1,TRIM($B29)="",AND($O29=0,$P29=0),NOT(ISNUMBER($C29)),AND($N29&lt;&gt;"Not run",OR(TRIM($K29)="",TRIM($D29)=""))),1,0))</f>
        <v/>
      </c>
      <c r="T29" s="32">
        <f>IF($M29=0,0,IF(TRIM($E29)="",IF(OR($N29="Passed",$N29="Failed"),1,0),IF(OR(SUMPRODUCT(--(TRIM(LEFT(Summary!$G$6:$G$13,FIND(" (",Summary!$G$6:$G$13&amp;" (")-1))=TRIM(LEFT($E29,FIND(" (",$E29&amp;" (")-1))))&gt;0,TRIM(LEFT($E29,FIND(" (",$E29&amp;" (")-1))=TRIM(LEFT($D29,FIND(" (",$D29&amp;" (")-1))),1,0)))</f>
        <v/>
      </c>
      <c r="U29" s="32">
        <f>IF($M29=0,0,IF(OR($N29="Passed",$N29="Failed"),IF(OR(TRIM($G29)="",TRIM($H29)="",NOT(ISNUMBER($C29)),AND($N29="Failed",TRIM($I29)="")),1,IF($C29&gt;Summary!$B$12,1,0)),IF($N29="Not run",IF(TRIM($I29)="",1,0),IF(OR(TRIM($G29)&lt;&gt;"",TRIM($H29)&lt;&gt;""),1,0))))</f>
        <v/>
      </c>
      <c r="V29" s="32">
        <f>IF(OR($M29=0,$N29&lt;&gt;"Planned",NOT(ISNUMBER($C29))),0,IF($C29&lt;Summary!$B$12,1,0))</f>
        <v/>
      </c>
      <c r="W29" s="32">
        <f>IF(OR($M29=0,$O29=0,$N29="Not run",TRIM($L29)=""),0,IF(TRIM($L29)=TRIM(INDEX(Criteria!$D$6:$D$105,MATCH($B29,Criteria!$A$6:$A$105,0))),0,1))</f>
        <v/>
      </c>
      <c r="X29" s="32">
        <f>IF(OR($M29=0,$O29=0,$N29="Not run"),0,IF(OR(TRIM($L29)="",AND($N29="Planned",TRIM(INDEX(Criteria!$D$6:$D$105,MATCH($B29,Criteria!$A$6:$A$105,0)))="")),1,0))</f>
        <v/>
      </c>
    </row>
    <row r="30">
      <c r="A30" s="27" t="n"/>
      <c r="B30" s="27" t="n"/>
      <c r="C30" s="29" t="n"/>
      <c r="D30" s="28" t="n"/>
      <c r="E30" s="28" t="n"/>
      <c r="F30" s="27" t="n"/>
      <c r="G30" s="28" t="n"/>
      <c r="H30" s="28" t="n"/>
      <c r="I30" s="28" t="n"/>
      <c r="J30" s="19">
        <f>IF($M30=0,"",IF(SUM($S30:$X30)=0,"○ Clear",IF($S30=1,"△ Run, For, Date, Tested on or Run by missing or wrong",IF($X30=1,IF(AND($N30="Planned",TRIM(INDEX(Criteria!$D$6:$D$105,MATCH($B30,Criteria!$A$6:$A$105,0)))=""),"△ The criterion has no Pass line","△ Pass line used is blank"),IF($T30=1,"△ Checked by a builder, the runner or nobody",IF($U30=1,IF($N30="Planned","△ Result or File typed on a planned run",IF(AND(OR($N30="Passed",$N30="Failed"),TRIM($G30)&lt;&gt;"",TRIM($H30)&lt;&gt;"",ISNUMBER($C30),NOT(AND($N30="Failed",TRIM($I30)=""))),"△ Result dated after the date the checks use","△ Result, File or Reason missing")),IF($V30=1,"△ Planned day has passed, with no result","△ Pass line has changed since this run was planned")))))&amp;IF(SUM($S30:$X30)&gt;1,", and "&amp;(SUM($S30:$X30)-1)&amp;" more","")))</f>
        <v/>
      </c>
      <c r="K30" s="28" t="n"/>
      <c r="L30" s="28" t="n"/>
      <c r="M30" s="32">
        <f>IF(COUNTA($A30:$I30)+COUNTA($K30:$L30)&gt;0,1,0)</f>
        <v/>
      </c>
      <c r="N30" s="22">
        <f>IF($M30=0,"",IF($F30="","Planned",$F30))</f>
        <v/>
      </c>
      <c r="O30" s="32">
        <f>IF(OR($M30=0,TRIM($B30)=""),0,IF(COUNTIF(Criteria!$A$6:$A$105,$B30)&gt;0,1,0))</f>
        <v/>
      </c>
      <c r="P30" s="32">
        <f>IF(OR($M30=0,TRIM($B30)=""),0,IF(AND(LEN($B30)&gt;1,ISNUMBER(MATCH(LEFT($B30,1),{"R","I","A","X"},0)),ISNUMBER(VALUE(MID($B30,2,5)))),1,0))</f>
        <v/>
      </c>
      <c r="Q30" s="32">
        <f>IF(OR($M30=0,TRIM($B30)="",$N30="Planned"),0,IF(COUNTIFS($B$6:$B$105,$B30,$C$6:$C$105,"&gt;"&amp;$C30,$N$6:$N$105,"&lt;&gt;Planned")+COUNTIFS($B31:$B$106,$B30,$C31:$C$106,$C30,$N31:$N$106,"&lt;&gt;Planned")=0,1,0))</f>
        <v/>
      </c>
      <c r="R30" s="22">
        <f>IF($Q30=1,$B30,"")</f>
        <v/>
      </c>
      <c r="S30" s="32">
        <f>IF($M30=0,0,IF(OR(TRIM($A30)="",COUNTIF($A$6:$A$105,$A30)&gt;1,TRIM($B30)="",AND($O30=0,$P30=0),NOT(ISNUMBER($C30)),AND($N30&lt;&gt;"Not run",OR(TRIM($K30)="",TRIM($D30)=""))),1,0))</f>
        <v/>
      </c>
      <c r="T30" s="32">
        <f>IF($M30=0,0,IF(TRIM($E30)="",IF(OR($N30="Passed",$N30="Failed"),1,0),IF(OR(SUMPRODUCT(--(TRIM(LEFT(Summary!$G$6:$G$13,FIND(" (",Summary!$G$6:$G$13&amp;" (")-1))=TRIM(LEFT($E30,FIND(" (",$E30&amp;" (")-1))))&gt;0,TRIM(LEFT($E30,FIND(" (",$E30&amp;" (")-1))=TRIM(LEFT($D30,FIND(" (",$D30&amp;" (")-1))),1,0)))</f>
        <v/>
      </c>
      <c r="U30" s="32">
        <f>IF($M30=0,0,IF(OR($N30="Passed",$N30="Failed"),IF(OR(TRIM($G30)="",TRIM($H30)="",NOT(ISNUMBER($C30)),AND($N30="Failed",TRIM($I30)="")),1,IF($C30&gt;Summary!$B$12,1,0)),IF($N30="Not run",IF(TRIM($I30)="",1,0),IF(OR(TRIM($G30)&lt;&gt;"",TRIM($H30)&lt;&gt;""),1,0))))</f>
        <v/>
      </c>
      <c r="V30" s="32">
        <f>IF(OR($M30=0,$N30&lt;&gt;"Planned",NOT(ISNUMBER($C30))),0,IF($C30&lt;Summary!$B$12,1,0))</f>
        <v/>
      </c>
      <c r="W30" s="32">
        <f>IF(OR($M30=0,$O30=0,$N30="Not run",TRIM($L30)=""),0,IF(TRIM($L30)=TRIM(INDEX(Criteria!$D$6:$D$105,MATCH($B30,Criteria!$A$6:$A$105,0))),0,1))</f>
        <v/>
      </c>
      <c r="X30" s="32">
        <f>IF(OR($M30=0,$O30=0,$N30="Not run"),0,IF(OR(TRIM($L30)="",AND($N30="Planned",TRIM(INDEX(Criteria!$D$6:$D$105,MATCH($B30,Criteria!$A$6:$A$105,0)))="")),1,0))</f>
        <v/>
      </c>
    </row>
    <row r="31">
      <c r="A31" s="27" t="n"/>
      <c r="B31" s="27" t="n"/>
      <c r="C31" s="29" t="n"/>
      <c r="D31" s="28" t="n"/>
      <c r="E31" s="28" t="n"/>
      <c r="F31" s="27" t="n"/>
      <c r="G31" s="28" t="n"/>
      <c r="H31" s="28" t="n"/>
      <c r="I31" s="28" t="n"/>
      <c r="J31" s="19">
        <f>IF($M31=0,"",IF(SUM($S31:$X31)=0,"○ Clear",IF($S31=1,"△ Run, For, Date, Tested on or Run by missing or wrong",IF($X31=1,IF(AND($N31="Planned",TRIM(INDEX(Criteria!$D$6:$D$105,MATCH($B31,Criteria!$A$6:$A$105,0)))=""),"△ The criterion has no Pass line","△ Pass line used is blank"),IF($T31=1,"△ Checked by a builder, the runner or nobody",IF($U31=1,IF($N31="Planned","△ Result or File typed on a planned run",IF(AND(OR($N31="Passed",$N31="Failed"),TRIM($G31)&lt;&gt;"",TRIM($H31)&lt;&gt;"",ISNUMBER($C31),NOT(AND($N31="Failed",TRIM($I31)=""))),"△ Result dated after the date the checks use","△ Result, File or Reason missing")),IF($V31=1,"△ Planned day has passed, with no result","△ Pass line has changed since this run was planned")))))&amp;IF(SUM($S31:$X31)&gt;1,", and "&amp;(SUM($S31:$X31)-1)&amp;" more","")))</f>
        <v/>
      </c>
      <c r="K31" s="28" t="n"/>
      <c r="L31" s="28" t="n"/>
      <c r="M31" s="32">
        <f>IF(COUNTA($A31:$I31)+COUNTA($K31:$L31)&gt;0,1,0)</f>
        <v/>
      </c>
      <c r="N31" s="22">
        <f>IF($M31=0,"",IF($F31="","Planned",$F31))</f>
        <v/>
      </c>
      <c r="O31" s="32">
        <f>IF(OR($M31=0,TRIM($B31)=""),0,IF(COUNTIF(Criteria!$A$6:$A$105,$B31)&gt;0,1,0))</f>
        <v/>
      </c>
      <c r="P31" s="32">
        <f>IF(OR($M31=0,TRIM($B31)=""),0,IF(AND(LEN($B31)&gt;1,ISNUMBER(MATCH(LEFT($B31,1),{"R","I","A","X"},0)),ISNUMBER(VALUE(MID($B31,2,5)))),1,0))</f>
        <v/>
      </c>
      <c r="Q31" s="32">
        <f>IF(OR($M31=0,TRIM($B31)="",$N31="Planned"),0,IF(COUNTIFS($B$6:$B$105,$B31,$C$6:$C$105,"&gt;"&amp;$C31,$N$6:$N$105,"&lt;&gt;Planned")+COUNTIFS($B32:$B$106,$B31,$C32:$C$106,$C31,$N32:$N$106,"&lt;&gt;Planned")=0,1,0))</f>
        <v/>
      </c>
      <c r="R31" s="22">
        <f>IF($Q31=1,$B31,"")</f>
        <v/>
      </c>
      <c r="S31" s="32">
        <f>IF($M31=0,0,IF(OR(TRIM($A31)="",COUNTIF($A$6:$A$105,$A31)&gt;1,TRIM($B31)="",AND($O31=0,$P31=0),NOT(ISNUMBER($C31)),AND($N31&lt;&gt;"Not run",OR(TRIM($K31)="",TRIM($D31)=""))),1,0))</f>
        <v/>
      </c>
      <c r="T31" s="32">
        <f>IF($M31=0,0,IF(TRIM($E31)="",IF(OR($N31="Passed",$N31="Failed"),1,0),IF(OR(SUMPRODUCT(--(TRIM(LEFT(Summary!$G$6:$G$13,FIND(" (",Summary!$G$6:$G$13&amp;" (")-1))=TRIM(LEFT($E31,FIND(" (",$E31&amp;" (")-1))))&gt;0,TRIM(LEFT($E31,FIND(" (",$E31&amp;" (")-1))=TRIM(LEFT($D31,FIND(" (",$D31&amp;" (")-1))),1,0)))</f>
        <v/>
      </c>
      <c r="U31" s="32">
        <f>IF($M31=0,0,IF(OR($N31="Passed",$N31="Failed"),IF(OR(TRIM($G31)="",TRIM($H31)="",NOT(ISNUMBER($C31)),AND($N31="Failed",TRIM($I31)="")),1,IF($C31&gt;Summary!$B$12,1,0)),IF($N31="Not run",IF(TRIM($I31)="",1,0),IF(OR(TRIM($G31)&lt;&gt;"",TRIM($H31)&lt;&gt;""),1,0))))</f>
        <v/>
      </c>
      <c r="V31" s="32">
        <f>IF(OR($M31=0,$N31&lt;&gt;"Planned",NOT(ISNUMBER($C31))),0,IF($C31&lt;Summary!$B$12,1,0))</f>
        <v/>
      </c>
      <c r="W31" s="32">
        <f>IF(OR($M31=0,$O31=0,$N31="Not run",TRIM($L31)=""),0,IF(TRIM($L31)=TRIM(INDEX(Criteria!$D$6:$D$105,MATCH($B31,Criteria!$A$6:$A$105,0))),0,1))</f>
        <v/>
      </c>
      <c r="X31" s="32">
        <f>IF(OR($M31=0,$O31=0,$N31="Not run"),0,IF(OR(TRIM($L31)="",AND($N31="Planned",TRIM(INDEX(Criteria!$D$6:$D$105,MATCH($B31,Criteria!$A$6:$A$105,0)))="")),1,0))</f>
        <v/>
      </c>
    </row>
    <row r="32">
      <c r="A32" s="27" t="n"/>
      <c r="B32" s="27" t="n"/>
      <c r="C32" s="29" t="n"/>
      <c r="D32" s="28" t="n"/>
      <c r="E32" s="28" t="n"/>
      <c r="F32" s="27" t="n"/>
      <c r="G32" s="28" t="n"/>
      <c r="H32" s="28" t="n"/>
      <c r="I32" s="28" t="n"/>
      <c r="J32" s="19">
        <f>IF($M32=0,"",IF(SUM($S32:$X32)=0,"○ Clear",IF($S32=1,"△ Run, For, Date, Tested on or Run by missing or wrong",IF($X32=1,IF(AND($N32="Planned",TRIM(INDEX(Criteria!$D$6:$D$105,MATCH($B32,Criteria!$A$6:$A$105,0)))=""),"△ The criterion has no Pass line","△ Pass line used is blank"),IF($T32=1,"△ Checked by a builder, the runner or nobody",IF($U32=1,IF($N32="Planned","△ Result or File typed on a planned run",IF(AND(OR($N32="Passed",$N32="Failed"),TRIM($G32)&lt;&gt;"",TRIM($H32)&lt;&gt;"",ISNUMBER($C32),NOT(AND($N32="Failed",TRIM($I32)=""))),"△ Result dated after the date the checks use","△ Result, File or Reason missing")),IF($V32=1,"△ Planned day has passed, with no result","△ Pass line has changed since this run was planned")))))&amp;IF(SUM($S32:$X32)&gt;1,", and "&amp;(SUM($S32:$X32)-1)&amp;" more","")))</f>
        <v/>
      </c>
      <c r="K32" s="28" t="n"/>
      <c r="L32" s="28" t="n"/>
      <c r="M32" s="32">
        <f>IF(COUNTA($A32:$I32)+COUNTA($K32:$L32)&gt;0,1,0)</f>
        <v/>
      </c>
      <c r="N32" s="22">
        <f>IF($M32=0,"",IF($F32="","Planned",$F32))</f>
        <v/>
      </c>
      <c r="O32" s="32">
        <f>IF(OR($M32=0,TRIM($B32)=""),0,IF(COUNTIF(Criteria!$A$6:$A$105,$B32)&gt;0,1,0))</f>
        <v/>
      </c>
      <c r="P32" s="32">
        <f>IF(OR($M32=0,TRIM($B32)=""),0,IF(AND(LEN($B32)&gt;1,ISNUMBER(MATCH(LEFT($B32,1),{"R","I","A","X"},0)),ISNUMBER(VALUE(MID($B32,2,5)))),1,0))</f>
        <v/>
      </c>
      <c r="Q32" s="32">
        <f>IF(OR($M32=0,TRIM($B32)="",$N32="Planned"),0,IF(COUNTIFS($B$6:$B$105,$B32,$C$6:$C$105,"&gt;"&amp;$C32,$N$6:$N$105,"&lt;&gt;Planned")+COUNTIFS($B33:$B$106,$B32,$C33:$C$106,$C32,$N33:$N$106,"&lt;&gt;Planned")=0,1,0))</f>
        <v/>
      </c>
      <c r="R32" s="22">
        <f>IF($Q32=1,$B32,"")</f>
        <v/>
      </c>
      <c r="S32" s="32">
        <f>IF($M32=0,0,IF(OR(TRIM($A32)="",COUNTIF($A$6:$A$105,$A32)&gt;1,TRIM($B32)="",AND($O32=0,$P32=0),NOT(ISNUMBER($C32)),AND($N32&lt;&gt;"Not run",OR(TRIM($K32)="",TRIM($D32)=""))),1,0))</f>
        <v/>
      </c>
      <c r="T32" s="32">
        <f>IF($M32=0,0,IF(TRIM($E32)="",IF(OR($N32="Passed",$N32="Failed"),1,0),IF(OR(SUMPRODUCT(--(TRIM(LEFT(Summary!$G$6:$G$13,FIND(" (",Summary!$G$6:$G$13&amp;" (")-1))=TRIM(LEFT($E32,FIND(" (",$E32&amp;" (")-1))))&gt;0,TRIM(LEFT($E32,FIND(" (",$E32&amp;" (")-1))=TRIM(LEFT($D32,FIND(" (",$D32&amp;" (")-1))),1,0)))</f>
        <v/>
      </c>
      <c r="U32" s="32">
        <f>IF($M32=0,0,IF(OR($N32="Passed",$N32="Failed"),IF(OR(TRIM($G32)="",TRIM($H32)="",NOT(ISNUMBER($C32)),AND($N32="Failed",TRIM($I32)="")),1,IF($C32&gt;Summary!$B$12,1,0)),IF($N32="Not run",IF(TRIM($I32)="",1,0),IF(OR(TRIM($G32)&lt;&gt;"",TRIM($H32)&lt;&gt;""),1,0))))</f>
        <v/>
      </c>
      <c r="V32" s="32">
        <f>IF(OR($M32=0,$N32&lt;&gt;"Planned",NOT(ISNUMBER($C32))),0,IF($C32&lt;Summary!$B$12,1,0))</f>
        <v/>
      </c>
      <c r="W32" s="32">
        <f>IF(OR($M32=0,$O32=0,$N32="Not run",TRIM($L32)=""),0,IF(TRIM($L32)=TRIM(INDEX(Criteria!$D$6:$D$105,MATCH($B32,Criteria!$A$6:$A$105,0))),0,1))</f>
        <v/>
      </c>
      <c r="X32" s="32">
        <f>IF(OR($M32=0,$O32=0,$N32="Not run"),0,IF(OR(TRIM($L32)="",AND($N32="Planned",TRIM(INDEX(Criteria!$D$6:$D$105,MATCH($B32,Criteria!$A$6:$A$105,0)))="")),1,0))</f>
        <v/>
      </c>
    </row>
    <row r="33">
      <c r="A33" s="27" t="n"/>
      <c r="B33" s="27" t="n"/>
      <c r="C33" s="29" t="n"/>
      <c r="D33" s="28" t="n"/>
      <c r="E33" s="28" t="n"/>
      <c r="F33" s="27" t="n"/>
      <c r="G33" s="28" t="n"/>
      <c r="H33" s="28" t="n"/>
      <c r="I33" s="28" t="n"/>
      <c r="J33" s="19">
        <f>IF($M33=0,"",IF(SUM($S33:$X33)=0,"○ Clear",IF($S33=1,"△ Run, For, Date, Tested on or Run by missing or wrong",IF($X33=1,IF(AND($N33="Planned",TRIM(INDEX(Criteria!$D$6:$D$105,MATCH($B33,Criteria!$A$6:$A$105,0)))=""),"△ The criterion has no Pass line","△ Pass line used is blank"),IF($T33=1,"△ Checked by a builder, the runner or nobody",IF($U33=1,IF($N33="Planned","△ Result or File typed on a planned run",IF(AND(OR($N33="Passed",$N33="Failed"),TRIM($G33)&lt;&gt;"",TRIM($H33)&lt;&gt;"",ISNUMBER($C33),NOT(AND($N33="Failed",TRIM($I33)=""))),"△ Result dated after the date the checks use","△ Result, File or Reason missing")),IF($V33=1,"△ Planned day has passed, with no result","△ Pass line has changed since this run was planned")))))&amp;IF(SUM($S33:$X33)&gt;1,", and "&amp;(SUM($S33:$X33)-1)&amp;" more","")))</f>
        <v/>
      </c>
      <c r="K33" s="28" t="n"/>
      <c r="L33" s="28" t="n"/>
      <c r="M33" s="32">
        <f>IF(COUNTA($A33:$I33)+COUNTA($K33:$L33)&gt;0,1,0)</f>
        <v/>
      </c>
      <c r="N33" s="22">
        <f>IF($M33=0,"",IF($F33="","Planned",$F33))</f>
        <v/>
      </c>
      <c r="O33" s="32">
        <f>IF(OR($M33=0,TRIM($B33)=""),0,IF(COUNTIF(Criteria!$A$6:$A$105,$B33)&gt;0,1,0))</f>
        <v/>
      </c>
      <c r="P33" s="32">
        <f>IF(OR($M33=0,TRIM($B33)=""),0,IF(AND(LEN($B33)&gt;1,ISNUMBER(MATCH(LEFT($B33,1),{"R","I","A","X"},0)),ISNUMBER(VALUE(MID($B33,2,5)))),1,0))</f>
        <v/>
      </c>
      <c r="Q33" s="32">
        <f>IF(OR($M33=0,TRIM($B33)="",$N33="Planned"),0,IF(COUNTIFS($B$6:$B$105,$B33,$C$6:$C$105,"&gt;"&amp;$C33,$N$6:$N$105,"&lt;&gt;Planned")+COUNTIFS($B34:$B$106,$B33,$C34:$C$106,$C33,$N34:$N$106,"&lt;&gt;Planned")=0,1,0))</f>
        <v/>
      </c>
      <c r="R33" s="22">
        <f>IF($Q33=1,$B33,"")</f>
        <v/>
      </c>
      <c r="S33" s="32">
        <f>IF($M33=0,0,IF(OR(TRIM($A33)="",COUNTIF($A$6:$A$105,$A33)&gt;1,TRIM($B33)="",AND($O33=0,$P33=0),NOT(ISNUMBER($C33)),AND($N33&lt;&gt;"Not run",OR(TRIM($K33)="",TRIM($D33)=""))),1,0))</f>
        <v/>
      </c>
      <c r="T33" s="32">
        <f>IF($M33=0,0,IF(TRIM($E33)="",IF(OR($N33="Passed",$N33="Failed"),1,0),IF(OR(SUMPRODUCT(--(TRIM(LEFT(Summary!$G$6:$G$13,FIND(" (",Summary!$G$6:$G$13&amp;" (")-1))=TRIM(LEFT($E33,FIND(" (",$E33&amp;" (")-1))))&gt;0,TRIM(LEFT($E33,FIND(" (",$E33&amp;" (")-1))=TRIM(LEFT($D33,FIND(" (",$D33&amp;" (")-1))),1,0)))</f>
        <v/>
      </c>
      <c r="U33" s="32">
        <f>IF($M33=0,0,IF(OR($N33="Passed",$N33="Failed"),IF(OR(TRIM($G33)="",TRIM($H33)="",NOT(ISNUMBER($C33)),AND($N33="Failed",TRIM($I33)="")),1,IF($C33&gt;Summary!$B$12,1,0)),IF($N33="Not run",IF(TRIM($I33)="",1,0),IF(OR(TRIM($G33)&lt;&gt;"",TRIM($H33)&lt;&gt;""),1,0))))</f>
        <v/>
      </c>
      <c r="V33" s="32">
        <f>IF(OR($M33=0,$N33&lt;&gt;"Planned",NOT(ISNUMBER($C33))),0,IF($C33&lt;Summary!$B$12,1,0))</f>
        <v/>
      </c>
      <c r="W33" s="32">
        <f>IF(OR($M33=0,$O33=0,$N33="Not run",TRIM($L33)=""),0,IF(TRIM($L33)=TRIM(INDEX(Criteria!$D$6:$D$105,MATCH($B33,Criteria!$A$6:$A$105,0))),0,1))</f>
        <v/>
      </c>
      <c r="X33" s="32">
        <f>IF(OR($M33=0,$O33=0,$N33="Not run"),0,IF(OR(TRIM($L33)="",AND($N33="Planned",TRIM(INDEX(Criteria!$D$6:$D$105,MATCH($B33,Criteria!$A$6:$A$105,0)))="")),1,0))</f>
        <v/>
      </c>
    </row>
    <row r="34">
      <c r="A34" s="27" t="n"/>
      <c r="B34" s="27" t="n"/>
      <c r="C34" s="29" t="n"/>
      <c r="D34" s="28" t="n"/>
      <c r="E34" s="28" t="n"/>
      <c r="F34" s="27" t="n"/>
      <c r="G34" s="28" t="n"/>
      <c r="H34" s="28" t="n"/>
      <c r="I34" s="28" t="n"/>
      <c r="J34" s="19">
        <f>IF($M34=0,"",IF(SUM($S34:$X34)=0,"○ Clear",IF($S34=1,"△ Run, For, Date, Tested on or Run by missing or wrong",IF($X34=1,IF(AND($N34="Planned",TRIM(INDEX(Criteria!$D$6:$D$105,MATCH($B34,Criteria!$A$6:$A$105,0)))=""),"△ The criterion has no Pass line","△ Pass line used is blank"),IF($T34=1,"△ Checked by a builder, the runner or nobody",IF($U34=1,IF($N34="Planned","△ Result or File typed on a planned run",IF(AND(OR($N34="Passed",$N34="Failed"),TRIM($G34)&lt;&gt;"",TRIM($H34)&lt;&gt;"",ISNUMBER($C34),NOT(AND($N34="Failed",TRIM($I34)=""))),"△ Result dated after the date the checks use","△ Result, File or Reason missing")),IF($V34=1,"△ Planned day has passed, with no result","△ Pass line has changed since this run was planned")))))&amp;IF(SUM($S34:$X34)&gt;1,", and "&amp;(SUM($S34:$X34)-1)&amp;" more","")))</f>
        <v/>
      </c>
      <c r="K34" s="28" t="n"/>
      <c r="L34" s="28" t="n"/>
      <c r="M34" s="32">
        <f>IF(COUNTA($A34:$I34)+COUNTA($K34:$L34)&gt;0,1,0)</f>
        <v/>
      </c>
      <c r="N34" s="22">
        <f>IF($M34=0,"",IF($F34="","Planned",$F34))</f>
        <v/>
      </c>
      <c r="O34" s="32">
        <f>IF(OR($M34=0,TRIM($B34)=""),0,IF(COUNTIF(Criteria!$A$6:$A$105,$B34)&gt;0,1,0))</f>
        <v/>
      </c>
      <c r="P34" s="32">
        <f>IF(OR($M34=0,TRIM($B34)=""),0,IF(AND(LEN($B34)&gt;1,ISNUMBER(MATCH(LEFT($B34,1),{"R","I","A","X"},0)),ISNUMBER(VALUE(MID($B34,2,5)))),1,0))</f>
        <v/>
      </c>
      <c r="Q34" s="32">
        <f>IF(OR($M34=0,TRIM($B34)="",$N34="Planned"),0,IF(COUNTIFS($B$6:$B$105,$B34,$C$6:$C$105,"&gt;"&amp;$C34,$N$6:$N$105,"&lt;&gt;Planned")+COUNTIFS($B35:$B$106,$B34,$C35:$C$106,$C34,$N35:$N$106,"&lt;&gt;Planned")=0,1,0))</f>
        <v/>
      </c>
      <c r="R34" s="22">
        <f>IF($Q34=1,$B34,"")</f>
        <v/>
      </c>
      <c r="S34" s="32">
        <f>IF($M34=0,0,IF(OR(TRIM($A34)="",COUNTIF($A$6:$A$105,$A34)&gt;1,TRIM($B34)="",AND($O34=0,$P34=0),NOT(ISNUMBER($C34)),AND($N34&lt;&gt;"Not run",OR(TRIM($K34)="",TRIM($D34)=""))),1,0))</f>
        <v/>
      </c>
      <c r="T34" s="32">
        <f>IF($M34=0,0,IF(TRIM($E34)="",IF(OR($N34="Passed",$N34="Failed"),1,0),IF(OR(SUMPRODUCT(--(TRIM(LEFT(Summary!$G$6:$G$13,FIND(" (",Summary!$G$6:$G$13&amp;" (")-1))=TRIM(LEFT($E34,FIND(" (",$E34&amp;" (")-1))))&gt;0,TRIM(LEFT($E34,FIND(" (",$E34&amp;" (")-1))=TRIM(LEFT($D34,FIND(" (",$D34&amp;" (")-1))),1,0)))</f>
        <v/>
      </c>
      <c r="U34" s="32">
        <f>IF($M34=0,0,IF(OR($N34="Passed",$N34="Failed"),IF(OR(TRIM($G34)="",TRIM($H34)="",NOT(ISNUMBER($C34)),AND($N34="Failed",TRIM($I34)="")),1,IF($C34&gt;Summary!$B$12,1,0)),IF($N34="Not run",IF(TRIM($I34)="",1,0),IF(OR(TRIM($G34)&lt;&gt;"",TRIM($H34)&lt;&gt;""),1,0))))</f>
        <v/>
      </c>
      <c r="V34" s="32">
        <f>IF(OR($M34=0,$N34&lt;&gt;"Planned",NOT(ISNUMBER($C34))),0,IF($C34&lt;Summary!$B$12,1,0))</f>
        <v/>
      </c>
      <c r="W34" s="32">
        <f>IF(OR($M34=0,$O34=0,$N34="Not run",TRIM($L34)=""),0,IF(TRIM($L34)=TRIM(INDEX(Criteria!$D$6:$D$105,MATCH($B34,Criteria!$A$6:$A$105,0))),0,1))</f>
        <v/>
      </c>
      <c r="X34" s="32">
        <f>IF(OR($M34=0,$O34=0,$N34="Not run"),0,IF(OR(TRIM($L34)="",AND($N34="Planned",TRIM(INDEX(Criteria!$D$6:$D$105,MATCH($B34,Criteria!$A$6:$A$105,0)))="")),1,0))</f>
        <v/>
      </c>
    </row>
    <row r="35">
      <c r="A35" s="27" t="n"/>
      <c r="B35" s="27" t="n"/>
      <c r="C35" s="29" t="n"/>
      <c r="D35" s="28" t="n"/>
      <c r="E35" s="28" t="n"/>
      <c r="F35" s="27" t="n"/>
      <c r="G35" s="28" t="n"/>
      <c r="H35" s="28" t="n"/>
      <c r="I35" s="28" t="n"/>
      <c r="J35" s="19">
        <f>IF($M35=0,"",IF(SUM($S35:$X35)=0,"○ Clear",IF($S35=1,"△ Run, For, Date, Tested on or Run by missing or wrong",IF($X35=1,IF(AND($N35="Planned",TRIM(INDEX(Criteria!$D$6:$D$105,MATCH($B35,Criteria!$A$6:$A$105,0)))=""),"△ The criterion has no Pass line","△ Pass line used is blank"),IF($T35=1,"△ Checked by a builder, the runner or nobody",IF($U35=1,IF($N35="Planned","△ Result or File typed on a planned run",IF(AND(OR($N35="Passed",$N35="Failed"),TRIM($G35)&lt;&gt;"",TRIM($H35)&lt;&gt;"",ISNUMBER($C35),NOT(AND($N35="Failed",TRIM($I35)=""))),"△ Result dated after the date the checks use","△ Result, File or Reason missing")),IF($V35=1,"△ Planned day has passed, with no result","△ Pass line has changed since this run was planned")))))&amp;IF(SUM($S35:$X35)&gt;1,", and "&amp;(SUM($S35:$X35)-1)&amp;" more","")))</f>
        <v/>
      </c>
      <c r="K35" s="28" t="n"/>
      <c r="L35" s="28" t="n"/>
      <c r="M35" s="32">
        <f>IF(COUNTA($A35:$I35)+COUNTA($K35:$L35)&gt;0,1,0)</f>
        <v/>
      </c>
      <c r="N35" s="22">
        <f>IF($M35=0,"",IF($F35="","Planned",$F35))</f>
        <v/>
      </c>
      <c r="O35" s="32">
        <f>IF(OR($M35=0,TRIM($B35)=""),0,IF(COUNTIF(Criteria!$A$6:$A$105,$B35)&gt;0,1,0))</f>
        <v/>
      </c>
      <c r="P35" s="32">
        <f>IF(OR($M35=0,TRIM($B35)=""),0,IF(AND(LEN($B35)&gt;1,ISNUMBER(MATCH(LEFT($B35,1),{"R","I","A","X"},0)),ISNUMBER(VALUE(MID($B35,2,5)))),1,0))</f>
        <v/>
      </c>
      <c r="Q35" s="32">
        <f>IF(OR($M35=0,TRIM($B35)="",$N35="Planned"),0,IF(COUNTIFS($B$6:$B$105,$B35,$C$6:$C$105,"&gt;"&amp;$C35,$N$6:$N$105,"&lt;&gt;Planned")+COUNTIFS($B36:$B$106,$B35,$C36:$C$106,$C35,$N36:$N$106,"&lt;&gt;Planned")=0,1,0))</f>
        <v/>
      </c>
      <c r="R35" s="22">
        <f>IF($Q35=1,$B35,"")</f>
        <v/>
      </c>
      <c r="S35" s="32">
        <f>IF($M35=0,0,IF(OR(TRIM($A35)="",COUNTIF($A$6:$A$105,$A35)&gt;1,TRIM($B35)="",AND($O35=0,$P35=0),NOT(ISNUMBER($C35)),AND($N35&lt;&gt;"Not run",OR(TRIM($K35)="",TRIM($D35)=""))),1,0))</f>
        <v/>
      </c>
      <c r="T35" s="32">
        <f>IF($M35=0,0,IF(TRIM($E35)="",IF(OR($N35="Passed",$N35="Failed"),1,0),IF(OR(SUMPRODUCT(--(TRIM(LEFT(Summary!$G$6:$G$13,FIND(" (",Summary!$G$6:$G$13&amp;" (")-1))=TRIM(LEFT($E35,FIND(" (",$E35&amp;" (")-1))))&gt;0,TRIM(LEFT($E35,FIND(" (",$E35&amp;" (")-1))=TRIM(LEFT($D35,FIND(" (",$D35&amp;" (")-1))),1,0)))</f>
        <v/>
      </c>
      <c r="U35" s="32">
        <f>IF($M35=0,0,IF(OR($N35="Passed",$N35="Failed"),IF(OR(TRIM($G35)="",TRIM($H35)="",NOT(ISNUMBER($C35)),AND($N35="Failed",TRIM($I35)="")),1,IF($C35&gt;Summary!$B$12,1,0)),IF($N35="Not run",IF(TRIM($I35)="",1,0),IF(OR(TRIM($G35)&lt;&gt;"",TRIM($H35)&lt;&gt;""),1,0))))</f>
        <v/>
      </c>
      <c r="V35" s="32">
        <f>IF(OR($M35=0,$N35&lt;&gt;"Planned",NOT(ISNUMBER($C35))),0,IF($C35&lt;Summary!$B$12,1,0))</f>
        <v/>
      </c>
      <c r="W35" s="32">
        <f>IF(OR($M35=0,$O35=0,$N35="Not run",TRIM($L35)=""),0,IF(TRIM($L35)=TRIM(INDEX(Criteria!$D$6:$D$105,MATCH($B35,Criteria!$A$6:$A$105,0))),0,1))</f>
        <v/>
      </c>
      <c r="X35" s="32">
        <f>IF(OR($M35=0,$O35=0,$N35="Not run"),0,IF(OR(TRIM($L35)="",AND($N35="Planned",TRIM(INDEX(Criteria!$D$6:$D$105,MATCH($B35,Criteria!$A$6:$A$105,0)))="")),1,0))</f>
        <v/>
      </c>
    </row>
    <row r="36">
      <c r="A36" s="27" t="n"/>
      <c r="B36" s="27" t="n"/>
      <c r="C36" s="29" t="n"/>
      <c r="D36" s="28" t="n"/>
      <c r="E36" s="28" t="n"/>
      <c r="F36" s="27" t="n"/>
      <c r="G36" s="28" t="n"/>
      <c r="H36" s="28" t="n"/>
      <c r="I36" s="28" t="n"/>
      <c r="J36" s="19">
        <f>IF($M36=0,"",IF(SUM($S36:$X36)=0,"○ Clear",IF($S36=1,"△ Run, For, Date, Tested on or Run by missing or wrong",IF($X36=1,IF(AND($N36="Planned",TRIM(INDEX(Criteria!$D$6:$D$105,MATCH($B36,Criteria!$A$6:$A$105,0)))=""),"△ The criterion has no Pass line","△ Pass line used is blank"),IF($T36=1,"△ Checked by a builder, the runner or nobody",IF($U36=1,IF($N36="Planned","△ Result or File typed on a planned run",IF(AND(OR($N36="Passed",$N36="Failed"),TRIM($G36)&lt;&gt;"",TRIM($H36)&lt;&gt;"",ISNUMBER($C36),NOT(AND($N36="Failed",TRIM($I36)=""))),"△ Result dated after the date the checks use","△ Result, File or Reason missing")),IF($V36=1,"△ Planned day has passed, with no result","△ Pass line has changed since this run was planned")))))&amp;IF(SUM($S36:$X36)&gt;1,", and "&amp;(SUM($S36:$X36)-1)&amp;" more","")))</f>
        <v/>
      </c>
      <c r="K36" s="28" t="n"/>
      <c r="L36" s="28" t="n"/>
      <c r="M36" s="32">
        <f>IF(COUNTA($A36:$I36)+COUNTA($K36:$L36)&gt;0,1,0)</f>
        <v/>
      </c>
      <c r="N36" s="22">
        <f>IF($M36=0,"",IF($F36="","Planned",$F36))</f>
        <v/>
      </c>
      <c r="O36" s="32">
        <f>IF(OR($M36=0,TRIM($B36)=""),0,IF(COUNTIF(Criteria!$A$6:$A$105,$B36)&gt;0,1,0))</f>
        <v/>
      </c>
      <c r="P36" s="32">
        <f>IF(OR($M36=0,TRIM($B36)=""),0,IF(AND(LEN($B36)&gt;1,ISNUMBER(MATCH(LEFT($B36,1),{"R","I","A","X"},0)),ISNUMBER(VALUE(MID($B36,2,5)))),1,0))</f>
        <v/>
      </c>
      <c r="Q36" s="32">
        <f>IF(OR($M36=0,TRIM($B36)="",$N36="Planned"),0,IF(COUNTIFS($B$6:$B$105,$B36,$C$6:$C$105,"&gt;"&amp;$C36,$N$6:$N$105,"&lt;&gt;Planned")+COUNTIFS($B37:$B$106,$B36,$C37:$C$106,$C36,$N37:$N$106,"&lt;&gt;Planned")=0,1,0))</f>
        <v/>
      </c>
      <c r="R36" s="22">
        <f>IF($Q36=1,$B36,"")</f>
        <v/>
      </c>
      <c r="S36" s="32">
        <f>IF($M36=0,0,IF(OR(TRIM($A36)="",COUNTIF($A$6:$A$105,$A36)&gt;1,TRIM($B36)="",AND($O36=0,$P36=0),NOT(ISNUMBER($C36)),AND($N36&lt;&gt;"Not run",OR(TRIM($K36)="",TRIM($D36)=""))),1,0))</f>
        <v/>
      </c>
      <c r="T36" s="32">
        <f>IF($M36=0,0,IF(TRIM($E36)="",IF(OR($N36="Passed",$N36="Failed"),1,0),IF(OR(SUMPRODUCT(--(TRIM(LEFT(Summary!$G$6:$G$13,FIND(" (",Summary!$G$6:$G$13&amp;" (")-1))=TRIM(LEFT($E36,FIND(" (",$E36&amp;" (")-1))))&gt;0,TRIM(LEFT($E36,FIND(" (",$E36&amp;" (")-1))=TRIM(LEFT($D36,FIND(" (",$D36&amp;" (")-1))),1,0)))</f>
        <v/>
      </c>
      <c r="U36" s="32">
        <f>IF($M36=0,0,IF(OR($N36="Passed",$N36="Failed"),IF(OR(TRIM($G36)="",TRIM($H36)="",NOT(ISNUMBER($C36)),AND($N36="Failed",TRIM($I36)="")),1,IF($C36&gt;Summary!$B$12,1,0)),IF($N36="Not run",IF(TRIM($I36)="",1,0),IF(OR(TRIM($G36)&lt;&gt;"",TRIM($H36)&lt;&gt;""),1,0))))</f>
        <v/>
      </c>
      <c r="V36" s="32">
        <f>IF(OR($M36=0,$N36&lt;&gt;"Planned",NOT(ISNUMBER($C36))),0,IF($C36&lt;Summary!$B$12,1,0))</f>
        <v/>
      </c>
      <c r="W36" s="32">
        <f>IF(OR($M36=0,$O36=0,$N36="Not run",TRIM($L36)=""),0,IF(TRIM($L36)=TRIM(INDEX(Criteria!$D$6:$D$105,MATCH($B36,Criteria!$A$6:$A$105,0))),0,1))</f>
        <v/>
      </c>
      <c r="X36" s="32">
        <f>IF(OR($M36=0,$O36=0,$N36="Not run"),0,IF(OR(TRIM($L36)="",AND($N36="Planned",TRIM(INDEX(Criteria!$D$6:$D$105,MATCH($B36,Criteria!$A$6:$A$105,0)))="")),1,0))</f>
        <v/>
      </c>
    </row>
    <row r="37">
      <c r="A37" s="27" t="n"/>
      <c r="B37" s="27" t="n"/>
      <c r="C37" s="29" t="n"/>
      <c r="D37" s="28" t="n"/>
      <c r="E37" s="28" t="n"/>
      <c r="F37" s="27" t="n"/>
      <c r="G37" s="28" t="n"/>
      <c r="H37" s="28" t="n"/>
      <c r="I37" s="28" t="n"/>
      <c r="J37" s="19">
        <f>IF($M37=0,"",IF(SUM($S37:$X37)=0,"○ Clear",IF($S37=1,"△ Run, For, Date, Tested on or Run by missing or wrong",IF($X37=1,IF(AND($N37="Planned",TRIM(INDEX(Criteria!$D$6:$D$105,MATCH($B37,Criteria!$A$6:$A$105,0)))=""),"△ The criterion has no Pass line","△ Pass line used is blank"),IF($T37=1,"△ Checked by a builder, the runner or nobody",IF($U37=1,IF($N37="Planned","△ Result or File typed on a planned run",IF(AND(OR($N37="Passed",$N37="Failed"),TRIM($G37)&lt;&gt;"",TRIM($H37)&lt;&gt;"",ISNUMBER($C37),NOT(AND($N37="Failed",TRIM($I37)=""))),"△ Result dated after the date the checks use","△ Result, File or Reason missing")),IF($V37=1,"△ Planned day has passed, with no result","△ Pass line has changed since this run was planned")))))&amp;IF(SUM($S37:$X37)&gt;1,", and "&amp;(SUM($S37:$X37)-1)&amp;" more","")))</f>
        <v/>
      </c>
      <c r="K37" s="28" t="n"/>
      <c r="L37" s="28" t="n"/>
      <c r="M37" s="32">
        <f>IF(COUNTA($A37:$I37)+COUNTA($K37:$L37)&gt;0,1,0)</f>
        <v/>
      </c>
      <c r="N37" s="22">
        <f>IF($M37=0,"",IF($F37="","Planned",$F37))</f>
        <v/>
      </c>
      <c r="O37" s="32">
        <f>IF(OR($M37=0,TRIM($B37)=""),0,IF(COUNTIF(Criteria!$A$6:$A$105,$B37)&gt;0,1,0))</f>
        <v/>
      </c>
      <c r="P37" s="32">
        <f>IF(OR($M37=0,TRIM($B37)=""),0,IF(AND(LEN($B37)&gt;1,ISNUMBER(MATCH(LEFT($B37,1),{"R","I","A","X"},0)),ISNUMBER(VALUE(MID($B37,2,5)))),1,0))</f>
        <v/>
      </c>
      <c r="Q37" s="32">
        <f>IF(OR($M37=0,TRIM($B37)="",$N37="Planned"),0,IF(COUNTIFS($B$6:$B$105,$B37,$C$6:$C$105,"&gt;"&amp;$C37,$N$6:$N$105,"&lt;&gt;Planned")+COUNTIFS($B38:$B$106,$B37,$C38:$C$106,$C37,$N38:$N$106,"&lt;&gt;Planned")=0,1,0))</f>
        <v/>
      </c>
      <c r="R37" s="22">
        <f>IF($Q37=1,$B37,"")</f>
        <v/>
      </c>
      <c r="S37" s="32">
        <f>IF($M37=0,0,IF(OR(TRIM($A37)="",COUNTIF($A$6:$A$105,$A37)&gt;1,TRIM($B37)="",AND($O37=0,$P37=0),NOT(ISNUMBER($C37)),AND($N37&lt;&gt;"Not run",OR(TRIM($K37)="",TRIM($D37)=""))),1,0))</f>
        <v/>
      </c>
      <c r="T37" s="32">
        <f>IF($M37=0,0,IF(TRIM($E37)="",IF(OR($N37="Passed",$N37="Failed"),1,0),IF(OR(SUMPRODUCT(--(TRIM(LEFT(Summary!$G$6:$G$13,FIND(" (",Summary!$G$6:$G$13&amp;" (")-1))=TRIM(LEFT($E37,FIND(" (",$E37&amp;" (")-1))))&gt;0,TRIM(LEFT($E37,FIND(" (",$E37&amp;" (")-1))=TRIM(LEFT($D37,FIND(" (",$D37&amp;" (")-1))),1,0)))</f>
        <v/>
      </c>
      <c r="U37" s="32">
        <f>IF($M37=0,0,IF(OR($N37="Passed",$N37="Failed"),IF(OR(TRIM($G37)="",TRIM($H37)="",NOT(ISNUMBER($C37)),AND($N37="Failed",TRIM($I37)="")),1,IF($C37&gt;Summary!$B$12,1,0)),IF($N37="Not run",IF(TRIM($I37)="",1,0),IF(OR(TRIM($G37)&lt;&gt;"",TRIM($H37)&lt;&gt;""),1,0))))</f>
        <v/>
      </c>
      <c r="V37" s="32">
        <f>IF(OR($M37=0,$N37&lt;&gt;"Planned",NOT(ISNUMBER($C37))),0,IF($C37&lt;Summary!$B$12,1,0))</f>
        <v/>
      </c>
      <c r="W37" s="32">
        <f>IF(OR($M37=0,$O37=0,$N37="Not run",TRIM($L37)=""),0,IF(TRIM($L37)=TRIM(INDEX(Criteria!$D$6:$D$105,MATCH($B37,Criteria!$A$6:$A$105,0))),0,1))</f>
        <v/>
      </c>
      <c r="X37" s="32">
        <f>IF(OR($M37=0,$O37=0,$N37="Not run"),0,IF(OR(TRIM($L37)="",AND($N37="Planned",TRIM(INDEX(Criteria!$D$6:$D$105,MATCH($B37,Criteria!$A$6:$A$105,0)))="")),1,0))</f>
        <v/>
      </c>
    </row>
    <row r="38">
      <c r="A38" s="27" t="n"/>
      <c r="B38" s="27" t="n"/>
      <c r="C38" s="29" t="n"/>
      <c r="D38" s="28" t="n"/>
      <c r="E38" s="28" t="n"/>
      <c r="F38" s="27" t="n"/>
      <c r="G38" s="28" t="n"/>
      <c r="H38" s="28" t="n"/>
      <c r="I38" s="28" t="n"/>
      <c r="J38" s="19">
        <f>IF($M38=0,"",IF(SUM($S38:$X38)=0,"○ Clear",IF($S38=1,"△ Run, For, Date, Tested on or Run by missing or wrong",IF($X38=1,IF(AND($N38="Planned",TRIM(INDEX(Criteria!$D$6:$D$105,MATCH($B38,Criteria!$A$6:$A$105,0)))=""),"△ The criterion has no Pass line","△ Pass line used is blank"),IF($T38=1,"△ Checked by a builder, the runner or nobody",IF($U38=1,IF($N38="Planned","△ Result or File typed on a planned run",IF(AND(OR($N38="Passed",$N38="Failed"),TRIM($G38)&lt;&gt;"",TRIM($H38)&lt;&gt;"",ISNUMBER($C38),NOT(AND($N38="Failed",TRIM($I38)=""))),"△ Result dated after the date the checks use","△ Result, File or Reason missing")),IF($V38=1,"△ Planned day has passed, with no result","△ Pass line has changed since this run was planned")))))&amp;IF(SUM($S38:$X38)&gt;1,", and "&amp;(SUM($S38:$X38)-1)&amp;" more","")))</f>
        <v/>
      </c>
      <c r="K38" s="28" t="n"/>
      <c r="L38" s="28" t="n"/>
      <c r="M38" s="32">
        <f>IF(COUNTA($A38:$I38)+COUNTA($K38:$L38)&gt;0,1,0)</f>
        <v/>
      </c>
      <c r="N38" s="22">
        <f>IF($M38=0,"",IF($F38="","Planned",$F38))</f>
        <v/>
      </c>
      <c r="O38" s="32">
        <f>IF(OR($M38=0,TRIM($B38)=""),0,IF(COUNTIF(Criteria!$A$6:$A$105,$B38)&gt;0,1,0))</f>
        <v/>
      </c>
      <c r="P38" s="32">
        <f>IF(OR($M38=0,TRIM($B38)=""),0,IF(AND(LEN($B38)&gt;1,ISNUMBER(MATCH(LEFT($B38,1),{"R","I","A","X"},0)),ISNUMBER(VALUE(MID($B38,2,5)))),1,0))</f>
        <v/>
      </c>
      <c r="Q38" s="32">
        <f>IF(OR($M38=0,TRIM($B38)="",$N38="Planned"),0,IF(COUNTIFS($B$6:$B$105,$B38,$C$6:$C$105,"&gt;"&amp;$C38,$N$6:$N$105,"&lt;&gt;Planned")+COUNTIFS($B39:$B$106,$B38,$C39:$C$106,$C38,$N39:$N$106,"&lt;&gt;Planned")=0,1,0))</f>
        <v/>
      </c>
      <c r="R38" s="22">
        <f>IF($Q38=1,$B38,"")</f>
        <v/>
      </c>
      <c r="S38" s="32">
        <f>IF($M38=0,0,IF(OR(TRIM($A38)="",COUNTIF($A$6:$A$105,$A38)&gt;1,TRIM($B38)="",AND($O38=0,$P38=0),NOT(ISNUMBER($C38)),AND($N38&lt;&gt;"Not run",OR(TRIM($K38)="",TRIM($D38)=""))),1,0))</f>
        <v/>
      </c>
      <c r="T38" s="32">
        <f>IF($M38=0,0,IF(TRIM($E38)="",IF(OR($N38="Passed",$N38="Failed"),1,0),IF(OR(SUMPRODUCT(--(TRIM(LEFT(Summary!$G$6:$G$13,FIND(" (",Summary!$G$6:$G$13&amp;" (")-1))=TRIM(LEFT($E38,FIND(" (",$E38&amp;" (")-1))))&gt;0,TRIM(LEFT($E38,FIND(" (",$E38&amp;" (")-1))=TRIM(LEFT($D38,FIND(" (",$D38&amp;" (")-1))),1,0)))</f>
        <v/>
      </c>
      <c r="U38" s="32">
        <f>IF($M38=0,0,IF(OR($N38="Passed",$N38="Failed"),IF(OR(TRIM($G38)="",TRIM($H38)="",NOT(ISNUMBER($C38)),AND($N38="Failed",TRIM($I38)="")),1,IF($C38&gt;Summary!$B$12,1,0)),IF($N38="Not run",IF(TRIM($I38)="",1,0),IF(OR(TRIM($G38)&lt;&gt;"",TRIM($H38)&lt;&gt;""),1,0))))</f>
        <v/>
      </c>
      <c r="V38" s="32">
        <f>IF(OR($M38=0,$N38&lt;&gt;"Planned",NOT(ISNUMBER($C38))),0,IF($C38&lt;Summary!$B$12,1,0))</f>
        <v/>
      </c>
      <c r="W38" s="32">
        <f>IF(OR($M38=0,$O38=0,$N38="Not run",TRIM($L38)=""),0,IF(TRIM($L38)=TRIM(INDEX(Criteria!$D$6:$D$105,MATCH($B38,Criteria!$A$6:$A$105,0))),0,1))</f>
        <v/>
      </c>
      <c r="X38" s="32">
        <f>IF(OR($M38=0,$O38=0,$N38="Not run"),0,IF(OR(TRIM($L38)="",AND($N38="Planned",TRIM(INDEX(Criteria!$D$6:$D$105,MATCH($B38,Criteria!$A$6:$A$105,0)))="")),1,0))</f>
        <v/>
      </c>
    </row>
    <row r="39">
      <c r="A39" s="27" t="n"/>
      <c r="B39" s="27" t="n"/>
      <c r="C39" s="29" t="n"/>
      <c r="D39" s="28" t="n"/>
      <c r="E39" s="28" t="n"/>
      <c r="F39" s="27" t="n"/>
      <c r="G39" s="28" t="n"/>
      <c r="H39" s="28" t="n"/>
      <c r="I39" s="28" t="n"/>
      <c r="J39" s="19">
        <f>IF($M39=0,"",IF(SUM($S39:$X39)=0,"○ Clear",IF($S39=1,"△ Run, For, Date, Tested on or Run by missing or wrong",IF($X39=1,IF(AND($N39="Planned",TRIM(INDEX(Criteria!$D$6:$D$105,MATCH($B39,Criteria!$A$6:$A$105,0)))=""),"△ The criterion has no Pass line","△ Pass line used is blank"),IF($T39=1,"△ Checked by a builder, the runner or nobody",IF($U39=1,IF($N39="Planned","△ Result or File typed on a planned run",IF(AND(OR($N39="Passed",$N39="Failed"),TRIM($G39)&lt;&gt;"",TRIM($H39)&lt;&gt;"",ISNUMBER($C39),NOT(AND($N39="Failed",TRIM($I39)=""))),"△ Result dated after the date the checks use","△ Result, File or Reason missing")),IF($V39=1,"△ Planned day has passed, with no result","△ Pass line has changed since this run was planned")))))&amp;IF(SUM($S39:$X39)&gt;1,", and "&amp;(SUM($S39:$X39)-1)&amp;" more","")))</f>
        <v/>
      </c>
      <c r="K39" s="28" t="n"/>
      <c r="L39" s="28" t="n"/>
      <c r="M39" s="32">
        <f>IF(COUNTA($A39:$I39)+COUNTA($K39:$L39)&gt;0,1,0)</f>
        <v/>
      </c>
      <c r="N39" s="22">
        <f>IF($M39=0,"",IF($F39="","Planned",$F39))</f>
        <v/>
      </c>
      <c r="O39" s="32">
        <f>IF(OR($M39=0,TRIM($B39)=""),0,IF(COUNTIF(Criteria!$A$6:$A$105,$B39)&gt;0,1,0))</f>
        <v/>
      </c>
      <c r="P39" s="32">
        <f>IF(OR($M39=0,TRIM($B39)=""),0,IF(AND(LEN($B39)&gt;1,ISNUMBER(MATCH(LEFT($B39,1),{"R","I","A","X"},0)),ISNUMBER(VALUE(MID($B39,2,5)))),1,0))</f>
        <v/>
      </c>
      <c r="Q39" s="32">
        <f>IF(OR($M39=0,TRIM($B39)="",$N39="Planned"),0,IF(COUNTIFS($B$6:$B$105,$B39,$C$6:$C$105,"&gt;"&amp;$C39,$N$6:$N$105,"&lt;&gt;Planned")+COUNTIFS($B40:$B$106,$B39,$C40:$C$106,$C39,$N40:$N$106,"&lt;&gt;Planned")=0,1,0))</f>
        <v/>
      </c>
      <c r="R39" s="22">
        <f>IF($Q39=1,$B39,"")</f>
        <v/>
      </c>
      <c r="S39" s="32">
        <f>IF($M39=0,0,IF(OR(TRIM($A39)="",COUNTIF($A$6:$A$105,$A39)&gt;1,TRIM($B39)="",AND($O39=0,$P39=0),NOT(ISNUMBER($C39)),AND($N39&lt;&gt;"Not run",OR(TRIM($K39)="",TRIM($D39)=""))),1,0))</f>
        <v/>
      </c>
      <c r="T39" s="32">
        <f>IF($M39=0,0,IF(TRIM($E39)="",IF(OR($N39="Passed",$N39="Failed"),1,0),IF(OR(SUMPRODUCT(--(TRIM(LEFT(Summary!$G$6:$G$13,FIND(" (",Summary!$G$6:$G$13&amp;" (")-1))=TRIM(LEFT($E39,FIND(" (",$E39&amp;" (")-1))))&gt;0,TRIM(LEFT($E39,FIND(" (",$E39&amp;" (")-1))=TRIM(LEFT($D39,FIND(" (",$D39&amp;" (")-1))),1,0)))</f>
        <v/>
      </c>
      <c r="U39" s="32">
        <f>IF($M39=0,0,IF(OR($N39="Passed",$N39="Failed"),IF(OR(TRIM($G39)="",TRIM($H39)="",NOT(ISNUMBER($C39)),AND($N39="Failed",TRIM($I39)="")),1,IF($C39&gt;Summary!$B$12,1,0)),IF($N39="Not run",IF(TRIM($I39)="",1,0),IF(OR(TRIM($G39)&lt;&gt;"",TRIM($H39)&lt;&gt;""),1,0))))</f>
        <v/>
      </c>
      <c r="V39" s="32">
        <f>IF(OR($M39=0,$N39&lt;&gt;"Planned",NOT(ISNUMBER($C39))),0,IF($C39&lt;Summary!$B$12,1,0))</f>
        <v/>
      </c>
      <c r="W39" s="32">
        <f>IF(OR($M39=0,$O39=0,$N39="Not run",TRIM($L39)=""),0,IF(TRIM($L39)=TRIM(INDEX(Criteria!$D$6:$D$105,MATCH($B39,Criteria!$A$6:$A$105,0))),0,1))</f>
        <v/>
      </c>
      <c r="X39" s="32">
        <f>IF(OR($M39=0,$O39=0,$N39="Not run"),0,IF(OR(TRIM($L39)="",AND($N39="Planned",TRIM(INDEX(Criteria!$D$6:$D$105,MATCH($B39,Criteria!$A$6:$A$105,0)))="")),1,0))</f>
        <v/>
      </c>
    </row>
    <row r="40">
      <c r="A40" s="27" t="n"/>
      <c r="B40" s="27" t="n"/>
      <c r="C40" s="29" t="n"/>
      <c r="D40" s="28" t="n"/>
      <c r="E40" s="28" t="n"/>
      <c r="F40" s="27" t="n"/>
      <c r="G40" s="28" t="n"/>
      <c r="H40" s="28" t="n"/>
      <c r="I40" s="28" t="n"/>
      <c r="J40" s="19">
        <f>IF($M40=0,"",IF(SUM($S40:$X40)=0,"○ Clear",IF($S40=1,"△ Run, For, Date, Tested on or Run by missing or wrong",IF($X40=1,IF(AND($N40="Planned",TRIM(INDEX(Criteria!$D$6:$D$105,MATCH($B40,Criteria!$A$6:$A$105,0)))=""),"△ The criterion has no Pass line","△ Pass line used is blank"),IF($T40=1,"△ Checked by a builder, the runner or nobody",IF($U40=1,IF($N40="Planned","△ Result or File typed on a planned run",IF(AND(OR($N40="Passed",$N40="Failed"),TRIM($G40)&lt;&gt;"",TRIM($H40)&lt;&gt;"",ISNUMBER($C40),NOT(AND($N40="Failed",TRIM($I40)=""))),"△ Result dated after the date the checks use","△ Result, File or Reason missing")),IF($V40=1,"△ Planned day has passed, with no result","△ Pass line has changed since this run was planned")))))&amp;IF(SUM($S40:$X40)&gt;1,", and "&amp;(SUM($S40:$X40)-1)&amp;" more","")))</f>
        <v/>
      </c>
      <c r="K40" s="28" t="n"/>
      <c r="L40" s="28" t="n"/>
      <c r="M40" s="32">
        <f>IF(COUNTA($A40:$I40)+COUNTA($K40:$L40)&gt;0,1,0)</f>
        <v/>
      </c>
      <c r="N40" s="22">
        <f>IF($M40=0,"",IF($F40="","Planned",$F40))</f>
        <v/>
      </c>
      <c r="O40" s="32">
        <f>IF(OR($M40=0,TRIM($B40)=""),0,IF(COUNTIF(Criteria!$A$6:$A$105,$B40)&gt;0,1,0))</f>
        <v/>
      </c>
      <c r="P40" s="32">
        <f>IF(OR($M40=0,TRIM($B40)=""),0,IF(AND(LEN($B40)&gt;1,ISNUMBER(MATCH(LEFT($B40,1),{"R","I","A","X"},0)),ISNUMBER(VALUE(MID($B40,2,5)))),1,0))</f>
        <v/>
      </c>
      <c r="Q40" s="32">
        <f>IF(OR($M40=0,TRIM($B40)="",$N40="Planned"),0,IF(COUNTIFS($B$6:$B$105,$B40,$C$6:$C$105,"&gt;"&amp;$C40,$N$6:$N$105,"&lt;&gt;Planned")+COUNTIFS($B41:$B$106,$B40,$C41:$C$106,$C40,$N41:$N$106,"&lt;&gt;Planned")=0,1,0))</f>
        <v/>
      </c>
      <c r="R40" s="22">
        <f>IF($Q40=1,$B40,"")</f>
        <v/>
      </c>
      <c r="S40" s="32">
        <f>IF($M40=0,0,IF(OR(TRIM($A40)="",COUNTIF($A$6:$A$105,$A40)&gt;1,TRIM($B40)="",AND($O40=0,$P40=0),NOT(ISNUMBER($C40)),AND($N40&lt;&gt;"Not run",OR(TRIM($K40)="",TRIM($D40)=""))),1,0))</f>
        <v/>
      </c>
      <c r="T40" s="32">
        <f>IF($M40=0,0,IF(TRIM($E40)="",IF(OR($N40="Passed",$N40="Failed"),1,0),IF(OR(SUMPRODUCT(--(TRIM(LEFT(Summary!$G$6:$G$13,FIND(" (",Summary!$G$6:$G$13&amp;" (")-1))=TRIM(LEFT($E40,FIND(" (",$E40&amp;" (")-1))))&gt;0,TRIM(LEFT($E40,FIND(" (",$E40&amp;" (")-1))=TRIM(LEFT($D40,FIND(" (",$D40&amp;" (")-1))),1,0)))</f>
        <v/>
      </c>
      <c r="U40" s="32">
        <f>IF($M40=0,0,IF(OR($N40="Passed",$N40="Failed"),IF(OR(TRIM($G40)="",TRIM($H40)="",NOT(ISNUMBER($C40)),AND($N40="Failed",TRIM($I40)="")),1,IF($C40&gt;Summary!$B$12,1,0)),IF($N40="Not run",IF(TRIM($I40)="",1,0),IF(OR(TRIM($G40)&lt;&gt;"",TRIM($H40)&lt;&gt;""),1,0))))</f>
        <v/>
      </c>
      <c r="V40" s="32">
        <f>IF(OR($M40=0,$N40&lt;&gt;"Planned",NOT(ISNUMBER($C40))),0,IF($C40&lt;Summary!$B$12,1,0))</f>
        <v/>
      </c>
      <c r="W40" s="32">
        <f>IF(OR($M40=0,$O40=0,$N40="Not run",TRIM($L40)=""),0,IF(TRIM($L40)=TRIM(INDEX(Criteria!$D$6:$D$105,MATCH($B40,Criteria!$A$6:$A$105,0))),0,1))</f>
        <v/>
      </c>
      <c r="X40" s="32">
        <f>IF(OR($M40=0,$O40=0,$N40="Not run"),0,IF(OR(TRIM($L40)="",AND($N40="Planned",TRIM(INDEX(Criteria!$D$6:$D$105,MATCH($B40,Criteria!$A$6:$A$105,0)))="")),1,0))</f>
        <v/>
      </c>
    </row>
    <row r="41">
      <c r="A41" s="27" t="n"/>
      <c r="B41" s="27" t="n"/>
      <c r="C41" s="29" t="n"/>
      <c r="D41" s="28" t="n"/>
      <c r="E41" s="28" t="n"/>
      <c r="F41" s="27" t="n"/>
      <c r="G41" s="28" t="n"/>
      <c r="H41" s="28" t="n"/>
      <c r="I41" s="28" t="n"/>
      <c r="J41" s="19">
        <f>IF($M41=0,"",IF(SUM($S41:$X41)=0,"○ Clear",IF($S41=1,"△ Run, For, Date, Tested on or Run by missing or wrong",IF($X41=1,IF(AND($N41="Planned",TRIM(INDEX(Criteria!$D$6:$D$105,MATCH($B41,Criteria!$A$6:$A$105,0)))=""),"△ The criterion has no Pass line","△ Pass line used is blank"),IF($T41=1,"△ Checked by a builder, the runner or nobody",IF($U41=1,IF($N41="Planned","△ Result or File typed on a planned run",IF(AND(OR($N41="Passed",$N41="Failed"),TRIM($G41)&lt;&gt;"",TRIM($H41)&lt;&gt;"",ISNUMBER($C41),NOT(AND($N41="Failed",TRIM($I41)=""))),"△ Result dated after the date the checks use","△ Result, File or Reason missing")),IF($V41=1,"△ Planned day has passed, with no result","△ Pass line has changed since this run was planned")))))&amp;IF(SUM($S41:$X41)&gt;1,", and "&amp;(SUM($S41:$X41)-1)&amp;" more","")))</f>
        <v/>
      </c>
      <c r="K41" s="28" t="n"/>
      <c r="L41" s="28" t="n"/>
      <c r="M41" s="32">
        <f>IF(COUNTA($A41:$I41)+COUNTA($K41:$L41)&gt;0,1,0)</f>
        <v/>
      </c>
      <c r="N41" s="22">
        <f>IF($M41=0,"",IF($F41="","Planned",$F41))</f>
        <v/>
      </c>
      <c r="O41" s="32">
        <f>IF(OR($M41=0,TRIM($B41)=""),0,IF(COUNTIF(Criteria!$A$6:$A$105,$B41)&gt;0,1,0))</f>
        <v/>
      </c>
      <c r="P41" s="32">
        <f>IF(OR($M41=0,TRIM($B41)=""),0,IF(AND(LEN($B41)&gt;1,ISNUMBER(MATCH(LEFT($B41,1),{"R","I","A","X"},0)),ISNUMBER(VALUE(MID($B41,2,5)))),1,0))</f>
        <v/>
      </c>
      <c r="Q41" s="32">
        <f>IF(OR($M41=0,TRIM($B41)="",$N41="Planned"),0,IF(COUNTIFS($B$6:$B$105,$B41,$C$6:$C$105,"&gt;"&amp;$C41,$N$6:$N$105,"&lt;&gt;Planned")+COUNTIFS($B42:$B$106,$B41,$C42:$C$106,$C41,$N42:$N$106,"&lt;&gt;Planned")=0,1,0))</f>
        <v/>
      </c>
      <c r="R41" s="22">
        <f>IF($Q41=1,$B41,"")</f>
        <v/>
      </c>
      <c r="S41" s="32">
        <f>IF($M41=0,0,IF(OR(TRIM($A41)="",COUNTIF($A$6:$A$105,$A41)&gt;1,TRIM($B41)="",AND($O41=0,$P41=0),NOT(ISNUMBER($C41)),AND($N41&lt;&gt;"Not run",OR(TRIM($K41)="",TRIM($D41)=""))),1,0))</f>
        <v/>
      </c>
      <c r="T41" s="32">
        <f>IF($M41=0,0,IF(TRIM($E41)="",IF(OR($N41="Passed",$N41="Failed"),1,0),IF(OR(SUMPRODUCT(--(TRIM(LEFT(Summary!$G$6:$G$13,FIND(" (",Summary!$G$6:$G$13&amp;" (")-1))=TRIM(LEFT($E41,FIND(" (",$E41&amp;" (")-1))))&gt;0,TRIM(LEFT($E41,FIND(" (",$E41&amp;" (")-1))=TRIM(LEFT($D41,FIND(" (",$D41&amp;" (")-1))),1,0)))</f>
        <v/>
      </c>
      <c r="U41" s="32">
        <f>IF($M41=0,0,IF(OR($N41="Passed",$N41="Failed"),IF(OR(TRIM($G41)="",TRIM($H41)="",NOT(ISNUMBER($C41)),AND($N41="Failed",TRIM($I41)="")),1,IF($C41&gt;Summary!$B$12,1,0)),IF($N41="Not run",IF(TRIM($I41)="",1,0),IF(OR(TRIM($G41)&lt;&gt;"",TRIM($H41)&lt;&gt;""),1,0))))</f>
        <v/>
      </c>
      <c r="V41" s="32">
        <f>IF(OR($M41=0,$N41&lt;&gt;"Planned",NOT(ISNUMBER($C41))),0,IF($C41&lt;Summary!$B$12,1,0))</f>
        <v/>
      </c>
      <c r="W41" s="32">
        <f>IF(OR($M41=0,$O41=0,$N41="Not run",TRIM($L41)=""),0,IF(TRIM($L41)=TRIM(INDEX(Criteria!$D$6:$D$105,MATCH($B41,Criteria!$A$6:$A$105,0))),0,1))</f>
        <v/>
      </c>
      <c r="X41" s="32">
        <f>IF(OR($M41=0,$O41=0,$N41="Not run"),0,IF(OR(TRIM($L41)="",AND($N41="Planned",TRIM(INDEX(Criteria!$D$6:$D$105,MATCH($B41,Criteria!$A$6:$A$105,0)))="")),1,0))</f>
        <v/>
      </c>
    </row>
    <row r="42">
      <c r="A42" s="27" t="n"/>
      <c r="B42" s="27" t="n"/>
      <c r="C42" s="29" t="n"/>
      <c r="D42" s="28" t="n"/>
      <c r="E42" s="28" t="n"/>
      <c r="F42" s="27" t="n"/>
      <c r="G42" s="28" t="n"/>
      <c r="H42" s="28" t="n"/>
      <c r="I42" s="28" t="n"/>
      <c r="J42" s="19">
        <f>IF($M42=0,"",IF(SUM($S42:$X42)=0,"○ Clear",IF($S42=1,"△ Run, For, Date, Tested on or Run by missing or wrong",IF($X42=1,IF(AND($N42="Planned",TRIM(INDEX(Criteria!$D$6:$D$105,MATCH($B42,Criteria!$A$6:$A$105,0)))=""),"△ The criterion has no Pass line","△ Pass line used is blank"),IF($T42=1,"△ Checked by a builder, the runner or nobody",IF($U42=1,IF($N42="Planned","△ Result or File typed on a planned run",IF(AND(OR($N42="Passed",$N42="Failed"),TRIM($G42)&lt;&gt;"",TRIM($H42)&lt;&gt;"",ISNUMBER($C42),NOT(AND($N42="Failed",TRIM($I42)=""))),"△ Result dated after the date the checks use","△ Result, File or Reason missing")),IF($V42=1,"△ Planned day has passed, with no result","△ Pass line has changed since this run was planned")))))&amp;IF(SUM($S42:$X42)&gt;1,", and "&amp;(SUM($S42:$X42)-1)&amp;" more","")))</f>
        <v/>
      </c>
      <c r="K42" s="28" t="n"/>
      <c r="L42" s="28" t="n"/>
      <c r="M42" s="32">
        <f>IF(COUNTA($A42:$I42)+COUNTA($K42:$L42)&gt;0,1,0)</f>
        <v/>
      </c>
      <c r="N42" s="22">
        <f>IF($M42=0,"",IF($F42="","Planned",$F42))</f>
        <v/>
      </c>
      <c r="O42" s="32">
        <f>IF(OR($M42=0,TRIM($B42)=""),0,IF(COUNTIF(Criteria!$A$6:$A$105,$B42)&gt;0,1,0))</f>
        <v/>
      </c>
      <c r="P42" s="32">
        <f>IF(OR($M42=0,TRIM($B42)=""),0,IF(AND(LEN($B42)&gt;1,ISNUMBER(MATCH(LEFT($B42,1),{"R","I","A","X"},0)),ISNUMBER(VALUE(MID($B42,2,5)))),1,0))</f>
        <v/>
      </c>
      <c r="Q42" s="32">
        <f>IF(OR($M42=0,TRIM($B42)="",$N42="Planned"),0,IF(COUNTIFS($B$6:$B$105,$B42,$C$6:$C$105,"&gt;"&amp;$C42,$N$6:$N$105,"&lt;&gt;Planned")+COUNTIFS($B43:$B$106,$B42,$C43:$C$106,$C42,$N43:$N$106,"&lt;&gt;Planned")=0,1,0))</f>
        <v/>
      </c>
      <c r="R42" s="22">
        <f>IF($Q42=1,$B42,"")</f>
        <v/>
      </c>
      <c r="S42" s="32">
        <f>IF($M42=0,0,IF(OR(TRIM($A42)="",COUNTIF($A$6:$A$105,$A42)&gt;1,TRIM($B42)="",AND($O42=0,$P42=0),NOT(ISNUMBER($C42)),AND($N42&lt;&gt;"Not run",OR(TRIM($K42)="",TRIM($D42)=""))),1,0))</f>
        <v/>
      </c>
      <c r="T42" s="32">
        <f>IF($M42=0,0,IF(TRIM($E42)="",IF(OR($N42="Passed",$N42="Failed"),1,0),IF(OR(SUMPRODUCT(--(TRIM(LEFT(Summary!$G$6:$G$13,FIND(" (",Summary!$G$6:$G$13&amp;" (")-1))=TRIM(LEFT($E42,FIND(" (",$E42&amp;" (")-1))))&gt;0,TRIM(LEFT($E42,FIND(" (",$E42&amp;" (")-1))=TRIM(LEFT($D42,FIND(" (",$D42&amp;" (")-1))),1,0)))</f>
        <v/>
      </c>
      <c r="U42" s="32">
        <f>IF($M42=0,0,IF(OR($N42="Passed",$N42="Failed"),IF(OR(TRIM($G42)="",TRIM($H42)="",NOT(ISNUMBER($C42)),AND($N42="Failed",TRIM($I42)="")),1,IF($C42&gt;Summary!$B$12,1,0)),IF($N42="Not run",IF(TRIM($I42)="",1,0),IF(OR(TRIM($G42)&lt;&gt;"",TRIM($H42)&lt;&gt;""),1,0))))</f>
        <v/>
      </c>
      <c r="V42" s="32">
        <f>IF(OR($M42=0,$N42&lt;&gt;"Planned",NOT(ISNUMBER($C42))),0,IF($C42&lt;Summary!$B$12,1,0))</f>
        <v/>
      </c>
      <c r="W42" s="32">
        <f>IF(OR($M42=0,$O42=0,$N42="Not run",TRIM($L42)=""),0,IF(TRIM($L42)=TRIM(INDEX(Criteria!$D$6:$D$105,MATCH($B42,Criteria!$A$6:$A$105,0))),0,1))</f>
        <v/>
      </c>
      <c r="X42" s="32">
        <f>IF(OR($M42=0,$O42=0,$N42="Not run"),0,IF(OR(TRIM($L42)="",AND($N42="Planned",TRIM(INDEX(Criteria!$D$6:$D$105,MATCH($B42,Criteria!$A$6:$A$105,0)))="")),1,0))</f>
        <v/>
      </c>
    </row>
    <row r="43">
      <c r="A43" s="27" t="n"/>
      <c r="B43" s="27" t="n"/>
      <c r="C43" s="29" t="n"/>
      <c r="D43" s="28" t="n"/>
      <c r="E43" s="28" t="n"/>
      <c r="F43" s="27" t="n"/>
      <c r="G43" s="28" t="n"/>
      <c r="H43" s="28" t="n"/>
      <c r="I43" s="28" t="n"/>
      <c r="J43" s="19">
        <f>IF($M43=0,"",IF(SUM($S43:$X43)=0,"○ Clear",IF($S43=1,"△ Run, For, Date, Tested on or Run by missing or wrong",IF($X43=1,IF(AND($N43="Planned",TRIM(INDEX(Criteria!$D$6:$D$105,MATCH($B43,Criteria!$A$6:$A$105,0)))=""),"△ The criterion has no Pass line","△ Pass line used is blank"),IF($T43=1,"△ Checked by a builder, the runner or nobody",IF($U43=1,IF($N43="Planned","△ Result or File typed on a planned run",IF(AND(OR($N43="Passed",$N43="Failed"),TRIM($G43)&lt;&gt;"",TRIM($H43)&lt;&gt;"",ISNUMBER($C43),NOT(AND($N43="Failed",TRIM($I43)=""))),"△ Result dated after the date the checks use","△ Result, File or Reason missing")),IF($V43=1,"△ Planned day has passed, with no result","△ Pass line has changed since this run was planned")))))&amp;IF(SUM($S43:$X43)&gt;1,", and "&amp;(SUM($S43:$X43)-1)&amp;" more","")))</f>
        <v/>
      </c>
      <c r="K43" s="28" t="n"/>
      <c r="L43" s="28" t="n"/>
      <c r="M43" s="32">
        <f>IF(COUNTA($A43:$I43)+COUNTA($K43:$L43)&gt;0,1,0)</f>
        <v/>
      </c>
      <c r="N43" s="22">
        <f>IF($M43=0,"",IF($F43="","Planned",$F43))</f>
        <v/>
      </c>
      <c r="O43" s="32">
        <f>IF(OR($M43=0,TRIM($B43)=""),0,IF(COUNTIF(Criteria!$A$6:$A$105,$B43)&gt;0,1,0))</f>
        <v/>
      </c>
      <c r="P43" s="32">
        <f>IF(OR($M43=0,TRIM($B43)=""),0,IF(AND(LEN($B43)&gt;1,ISNUMBER(MATCH(LEFT($B43,1),{"R","I","A","X"},0)),ISNUMBER(VALUE(MID($B43,2,5)))),1,0))</f>
        <v/>
      </c>
      <c r="Q43" s="32">
        <f>IF(OR($M43=0,TRIM($B43)="",$N43="Planned"),0,IF(COUNTIFS($B$6:$B$105,$B43,$C$6:$C$105,"&gt;"&amp;$C43,$N$6:$N$105,"&lt;&gt;Planned")+COUNTIFS($B44:$B$106,$B43,$C44:$C$106,$C43,$N44:$N$106,"&lt;&gt;Planned")=0,1,0))</f>
        <v/>
      </c>
      <c r="R43" s="22">
        <f>IF($Q43=1,$B43,"")</f>
        <v/>
      </c>
      <c r="S43" s="32">
        <f>IF($M43=0,0,IF(OR(TRIM($A43)="",COUNTIF($A$6:$A$105,$A43)&gt;1,TRIM($B43)="",AND($O43=0,$P43=0),NOT(ISNUMBER($C43)),AND($N43&lt;&gt;"Not run",OR(TRIM($K43)="",TRIM($D43)=""))),1,0))</f>
        <v/>
      </c>
      <c r="T43" s="32">
        <f>IF($M43=0,0,IF(TRIM($E43)="",IF(OR($N43="Passed",$N43="Failed"),1,0),IF(OR(SUMPRODUCT(--(TRIM(LEFT(Summary!$G$6:$G$13,FIND(" (",Summary!$G$6:$G$13&amp;" (")-1))=TRIM(LEFT($E43,FIND(" (",$E43&amp;" (")-1))))&gt;0,TRIM(LEFT($E43,FIND(" (",$E43&amp;" (")-1))=TRIM(LEFT($D43,FIND(" (",$D43&amp;" (")-1))),1,0)))</f>
        <v/>
      </c>
      <c r="U43" s="32">
        <f>IF($M43=0,0,IF(OR($N43="Passed",$N43="Failed"),IF(OR(TRIM($G43)="",TRIM($H43)="",NOT(ISNUMBER($C43)),AND($N43="Failed",TRIM($I43)="")),1,IF($C43&gt;Summary!$B$12,1,0)),IF($N43="Not run",IF(TRIM($I43)="",1,0),IF(OR(TRIM($G43)&lt;&gt;"",TRIM($H43)&lt;&gt;""),1,0))))</f>
        <v/>
      </c>
      <c r="V43" s="32">
        <f>IF(OR($M43=0,$N43&lt;&gt;"Planned",NOT(ISNUMBER($C43))),0,IF($C43&lt;Summary!$B$12,1,0))</f>
        <v/>
      </c>
      <c r="W43" s="32">
        <f>IF(OR($M43=0,$O43=0,$N43="Not run",TRIM($L43)=""),0,IF(TRIM($L43)=TRIM(INDEX(Criteria!$D$6:$D$105,MATCH($B43,Criteria!$A$6:$A$105,0))),0,1))</f>
        <v/>
      </c>
      <c r="X43" s="32">
        <f>IF(OR($M43=0,$O43=0,$N43="Not run"),0,IF(OR(TRIM($L43)="",AND($N43="Planned",TRIM(INDEX(Criteria!$D$6:$D$105,MATCH($B43,Criteria!$A$6:$A$105,0)))="")),1,0))</f>
        <v/>
      </c>
    </row>
    <row r="44">
      <c r="A44" s="27" t="n"/>
      <c r="B44" s="27" t="n"/>
      <c r="C44" s="29" t="n"/>
      <c r="D44" s="28" t="n"/>
      <c r="E44" s="28" t="n"/>
      <c r="F44" s="27" t="n"/>
      <c r="G44" s="28" t="n"/>
      <c r="H44" s="28" t="n"/>
      <c r="I44" s="28" t="n"/>
      <c r="J44" s="19">
        <f>IF($M44=0,"",IF(SUM($S44:$X44)=0,"○ Clear",IF($S44=1,"△ Run, For, Date, Tested on or Run by missing or wrong",IF($X44=1,IF(AND($N44="Planned",TRIM(INDEX(Criteria!$D$6:$D$105,MATCH($B44,Criteria!$A$6:$A$105,0)))=""),"△ The criterion has no Pass line","△ Pass line used is blank"),IF($T44=1,"△ Checked by a builder, the runner or nobody",IF($U44=1,IF($N44="Planned","△ Result or File typed on a planned run",IF(AND(OR($N44="Passed",$N44="Failed"),TRIM($G44)&lt;&gt;"",TRIM($H44)&lt;&gt;"",ISNUMBER($C44),NOT(AND($N44="Failed",TRIM($I44)=""))),"△ Result dated after the date the checks use","△ Result, File or Reason missing")),IF($V44=1,"△ Planned day has passed, with no result","△ Pass line has changed since this run was planned")))))&amp;IF(SUM($S44:$X44)&gt;1,", and "&amp;(SUM($S44:$X44)-1)&amp;" more","")))</f>
        <v/>
      </c>
      <c r="K44" s="28" t="n"/>
      <c r="L44" s="28" t="n"/>
      <c r="M44" s="32">
        <f>IF(COUNTA($A44:$I44)+COUNTA($K44:$L44)&gt;0,1,0)</f>
        <v/>
      </c>
      <c r="N44" s="22">
        <f>IF($M44=0,"",IF($F44="","Planned",$F44))</f>
        <v/>
      </c>
      <c r="O44" s="32">
        <f>IF(OR($M44=0,TRIM($B44)=""),0,IF(COUNTIF(Criteria!$A$6:$A$105,$B44)&gt;0,1,0))</f>
        <v/>
      </c>
      <c r="P44" s="32">
        <f>IF(OR($M44=0,TRIM($B44)=""),0,IF(AND(LEN($B44)&gt;1,ISNUMBER(MATCH(LEFT($B44,1),{"R","I","A","X"},0)),ISNUMBER(VALUE(MID($B44,2,5)))),1,0))</f>
        <v/>
      </c>
      <c r="Q44" s="32">
        <f>IF(OR($M44=0,TRIM($B44)="",$N44="Planned"),0,IF(COUNTIFS($B$6:$B$105,$B44,$C$6:$C$105,"&gt;"&amp;$C44,$N$6:$N$105,"&lt;&gt;Planned")+COUNTIFS($B45:$B$106,$B44,$C45:$C$106,$C44,$N45:$N$106,"&lt;&gt;Planned")=0,1,0))</f>
        <v/>
      </c>
      <c r="R44" s="22">
        <f>IF($Q44=1,$B44,"")</f>
        <v/>
      </c>
      <c r="S44" s="32">
        <f>IF($M44=0,0,IF(OR(TRIM($A44)="",COUNTIF($A$6:$A$105,$A44)&gt;1,TRIM($B44)="",AND($O44=0,$P44=0),NOT(ISNUMBER($C44)),AND($N44&lt;&gt;"Not run",OR(TRIM($K44)="",TRIM($D44)=""))),1,0))</f>
        <v/>
      </c>
      <c r="T44" s="32">
        <f>IF($M44=0,0,IF(TRIM($E44)="",IF(OR($N44="Passed",$N44="Failed"),1,0),IF(OR(SUMPRODUCT(--(TRIM(LEFT(Summary!$G$6:$G$13,FIND(" (",Summary!$G$6:$G$13&amp;" (")-1))=TRIM(LEFT($E44,FIND(" (",$E44&amp;" (")-1))))&gt;0,TRIM(LEFT($E44,FIND(" (",$E44&amp;" (")-1))=TRIM(LEFT($D44,FIND(" (",$D44&amp;" (")-1))),1,0)))</f>
        <v/>
      </c>
      <c r="U44" s="32">
        <f>IF($M44=0,0,IF(OR($N44="Passed",$N44="Failed"),IF(OR(TRIM($G44)="",TRIM($H44)="",NOT(ISNUMBER($C44)),AND($N44="Failed",TRIM($I44)="")),1,IF($C44&gt;Summary!$B$12,1,0)),IF($N44="Not run",IF(TRIM($I44)="",1,0),IF(OR(TRIM($G44)&lt;&gt;"",TRIM($H44)&lt;&gt;""),1,0))))</f>
        <v/>
      </c>
      <c r="V44" s="32">
        <f>IF(OR($M44=0,$N44&lt;&gt;"Planned",NOT(ISNUMBER($C44))),0,IF($C44&lt;Summary!$B$12,1,0))</f>
        <v/>
      </c>
      <c r="W44" s="32">
        <f>IF(OR($M44=0,$O44=0,$N44="Not run",TRIM($L44)=""),0,IF(TRIM($L44)=TRIM(INDEX(Criteria!$D$6:$D$105,MATCH($B44,Criteria!$A$6:$A$105,0))),0,1))</f>
        <v/>
      </c>
      <c r="X44" s="32">
        <f>IF(OR($M44=0,$O44=0,$N44="Not run"),0,IF(OR(TRIM($L44)="",AND($N44="Planned",TRIM(INDEX(Criteria!$D$6:$D$105,MATCH($B44,Criteria!$A$6:$A$105,0)))="")),1,0))</f>
        <v/>
      </c>
    </row>
    <row r="45">
      <c r="A45" s="27" t="n"/>
      <c r="B45" s="27" t="n"/>
      <c r="C45" s="29" t="n"/>
      <c r="D45" s="28" t="n"/>
      <c r="E45" s="28" t="n"/>
      <c r="F45" s="27" t="n"/>
      <c r="G45" s="28" t="n"/>
      <c r="H45" s="28" t="n"/>
      <c r="I45" s="28" t="n"/>
      <c r="J45" s="19">
        <f>IF($M45=0,"",IF(SUM($S45:$X45)=0,"○ Clear",IF($S45=1,"△ Run, For, Date, Tested on or Run by missing or wrong",IF($X45=1,IF(AND($N45="Planned",TRIM(INDEX(Criteria!$D$6:$D$105,MATCH($B45,Criteria!$A$6:$A$105,0)))=""),"△ The criterion has no Pass line","△ Pass line used is blank"),IF($T45=1,"△ Checked by a builder, the runner or nobody",IF($U45=1,IF($N45="Planned","△ Result or File typed on a planned run",IF(AND(OR($N45="Passed",$N45="Failed"),TRIM($G45)&lt;&gt;"",TRIM($H45)&lt;&gt;"",ISNUMBER($C45),NOT(AND($N45="Failed",TRIM($I45)=""))),"△ Result dated after the date the checks use","△ Result, File or Reason missing")),IF($V45=1,"△ Planned day has passed, with no result","△ Pass line has changed since this run was planned")))))&amp;IF(SUM($S45:$X45)&gt;1,", and "&amp;(SUM($S45:$X45)-1)&amp;" more","")))</f>
        <v/>
      </c>
      <c r="K45" s="28" t="n"/>
      <c r="L45" s="28" t="n"/>
      <c r="M45" s="32">
        <f>IF(COUNTA($A45:$I45)+COUNTA($K45:$L45)&gt;0,1,0)</f>
        <v/>
      </c>
      <c r="N45" s="22">
        <f>IF($M45=0,"",IF($F45="","Planned",$F45))</f>
        <v/>
      </c>
      <c r="O45" s="32">
        <f>IF(OR($M45=0,TRIM($B45)=""),0,IF(COUNTIF(Criteria!$A$6:$A$105,$B45)&gt;0,1,0))</f>
        <v/>
      </c>
      <c r="P45" s="32">
        <f>IF(OR($M45=0,TRIM($B45)=""),0,IF(AND(LEN($B45)&gt;1,ISNUMBER(MATCH(LEFT($B45,1),{"R","I","A","X"},0)),ISNUMBER(VALUE(MID($B45,2,5)))),1,0))</f>
        <v/>
      </c>
      <c r="Q45" s="32">
        <f>IF(OR($M45=0,TRIM($B45)="",$N45="Planned"),0,IF(COUNTIFS($B$6:$B$105,$B45,$C$6:$C$105,"&gt;"&amp;$C45,$N$6:$N$105,"&lt;&gt;Planned")+COUNTIFS($B46:$B$106,$B45,$C46:$C$106,$C45,$N46:$N$106,"&lt;&gt;Planned")=0,1,0))</f>
        <v/>
      </c>
      <c r="R45" s="22">
        <f>IF($Q45=1,$B45,"")</f>
        <v/>
      </c>
      <c r="S45" s="32">
        <f>IF($M45=0,0,IF(OR(TRIM($A45)="",COUNTIF($A$6:$A$105,$A45)&gt;1,TRIM($B45)="",AND($O45=0,$P45=0),NOT(ISNUMBER($C45)),AND($N45&lt;&gt;"Not run",OR(TRIM($K45)="",TRIM($D45)=""))),1,0))</f>
        <v/>
      </c>
      <c r="T45" s="32">
        <f>IF($M45=0,0,IF(TRIM($E45)="",IF(OR($N45="Passed",$N45="Failed"),1,0),IF(OR(SUMPRODUCT(--(TRIM(LEFT(Summary!$G$6:$G$13,FIND(" (",Summary!$G$6:$G$13&amp;" (")-1))=TRIM(LEFT($E45,FIND(" (",$E45&amp;" (")-1))))&gt;0,TRIM(LEFT($E45,FIND(" (",$E45&amp;" (")-1))=TRIM(LEFT($D45,FIND(" (",$D45&amp;" (")-1))),1,0)))</f>
        <v/>
      </c>
      <c r="U45" s="32">
        <f>IF($M45=0,0,IF(OR($N45="Passed",$N45="Failed"),IF(OR(TRIM($G45)="",TRIM($H45)="",NOT(ISNUMBER($C45)),AND($N45="Failed",TRIM($I45)="")),1,IF($C45&gt;Summary!$B$12,1,0)),IF($N45="Not run",IF(TRIM($I45)="",1,0),IF(OR(TRIM($G45)&lt;&gt;"",TRIM($H45)&lt;&gt;""),1,0))))</f>
        <v/>
      </c>
      <c r="V45" s="32">
        <f>IF(OR($M45=0,$N45&lt;&gt;"Planned",NOT(ISNUMBER($C45))),0,IF($C45&lt;Summary!$B$12,1,0))</f>
        <v/>
      </c>
      <c r="W45" s="32">
        <f>IF(OR($M45=0,$O45=0,$N45="Not run",TRIM($L45)=""),0,IF(TRIM($L45)=TRIM(INDEX(Criteria!$D$6:$D$105,MATCH($B45,Criteria!$A$6:$A$105,0))),0,1))</f>
        <v/>
      </c>
      <c r="X45" s="32">
        <f>IF(OR($M45=0,$O45=0,$N45="Not run"),0,IF(OR(TRIM($L45)="",AND($N45="Planned",TRIM(INDEX(Criteria!$D$6:$D$105,MATCH($B45,Criteria!$A$6:$A$105,0)))="")),1,0))</f>
        <v/>
      </c>
    </row>
    <row r="46">
      <c r="A46" s="27" t="n"/>
      <c r="B46" s="27" t="n"/>
      <c r="C46" s="29" t="n"/>
      <c r="D46" s="28" t="n"/>
      <c r="E46" s="28" t="n"/>
      <c r="F46" s="27" t="n"/>
      <c r="G46" s="28" t="n"/>
      <c r="H46" s="28" t="n"/>
      <c r="I46" s="28" t="n"/>
      <c r="J46" s="19">
        <f>IF($M46=0,"",IF(SUM($S46:$X46)=0,"○ Clear",IF($S46=1,"△ Run, For, Date, Tested on or Run by missing or wrong",IF($X46=1,IF(AND($N46="Planned",TRIM(INDEX(Criteria!$D$6:$D$105,MATCH($B46,Criteria!$A$6:$A$105,0)))=""),"△ The criterion has no Pass line","△ Pass line used is blank"),IF($T46=1,"△ Checked by a builder, the runner or nobody",IF($U46=1,IF($N46="Planned","△ Result or File typed on a planned run",IF(AND(OR($N46="Passed",$N46="Failed"),TRIM($G46)&lt;&gt;"",TRIM($H46)&lt;&gt;"",ISNUMBER($C46),NOT(AND($N46="Failed",TRIM($I46)=""))),"△ Result dated after the date the checks use","△ Result, File or Reason missing")),IF($V46=1,"△ Planned day has passed, with no result","△ Pass line has changed since this run was planned")))))&amp;IF(SUM($S46:$X46)&gt;1,", and "&amp;(SUM($S46:$X46)-1)&amp;" more","")))</f>
        <v/>
      </c>
      <c r="K46" s="28" t="n"/>
      <c r="L46" s="28" t="n"/>
      <c r="M46" s="32">
        <f>IF(COUNTA($A46:$I46)+COUNTA($K46:$L46)&gt;0,1,0)</f>
        <v/>
      </c>
      <c r="N46" s="22">
        <f>IF($M46=0,"",IF($F46="","Planned",$F46))</f>
        <v/>
      </c>
      <c r="O46" s="32">
        <f>IF(OR($M46=0,TRIM($B46)=""),0,IF(COUNTIF(Criteria!$A$6:$A$105,$B46)&gt;0,1,0))</f>
        <v/>
      </c>
      <c r="P46" s="32">
        <f>IF(OR($M46=0,TRIM($B46)=""),0,IF(AND(LEN($B46)&gt;1,ISNUMBER(MATCH(LEFT($B46,1),{"R","I","A","X"},0)),ISNUMBER(VALUE(MID($B46,2,5)))),1,0))</f>
        <v/>
      </c>
      <c r="Q46" s="32">
        <f>IF(OR($M46=0,TRIM($B46)="",$N46="Planned"),0,IF(COUNTIFS($B$6:$B$105,$B46,$C$6:$C$105,"&gt;"&amp;$C46,$N$6:$N$105,"&lt;&gt;Planned")+COUNTIFS($B47:$B$106,$B46,$C47:$C$106,$C46,$N47:$N$106,"&lt;&gt;Planned")=0,1,0))</f>
        <v/>
      </c>
      <c r="R46" s="22">
        <f>IF($Q46=1,$B46,"")</f>
        <v/>
      </c>
      <c r="S46" s="32">
        <f>IF($M46=0,0,IF(OR(TRIM($A46)="",COUNTIF($A$6:$A$105,$A46)&gt;1,TRIM($B46)="",AND($O46=0,$P46=0),NOT(ISNUMBER($C46)),AND($N46&lt;&gt;"Not run",OR(TRIM($K46)="",TRIM($D46)=""))),1,0))</f>
        <v/>
      </c>
      <c r="T46" s="32">
        <f>IF($M46=0,0,IF(TRIM($E46)="",IF(OR($N46="Passed",$N46="Failed"),1,0),IF(OR(SUMPRODUCT(--(TRIM(LEFT(Summary!$G$6:$G$13,FIND(" (",Summary!$G$6:$G$13&amp;" (")-1))=TRIM(LEFT($E46,FIND(" (",$E46&amp;" (")-1))))&gt;0,TRIM(LEFT($E46,FIND(" (",$E46&amp;" (")-1))=TRIM(LEFT($D46,FIND(" (",$D46&amp;" (")-1))),1,0)))</f>
        <v/>
      </c>
      <c r="U46" s="32">
        <f>IF($M46=0,0,IF(OR($N46="Passed",$N46="Failed"),IF(OR(TRIM($G46)="",TRIM($H46)="",NOT(ISNUMBER($C46)),AND($N46="Failed",TRIM($I46)="")),1,IF($C46&gt;Summary!$B$12,1,0)),IF($N46="Not run",IF(TRIM($I46)="",1,0),IF(OR(TRIM($G46)&lt;&gt;"",TRIM($H46)&lt;&gt;""),1,0))))</f>
        <v/>
      </c>
      <c r="V46" s="32">
        <f>IF(OR($M46=0,$N46&lt;&gt;"Planned",NOT(ISNUMBER($C46))),0,IF($C46&lt;Summary!$B$12,1,0))</f>
        <v/>
      </c>
      <c r="W46" s="32">
        <f>IF(OR($M46=0,$O46=0,$N46="Not run",TRIM($L46)=""),0,IF(TRIM($L46)=TRIM(INDEX(Criteria!$D$6:$D$105,MATCH($B46,Criteria!$A$6:$A$105,0))),0,1))</f>
        <v/>
      </c>
      <c r="X46" s="32">
        <f>IF(OR($M46=0,$O46=0,$N46="Not run"),0,IF(OR(TRIM($L46)="",AND($N46="Planned",TRIM(INDEX(Criteria!$D$6:$D$105,MATCH($B46,Criteria!$A$6:$A$105,0)))="")),1,0))</f>
        <v/>
      </c>
    </row>
    <row r="47">
      <c r="A47" s="27" t="n"/>
      <c r="B47" s="27" t="n"/>
      <c r="C47" s="29" t="n"/>
      <c r="D47" s="28" t="n"/>
      <c r="E47" s="28" t="n"/>
      <c r="F47" s="27" t="n"/>
      <c r="G47" s="28" t="n"/>
      <c r="H47" s="28" t="n"/>
      <c r="I47" s="28" t="n"/>
      <c r="J47" s="19">
        <f>IF($M47=0,"",IF(SUM($S47:$X47)=0,"○ Clear",IF($S47=1,"△ Run, For, Date, Tested on or Run by missing or wrong",IF($X47=1,IF(AND($N47="Planned",TRIM(INDEX(Criteria!$D$6:$D$105,MATCH($B47,Criteria!$A$6:$A$105,0)))=""),"△ The criterion has no Pass line","△ Pass line used is blank"),IF($T47=1,"△ Checked by a builder, the runner or nobody",IF($U47=1,IF($N47="Planned","△ Result or File typed on a planned run",IF(AND(OR($N47="Passed",$N47="Failed"),TRIM($G47)&lt;&gt;"",TRIM($H47)&lt;&gt;"",ISNUMBER($C47),NOT(AND($N47="Failed",TRIM($I47)=""))),"△ Result dated after the date the checks use","△ Result, File or Reason missing")),IF($V47=1,"△ Planned day has passed, with no result","△ Pass line has changed since this run was planned")))))&amp;IF(SUM($S47:$X47)&gt;1,", and "&amp;(SUM($S47:$X47)-1)&amp;" more","")))</f>
        <v/>
      </c>
      <c r="K47" s="28" t="n"/>
      <c r="L47" s="28" t="n"/>
      <c r="M47" s="32">
        <f>IF(COUNTA($A47:$I47)+COUNTA($K47:$L47)&gt;0,1,0)</f>
        <v/>
      </c>
      <c r="N47" s="22">
        <f>IF($M47=0,"",IF($F47="","Planned",$F47))</f>
        <v/>
      </c>
      <c r="O47" s="32">
        <f>IF(OR($M47=0,TRIM($B47)=""),0,IF(COUNTIF(Criteria!$A$6:$A$105,$B47)&gt;0,1,0))</f>
        <v/>
      </c>
      <c r="P47" s="32">
        <f>IF(OR($M47=0,TRIM($B47)=""),0,IF(AND(LEN($B47)&gt;1,ISNUMBER(MATCH(LEFT($B47,1),{"R","I","A","X"},0)),ISNUMBER(VALUE(MID($B47,2,5)))),1,0))</f>
        <v/>
      </c>
      <c r="Q47" s="32">
        <f>IF(OR($M47=0,TRIM($B47)="",$N47="Planned"),0,IF(COUNTIFS($B$6:$B$105,$B47,$C$6:$C$105,"&gt;"&amp;$C47,$N$6:$N$105,"&lt;&gt;Planned")+COUNTIFS($B48:$B$106,$B47,$C48:$C$106,$C47,$N48:$N$106,"&lt;&gt;Planned")=0,1,0))</f>
        <v/>
      </c>
      <c r="R47" s="22">
        <f>IF($Q47=1,$B47,"")</f>
        <v/>
      </c>
      <c r="S47" s="32">
        <f>IF($M47=0,0,IF(OR(TRIM($A47)="",COUNTIF($A$6:$A$105,$A47)&gt;1,TRIM($B47)="",AND($O47=0,$P47=0),NOT(ISNUMBER($C47)),AND($N47&lt;&gt;"Not run",OR(TRIM($K47)="",TRIM($D47)=""))),1,0))</f>
        <v/>
      </c>
      <c r="T47" s="32">
        <f>IF($M47=0,0,IF(TRIM($E47)="",IF(OR($N47="Passed",$N47="Failed"),1,0),IF(OR(SUMPRODUCT(--(TRIM(LEFT(Summary!$G$6:$G$13,FIND(" (",Summary!$G$6:$G$13&amp;" (")-1))=TRIM(LEFT($E47,FIND(" (",$E47&amp;" (")-1))))&gt;0,TRIM(LEFT($E47,FIND(" (",$E47&amp;" (")-1))=TRIM(LEFT($D47,FIND(" (",$D47&amp;" (")-1))),1,0)))</f>
        <v/>
      </c>
      <c r="U47" s="32">
        <f>IF($M47=0,0,IF(OR($N47="Passed",$N47="Failed"),IF(OR(TRIM($G47)="",TRIM($H47)="",NOT(ISNUMBER($C47)),AND($N47="Failed",TRIM($I47)="")),1,IF($C47&gt;Summary!$B$12,1,0)),IF($N47="Not run",IF(TRIM($I47)="",1,0),IF(OR(TRIM($G47)&lt;&gt;"",TRIM($H47)&lt;&gt;""),1,0))))</f>
        <v/>
      </c>
      <c r="V47" s="32">
        <f>IF(OR($M47=0,$N47&lt;&gt;"Planned",NOT(ISNUMBER($C47))),0,IF($C47&lt;Summary!$B$12,1,0))</f>
        <v/>
      </c>
      <c r="W47" s="32">
        <f>IF(OR($M47=0,$O47=0,$N47="Not run",TRIM($L47)=""),0,IF(TRIM($L47)=TRIM(INDEX(Criteria!$D$6:$D$105,MATCH($B47,Criteria!$A$6:$A$105,0))),0,1))</f>
        <v/>
      </c>
      <c r="X47" s="32">
        <f>IF(OR($M47=0,$O47=0,$N47="Not run"),0,IF(OR(TRIM($L47)="",AND($N47="Planned",TRIM(INDEX(Criteria!$D$6:$D$105,MATCH($B47,Criteria!$A$6:$A$105,0)))="")),1,0))</f>
        <v/>
      </c>
    </row>
    <row r="48">
      <c r="A48" s="27" t="n"/>
      <c r="B48" s="27" t="n"/>
      <c r="C48" s="29" t="n"/>
      <c r="D48" s="28" t="n"/>
      <c r="E48" s="28" t="n"/>
      <c r="F48" s="27" t="n"/>
      <c r="G48" s="28" t="n"/>
      <c r="H48" s="28" t="n"/>
      <c r="I48" s="28" t="n"/>
      <c r="J48" s="19">
        <f>IF($M48=0,"",IF(SUM($S48:$X48)=0,"○ Clear",IF($S48=1,"△ Run, For, Date, Tested on or Run by missing or wrong",IF($X48=1,IF(AND($N48="Planned",TRIM(INDEX(Criteria!$D$6:$D$105,MATCH($B48,Criteria!$A$6:$A$105,0)))=""),"△ The criterion has no Pass line","△ Pass line used is blank"),IF($T48=1,"△ Checked by a builder, the runner or nobody",IF($U48=1,IF($N48="Planned","△ Result or File typed on a planned run",IF(AND(OR($N48="Passed",$N48="Failed"),TRIM($G48)&lt;&gt;"",TRIM($H48)&lt;&gt;"",ISNUMBER($C48),NOT(AND($N48="Failed",TRIM($I48)=""))),"△ Result dated after the date the checks use","△ Result, File or Reason missing")),IF($V48=1,"△ Planned day has passed, with no result","△ Pass line has changed since this run was planned")))))&amp;IF(SUM($S48:$X48)&gt;1,", and "&amp;(SUM($S48:$X48)-1)&amp;" more","")))</f>
        <v/>
      </c>
      <c r="K48" s="28" t="n"/>
      <c r="L48" s="28" t="n"/>
      <c r="M48" s="32">
        <f>IF(COUNTA($A48:$I48)+COUNTA($K48:$L48)&gt;0,1,0)</f>
        <v/>
      </c>
      <c r="N48" s="22">
        <f>IF($M48=0,"",IF($F48="","Planned",$F48))</f>
        <v/>
      </c>
      <c r="O48" s="32">
        <f>IF(OR($M48=0,TRIM($B48)=""),0,IF(COUNTIF(Criteria!$A$6:$A$105,$B48)&gt;0,1,0))</f>
        <v/>
      </c>
      <c r="P48" s="32">
        <f>IF(OR($M48=0,TRIM($B48)=""),0,IF(AND(LEN($B48)&gt;1,ISNUMBER(MATCH(LEFT($B48,1),{"R","I","A","X"},0)),ISNUMBER(VALUE(MID($B48,2,5)))),1,0))</f>
        <v/>
      </c>
      <c r="Q48" s="32">
        <f>IF(OR($M48=0,TRIM($B48)="",$N48="Planned"),0,IF(COUNTIFS($B$6:$B$105,$B48,$C$6:$C$105,"&gt;"&amp;$C48,$N$6:$N$105,"&lt;&gt;Planned")+COUNTIFS($B49:$B$106,$B48,$C49:$C$106,$C48,$N49:$N$106,"&lt;&gt;Planned")=0,1,0))</f>
        <v/>
      </c>
      <c r="R48" s="22">
        <f>IF($Q48=1,$B48,"")</f>
        <v/>
      </c>
      <c r="S48" s="32">
        <f>IF($M48=0,0,IF(OR(TRIM($A48)="",COUNTIF($A$6:$A$105,$A48)&gt;1,TRIM($B48)="",AND($O48=0,$P48=0),NOT(ISNUMBER($C48)),AND($N48&lt;&gt;"Not run",OR(TRIM($K48)="",TRIM($D48)=""))),1,0))</f>
        <v/>
      </c>
      <c r="T48" s="32">
        <f>IF($M48=0,0,IF(TRIM($E48)="",IF(OR($N48="Passed",$N48="Failed"),1,0),IF(OR(SUMPRODUCT(--(TRIM(LEFT(Summary!$G$6:$G$13,FIND(" (",Summary!$G$6:$G$13&amp;" (")-1))=TRIM(LEFT($E48,FIND(" (",$E48&amp;" (")-1))))&gt;0,TRIM(LEFT($E48,FIND(" (",$E48&amp;" (")-1))=TRIM(LEFT($D48,FIND(" (",$D48&amp;" (")-1))),1,0)))</f>
        <v/>
      </c>
      <c r="U48" s="32">
        <f>IF($M48=0,0,IF(OR($N48="Passed",$N48="Failed"),IF(OR(TRIM($G48)="",TRIM($H48)="",NOT(ISNUMBER($C48)),AND($N48="Failed",TRIM($I48)="")),1,IF($C48&gt;Summary!$B$12,1,0)),IF($N48="Not run",IF(TRIM($I48)="",1,0),IF(OR(TRIM($G48)&lt;&gt;"",TRIM($H48)&lt;&gt;""),1,0))))</f>
        <v/>
      </c>
      <c r="V48" s="32">
        <f>IF(OR($M48=0,$N48&lt;&gt;"Planned",NOT(ISNUMBER($C48))),0,IF($C48&lt;Summary!$B$12,1,0))</f>
        <v/>
      </c>
      <c r="W48" s="32">
        <f>IF(OR($M48=0,$O48=0,$N48="Not run",TRIM($L48)=""),0,IF(TRIM($L48)=TRIM(INDEX(Criteria!$D$6:$D$105,MATCH($B48,Criteria!$A$6:$A$105,0))),0,1))</f>
        <v/>
      </c>
      <c r="X48" s="32">
        <f>IF(OR($M48=0,$O48=0,$N48="Not run"),0,IF(OR(TRIM($L48)="",AND($N48="Planned",TRIM(INDEX(Criteria!$D$6:$D$105,MATCH($B48,Criteria!$A$6:$A$105,0)))="")),1,0))</f>
        <v/>
      </c>
    </row>
    <row r="49">
      <c r="A49" s="27" t="n"/>
      <c r="B49" s="27" t="n"/>
      <c r="C49" s="29" t="n"/>
      <c r="D49" s="28" t="n"/>
      <c r="E49" s="28" t="n"/>
      <c r="F49" s="27" t="n"/>
      <c r="G49" s="28" t="n"/>
      <c r="H49" s="28" t="n"/>
      <c r="I49" s="28" t="n"/>
      <c r="J49" s="19">
        <f>IF($M49=0,"",IF(SUM($S49:$X49)=0,"○ Clear",IF($S49=1,"△ Run, For, Date, Tested on or Run by missing or wrong",IF($X49=1,IF(AND($N49="Planned",TRIM(INDEX(Criteria!$D$6:$D$105,MATCH($B49,Criteria!$A$6:$A$105,0)))=""),"△ The criterion has no Pass line","△ Pass line used is blank"),IF($T49=1,"△ Checked by a builder, the runner or nobody",IF($U49=1,IF($N49="Planned","△ Result or File typed on a planned run",IF(AND(OR($N49="Passed",$N49="Failed"),TRIM($G49)&lt;&gt;"",TRIM($H49)&lt;&gt;"",ISNUMBER($C49),NOT(AND($N49="Failed",TRIM($I49)=""))),"△ Result dated after the date the checks use","△ Result, File or Reason missing")),IF($V49=1,"△ Planned day has passed, with no result","△ Pass line has changed since this run was planned")))))&amp;IF(SUM($S49:$X49)&gt;1,", and "&amp;(SUM($S49:$X49)-1)&amp;" more","")))</f>
        <v/>
      </c>
      <c r="K49" s="28" t="n"/>
      <c r="L49" s="28" t="n"/>
      <c r="M49" s="32">
        <f>IF(COUNTA($A49:$I49)+COUNTA($K49:$L49)&gt;0,1,0)</f>
        <v/>
      </c>
      <c r="N49" s="22">
        <f>IF($M49=0,"",IF($F49="","Planned",$F49))</f>
        <v/>
      </c>
      <c r="O49" s="32">
        <f>IF(OR($M49=0,TRIM($B49)=""),0,IF(COUNTIF(Criteria!$A$6:$A$105,$B49)&gt;0,1,0))</f>
        <v/>
      </c>
      <c r="P49" s="32">
        <f>IF(OR($M49=0,TRIM($B49)=""),0,IF(AND(LEN($B49)&gt;1,ISNUMBER(MATCH(LEFT($B49,1),{"R","I","A","X"},0)),ISNUMBER(VALUE(MID($B49,2,5)))),1,0))</f>
        <v/>
      </c>
      <c r="Q49" s="32">
        <f>IF(OR($M49=0,TRIM($B49)="",$N49="Planned"),0,IF(COUNTIFS($B$6:$B$105,$B49,$C$6:$C$105,"&gt;"&amp;$C49,$N$6:$N$105,"&lt;&gt;Planned")+COUNTIFS($B50:$B$106,$B49,$C50:$C$106,$C49,$N50:$N$106,"&lt;&gt;Planned")=0,1,0))</f>
        <v/>
      </c>
      <c r="R49" s="22">
        <f>IF($Q49=1,$B49,"")</f>
        <v/>
      </c>
      <c r="S49" s="32">
        <f>IF($M49=0,0,IF(OR(TRIM($A49)="",COUNTIF($A$6:$A$105,$A49)&gt;1,TRIM($B49)="",AND($O49=0,$P49=0),NOT(ISNUMBER($C49)),AND($N49&lt;&gt;"Not run",OR(TRIM($K49)="",TRIM($D49)=""))),1,0))</f>
        <v/>
      </c>
      <c r="T49" s="32">
        <f>IF($M49=0,0,IF(TRIM($E49)="",IF(OR($N49="Passed",$N49="Failed"),1,0),IF(OR(SUMPRODUCT(--(TRIM(LEFT(Summary!$G$6:$G$13,FIND(" (",Summary!$G$6:$G$13&amp;" (")-1))=TRIM(LEFT($E49,FIND(" (",$E49&amp;" (")-1))))&gt;0,TRIM(LEFT($E49,FIND(" (",$E49&amp;" (")-1))=TRIM(LEFT($D49,FIND(" (",$D49&amp;" (")-1))),1,0)))</f>
        <v/>
      </c>
      <c r="U49" s="32">
        <f>IF($M49=0,0,IF(OR($N49="Passed",$N49="Failed"),IF(OR(TRIM($G49)="",TRIM($H49)="",NOT(ISNUMBER($C49)),AND($N49="Failed",TRIM($I49)="")),1,IF($C49&gt;Summary!$B$12,1,0)),IF($N49="Not run",IF(TRIM($I49)="",1,0),IF(OR(TRIM($G49)&lt;&gt;"",TRIM($H49)&lt;&gt;""),1,0))))</f>
        <v/>
      </c>
      <c r="V49" s="32">
        <f>IF(OR($M49=0,$N49&lt;&gt;"Planned",NOT(ISNUMBER($C49))),0,IF($C49&lt;Summary!$B$12,1,0))</f>
        <v/>
      </c>
      <c r="W49" s="32">
        <f>IF(OR($M49=0,$O49=0,$N49="Not run",TRIM($L49)=""),0,IF(TRIM($L49)=TRIM(INDEX(Criteria!$D$6:$D$105,MATCH($B49,Criteria!$A$6:$A$105,0))),0,1))</f>
        <v/>
      </c>
      <c r="X49" s="32">
        <f>IF(OR($M49=0,$O49=0,$N49="Not run"),0,IF(OR(TRIM($L49)="",AND($N49="Planned",TRIM(INDEX(Criteria!$D$6:$D$105,MATCH($B49,Criteria!$A$6:$A$105,0)))="")),1,0))</f>
        <v/>
      </c>
    </row>
    <row r="50">
      <c r="A50" s="27" t="n"/>
      <c r="B50" s="27" t="n"/>
      <c r="C50" s="29" t="n"/>
      <c r="D50" s="28" t="n"/>
      <c r="E50" s="28" t="n"/>
      <c r="F50" s="27" t="n"/>
      <c r="G50" s="28" t="n"/>
      <c r="H50" s="28" t="n"/>
      <c r="I50" s="28" t="n"/>
      <c r="J50" s="19">
        <f>IF($M50=0,"",IF(SUM($S50:$X50)=0,"○ Clear",IF($S50=1,"△ Run, For, Date, Tested on or Run by missing or wrong",IF($X50=1,IF(AND($N50="Planned",TRIM(INDEX(Criteria!$D$6:$D$105,MATCH($B50,Criteria!$A$6:$A$105,0)))=""),"△ The criterion has no Pass line","△ Pass line used is blank"),IF($T50=1,"△ Checked by a builder, the runner or nobody",IF($U50=1,IF($N50="Planned","△ Result or File typed on a planned run",IF(AND(OR($N50="Passed",$N50="Failed"),TRIM($G50)&lt;&gt;"",TRIM($H50)&lt;&gt;"",ISNUMBER($C50),NOT(AND($N50="Failed",TRIM($I50)=""))),"△ Result dated after the date the checks use","△ Result, File or Reason missing")),IF($V50=1,"△ Planned day has passed, with no result","△ Pass line has changed since this run was planned")))))&amp;IF(SUM($S50:$X50)&gt;1,", and "&amp;(SUM($S50:$X50)-1)&amp;" more","")))</f>
        <v/>
      </c>
      <c r="K50" s="28" t="n"/>
      <c r="L50" s="28" t="n"/>
      <c r="M50" s="32">
        <f>IF(COUNTA($A50:$I50)+COUNTA($K50:$L50)&gt;0,1,0)</f>
        <v/>
      </c>
      <c r="N50" s="22">
        <f>IF($M50=0,"",IF($F50="","Planned",$F50))</f>
        <v/>
      </c>
      <c r="O50" s="32">
        <f>IF(OR($M50=0,TRIM($B50)=""),0,IF(COUNTIF(Criteria!$A$6:$A$105,$B50)&gt;0,1,0))</f>
        <v/>
      </c>
      <c r="P50" s="32">
        <f>IF(OR($M50=0,TRIM($B50)=""),0,IF(AND(LEN($B50)&gt;1,ISNUMBER(MATCH(LEFT($B50,1),{"R","I","A","X"},0)),ISNUMBER(VALUE(MID($B50,2,5)))),1,0))</f>
        <v/>
      </c>
      <c r="Q50" s="32">
        <f>IF(OR($M50=0,TRIM($B50)="",$N50="Planned"),0,IF(COUNTIFS($B$6:$B$105,$B50,$C$6:$C$105,"&gt;"&amp;$C50,$N$6:$N$105,"&lt;&gt;Planned")+COUNTIFS($B51:$B$106,$B50,$C51:$C$106,$C50,$N51:$N$106,"&lt;&gt;Planned")=0,1,0))</f>
        <v/>
      </c>
      <c r="R50" s="22">
        <f>IF($Q50=1,$B50,"")</f>
        <v/>
      </c>
      <c r="S50" s="32">
        <f>IF($M50=0,0,IF(OR(TRIM($A50)="",COUNTIF($A$6:$A$105,$A50)&gt;1,TRIM($B50)="",AND($O50=0,$P50=0),NOT(ISNUMBER($C50)),AND($N50&lt;&gt;"Not run",OR(TRIM($K50)="",TRIM($D50)=""))),1,0))</f>
        <v/>
      </c>
      <c r="T50" s="32">
        <f>IF($M50=0,0,IF(TRIM($E50)="",IF(OR($N50="Passed",$N50="Failed"),1,0),IF(OR(SUMPRODUCT(--(TRIM(LEFT(Summary!$G$6:$G$13,FIND(" (",Summary!$G$6:$G$13&amp;" (")-1))=TRIM(LEFT($E50,FIND(" (",$E50&amp;" (")-1))))&gt;0,TRIM(LEFT($E50,FIND(" (",$E50&amp;" (")-1))=TRIM(LEFT($D50,FIND(" (",$D50&amp;" (")-1))),1,0)))</f>
        <v/>
      </c>
      <c r="U50" s="32">
        <f>IF($M50=0,0,IF(OR($N50="Passed",$N50="Failed"),IF(OR(TRIM($G50)="",TRIM($H50)="",NOT(ISNUMBER($C50)),AND($N50="Failed",TRIM($I50)="")),1,IF($C50&gt;Summary!$B$12,1,0)),IF($N50="Not run",IF(TRIM($I50)="",1,0),IF(OR(TRIM($G50)&lt;&gt;"",TRIM($H50)&lt;&gt;""),1,0))))</f>
        <v/>
      </c>
      <c r="V50" s="32">
        <f>IF(OR($M50=0,$N50&lt;&gt;"Planned",NOT(ISNUMBER($C50))),0,IF($C50&lt;Summary!$B$12,1,0))</f>
        <v/>
      </c>
      <c r="W50" s="32">
        <f>IF(OR($M50=0,$O50=0,$N50="Not run",TRIM($L50)=""),0,IF(TRIM($L50)=TRIM(INDEX(Criteria!$D$6:$D$105,MATCH($B50,Criteria!$A$6:$A$105,0))),0,1))</f>
        <v/>
      </c>
      <c r="X50" s="32">
        <f>IF(OR($M50=0,$O50=0,$N50="Not run"),0,IF(OR(TRIM($L50)="",AND($N50="Planned",TRIM(INDEX(Criteria!$D$6:$D$105,MATCH($B50,Criteria!$A$6:$A$105,0)))="")),1,0))</f>
        <v/>
      </c>
    </row>
    <row r="51">
      <c r="A51" s="27" t="n"/>
      <c r="B51" s="27" t="n"/>
      <c r="C51" s="29" t="n"/>
      <c r="D51" s="28" t="n"/>
      <c r="E51" s="28" t="n"/>
      <c r="F51" s="27" t="n"/>
      <c r="G51" s="28" t="n"/>
      <c r="H51" s="28" t="n"/>
      <c r="I51" s="28" t="n"/>
      <c r="J51" s="19">
        <f>IF($M51=0,"",IF(SUM($S51:$X51)=0,"○ Clear",IF($S51=1,"△ Run, For, Date, Tested on or Run by missing or wrong",IF($X51=1,IF(AND($N51="Planned",TRIM(INDEX(Criteria!$D$6:$D$105,MATCH($B51,Criteria!$A$6:$A$105,0)))=""),"△ The criterion has no Pass line","△ Pass line used is blank"),IF($T51=1,"△ Checked by a builder, the runner or nobody",IF($U51=1,IF($N51="Planned","△ Result or File typed on a planned run",IF(AND(OR($N51="Passed",$N51="Failed"),TRIM($G51)&lt;&gt;"",TRIM($H51)&lt;&gt;"",ISNUMBER($C51),NOT(AND($N51="Failed",TRIM($I51)=""))),"△ Result dated after the date the checks use","△ Result, File or Reason missing")),IF($V51=1,"△ Planned day has passed, with no result","△ Pass line has changed since this run was planned")))))&amp;IF(SUM($S51:$X51)&gt;1,", and "&amp;(SUM($S51:$X51)-1)&amp;" more","")))</f>
        <v/>
      </c>
      <c r="K51" s="28" t="n"/>
      <c r="L51" s="28" t="n"/>
      <c r="M51" s="32">
        <f>IF(COUNTA($A51:$I51)+COUNTA($K51:$L51)&gt;0,1,0)</f>
        <v/>
      </c>
      <c r="N51" s="22">
        <f>IF($M51=0,"",IF($F51="","Planned",$F51))</f>
        <v/>
      </c>
      <c r="O51" s="32">
        <f>IF(OR($M51=0,TRIM($B51)=""),0,IF(COUNTIF(Criteria!$A$6:$A$105,$B51)&gt;0,1,0))</f>
        <v/>
      </c>
      <c r="P51" s="32">
        <f>IF(OR($M51=0,TRIM($B51)=""),0,IF(AND(LEN($B51)&gt;1,ISNUMBER(MATCH(LEFT($B51,1),{"R","I","A","X"},0)),ISNUMBER(VALUE(MID($B51,2,5)))),1,0))</f>
        <v/>
      </c>
      <c r="Q51" s="32">
        <f>IF(OR($M51=0,TRIM($B51)="",$N51="Planned"),0,IF(COUNTIFS($B$6:$B$105,$B51,$C$6:$C$105,"&gt;"&amp;$C51,$N$6:$N$105,"&lt;&gt;Planned")+COUNTIFS($B52:$B$106,$B51,$C52:$C$106,$C51,$N52:$N$106,"&lt;&gt;Planned")=0,1,0))</f>
        <v/>
      </c>
      <c r="R51" s="22">
        <f>IF($Q51=1,$B51,"")</f>
        <v/>
      </c>
      <c r="S51" s="32">
        <f>IF($M51=0,0,IF(OR(TRIM($A51)="",COUNTIF($A$6:$A$105,$A51)&gt;1,TRIM($B51)="",AND($O51=0,$P51=0),NOT(ISNUMBER($C51)),AND($N51&lt;&gt;"Not run",OR(TRIM($K51)="",TRIM($D51)=""))),1,0))</f>
        <v/>
      </c>
      <c r="T51" s="32">
        <f>IF($M51=0,0,IF(TRIM($E51)="",IF(OR($N51="Passed",$N51="Failed"),1,0),IF(OR(SUMPRODUCT(--(TRIM(LEFT(Summary!$G$6:$G$13,FIND(" (",Summary!$G$6:$G$13&amp;" (")-1))=TRIM(LEFT($E51,FIND(" (",$E51&amp;" (")-1))))&gt;0,TRIM(LEFT($E51,FIND(" (",$E51&amp;" (")-1))=TRIM(LEFT($D51,FIND(" (",$D51&amp;" (")-1))),1,0)))</f>
        <v/>
      </c>
      <c r="U51" s="32">
        <f>IF($M51=0,0,IF(OR($N51="Passed",$N51="Failed"),IF(OR(TRIM($G51)="",TRIM($H51)="",NOT(ISNUMBER($C51)),AND($N51="Failed",TRIM($I51)="")),1,IF($C51&gt;Summary!$B$12,1,0)),IF($N51="Not run",IF(TRIM($I51)="",1,0),IF(OR(TRIM($G51)&lt;&gt;"",TRIM($H51)&lt;&gt;""),1,0))))</f>
        <v/>
      </c>
      <c r="V51" s="32">
        <f>IF(OR($M51=0,$N51&lt;&gt;"Planned",NOT(ISNUMBER($C51))),0,IF($C51&lt;Summary!$B$12,1,0))</f>
        <v/>
      </c>
      <c r="W51" s="32">
        <f>IF(OR($M51=0,$O51=0,$N51="Not run",TRIM($L51)=""),0,IF(TRIM($L51)=TRIM(INDEX(Criteria!$D$6:$D$105,MATCH($B51,Criteria!$A$6:$A$105,0))),0,1))</f>
        <v/>
      </c>
      <c r="X51" s="32">
        <f>IF(OR($M51=0,$O51=0,$N51="Not run"),0,IF(OR(TRIM($L51)="",AND($N51="Planned",TRIM(INDEX(Criteria!$D$6:$D$105,MATCH($B51,Criteria!$A$6:$A$105,0)))="")),1,0))</f>
        <v/>
      </c>
    </row>
    <row r="52">
      <c r="A52" s="27" t="n"/>
      <c r="B52" s="27" t="n"/>
      <c r="C52" s="29" t="n"/>
      <c r="D52" s="28" t="n"/>
      <c r="E52" s="28" t="n"/>
      <c r="F52" s="27" t="n"/>
      <c r="G52" s="28" t="n"/>
      <c r="H52" s="28" t="n"/>
      <c r="I52" s="28" t="n"/>
      <c r="J52" s="19">
        <f>IF($M52=0,"",IF(SUM($S52:$X52)=0,"○ Clear",IF($S52=1,"△ Run, For, Date, Tested on or Run by missing or wrong",IF($X52=1,IF(AND($N52="Planned",TRIM(INDEX(Criteria!$D$6:$D$105,MATCH($B52,Criteria!$A$6:$A$105,0)))=""),"△ The criterion has no Pass line","△ Pass line used is blank"),IF($T52=1,"△ Checked by a builder, the runner or nobody",IF($U52=1,IF($N52="Planned","△ Result or File typed on a planned run",IF(AND(OR($N52="Passed",$N52="Failed"),TRIM($G52)&lt;&gt;"",TRIM($H52)&lt;&gt;"",ISNUMBER($C52),NOT(AND($N52="Failed",TRIM($I52)=""))),"△ Result dated after the date the checks use","△ Result, File or Reason missing")),IF($V52=1,"△ Planned day has passed, with no result","△ Pass line has changed since this run was planned")))))&amp;IF(SUM($S52:$X52)&gt;1,", and "&amp;(SUM($S52:$X52)-1)&amp;" more","")))</f>
        <v/>
      </c>
      <c r="K52" s="28" t="n"/>
      <c r="L52" s="28" t="n"/>
      <c r="M52" s="32">
        <f>IF(COUNTA($A52:$I52)+COUNTA($K52:$L52)&gt;0,1,0)</f>
        <v/>
      </c>
      <c r="N52" s="22">
        <f>IF($M52=0,"",IF($F52="","Planned",$F52))</f>
        <v/>
      </c>
      <c r="O52" s="32">
        <f>IF(OR($M52=0,TRIM($B52)=""),0,IF(COUNTIF(Criteria!$A$6:$A$105,$B52)&gt;0,1,0))</f>
        <v/>
      </c>
      <c r="P52" s="32">
        <f>IF(OR($M52=0,TRIM($B52)=""),0,IF(AND(LEN($B52)&gt;1,ISNUMBER(MATCH(LEFT($B52,1),{"R","I","A","X"},0)),ISNUMBER(VALUE(MID($B52,2,5)))),1,0))</f>
        <v/>
      </c>
      <c r="Q52" s="32">
        <f>IF(OR($M52=0,TRIM($B52)="",$N52="Planned"),0,IF(COUNTIFS($B$6:$B$105,$B52,$C$6:$C$105,"&gt;"&amp;$C52,$N$6:$N$105,"&lt;&gt;Planned")+COUNTIFS($B53:$B$106,$B52,$C53:$C$106,$C52,$N53:$N$106,"&lt;&gt;Planned")=0,1,0))</f>
        <v/>
      </c>
      <c r="R52" s="22">
        <f>IF($Q52=1,$B52,"")</f>
        <v/>
      </c>
      <c r="S52" s="32">
        <f>IF($M52=0,0,IF(OR(TRIM($A52)="",COUNTIF($A$6:$A$105,$A52)&gt;1,TRIM($B52)="",AND($O52=0,$P52=0),NOT(ISNUMBER($C52)),AND($N52&lt;&gt;"Not run",OR(TRIM($K52)="",TRIM($D52)=""))),1,0))</f>
        <v/>
      </c>
      <c r="T52" s="32">
        <f>IF($M52=0,0,IF(TRIM($E52)="",IF(OR($N52="Passed",$N52="Failed"),1,0),IF(OR(SUMPRODUCT(--(TRIM(LEFT(Summary!$G$6:$G$13,FIND(" (",Summary!$G$6:$G$13&amp;" (")-1))=TRIM(LEFT($E52,FIND(" (",$E52&amp;" (")-1))))&gt;0,TRIM(LEFT($E52,FIND(" (",$E52&amp;" (")-1))=TRIM(LEFT($D52,FIND(" (",$D52&amp;" (")-1))),1,0)))</f>
        <v/>
      </c>
      <c r="U52" s="32">
        <f>IF($M52=0,0,IF(OR($N52="Passed",$N52="Failed"),IF(OR(TRIM($G52)="",TRIM($H52)="",NOT(ISNUMBER($C52)),AND($N52="Failed",TRIM($I52)="")),1,IF($C52&gt;Summary!$B$12,1,0)),IF($N52="Not run",IF(TRIM($I52)="",1,0),IF(OR(TRIM($G52)&lt;&gt;"",TRIM($H52)&lt;&gt;""),1,0))))</f>
        <v/>
      </c>
      <c r="V52" s="32">
        <f>IF(OR($M52=0,$N52&lt;&gt;"Planned",NOT(ISNUMBER($C52))),0,IF($C52&lt;Summary!$B$12,1,0))</f>
        <v/>
      </c>
      <c r="W52" s="32">
        <f>IF(OR($M52=0,$O52=0,$N52="Not run",TRIM($L52)=""),0,IF(TRIM($L52)=TRIM(INDEX(Criteria!$D$6:$D$105,MATCH($B52,Criteria!$A$6:$A$105,0))),0,1))</f>
        <v/>
      </c>
      <c r="X52" s="32">
        <f>IF(OR($M52=0,$O52=0,$N52="Not run"),0,IF(OR(TRIM($L52)="",AND($N52="Planned",TRIM(INDEX(Criteria!$D$6:$D$105,MATCH($B52,Criteria!$A$6:$A$105,0)))="")),1,0))</f>
        <v/>
      </c>
    </row>
    <row r="53">
      <c r="A53" s="27" t="n"/>
      <c r="B53" s="27" t="n"/>
      <c r="C53" s="29" t="n"/>
      <c r="D53" s="28" t="n"/>
      <c r="E53" s="28" t="n"/>
      <c r="F53" s="27" t="n"/>
      <c r="G53" s="28" t="n"/>
      <c r="H53" s="28" t="n"/>
      <c r="I53" s="28" t="n"/>
      <c r="J53" s="19">
        <f>IF($M53=0,"",IF(SUM($S53:$X53)=0,"○ Clear",IF($S53=1,"△ Run, For, Date, Tested on or Run by missing or wrong",IF($X53=1,IF(AND($N53="Planned",TRIM(INDEX(Criteria!$D$6:$D$105,MATCH($B53,Criteria!$A$6:$A$105,0)))=""),"△ The criterion has no Pass line","△ Pass line used is blank"),IF($T53=1,"△ Checked by a builder, the runner or nobody",IF($U53=1,IF($N53="Planned","△ Result or File typed on a planned run",IF(AND(OR($N53="Passed",$N53="Failed"),TRIM($G53)&lt;&gt;"",TRIM($H53)&lt;&gt;"",ISNUMBER($C53),NOT(AND($N53="Failed",TRIM($I53)=""))),"△ Result dated after the date the checks use","△ Result, File or Reason missing")),IF($V53=1,"△ Planned day has passed, with no result","△ Pass line has changed since this run was planned")))))&amp;IF(SUM($S53:$X53)&gt;1,", and "&amp;(SUM($S53:$X53)-1)&amp;" more","")))</f>
        <v/>
      </c>
      <c r="K53" s="28" t="n"/>
      <c r="L53" s="28" t="n"/>
      <c r="M53" s="32">
        <f>IF(COUNTA($A53:$I53)+COUNTA($K53:$L53)&gt;0,1,0)</f>
        <v/>
      </c>
      <c r="N53" s="22">
        <f>IF($M53=0,"",IF($F53="","Planned",$F53))</f>
        <v/>
      </c>
      <c r="O53" s="32">
        <f>IF(OR($M53=0,TRIM($B53)=""),0,IF(COUNTIF(Criteria!$A$6:$A$105,$B53)&gt;0,1,0))</f>
        <v/>
      </c>
      <c r="P53" s="32">
        <f>IF(OR($M53=0,TRIM($B53)=""),0,IF(AND(LEN($B53)&gt;1,ISNUMBER(MATCH(LEFT($B53,1),{"R","I","A","X"},0)),ISNUMBER(VALUE(MID($B53,2,5)))),1,0))</f>
        <v/>
      </c>
      <c r="Q53" s="32">
        <f>IF(OR($M53=0,TRIM($B53)="",$N53="Planned"),0,IF(COUNTIFS($B$6:$B$105,$B53,$C$6:$C$105,"&gt;"&amp;$C53,$N$6:$N$105,"&lt;&gt;Planned")+COUNTIFS($B54:$B$106,$B53,$C54:$C$106,$C53,$N54:$N$106,"&lt;&gt;Planned")=0,1,0))</f>
        <v/>
      </c>
      <c r="R53" s="22">
        <f>IF($Q53=1,$B53,"")</f>
        <v/>
      </c>
      <c r="S53" s="32">
        <f>IF($M53=0,0,IF(OR(TRIM($A53)="",COUNTIF($A$6:$A$105,$A53)&gt;1,TRIM($B53)="",AND($O53=0,$P53=0),NOT(ISNUMBER($C53)),AND($N53&lt;&gt;"Not run",OR(TRIM($K53)="",TRIM($D53)=""))),1,0))</f>
        <v/>
      </c>
      <c r="T53" s="32">
        <f>IF($M53=0,0,IF(TRIM($E53)="",IF(OR($N53="Passed",$N53="Failed"),1,0),IF(OR(SUMPRODUCT(--(TRIM(LEFT(Summary!$G$6:$G$13,FIND(" (",Summary!$G$6:$G$13&amp;" (")-1))=TRIM(LEFT($E53,FIND(" (",$E53&amp;" (")-1))))&gt;0,TRIM(LEFT($E53,FIND(" (",$E53&amp;" (")-1))=TRIM(LEFT($D53,FIND(" (",$D53&amp;" (")-1))),1,0)))</f>
        <v/>
      </c>
      <c r="U53" s="32">
        <f>IF($M53=0,0,IF(OR($N53="Passed",$N53="Failed"),IF(OR(TRIM($G53)="",TRIM($H53)="",NOT(ISNUMBER($C53)),AND($N53="Failed",TRIM($I53)="")),1,IF($C53&gt;Summary!$B$12,1,0)),IF($N53="Not run",IF(TRIM($I53)="",1,0),IF(OR(TRIM($G53)&lt;&gt;"",TRIM($H53)&lt;&gt;""),1,0))))</f>
        <v/>
      </c>
      <c r="V53" s="32">
        <f>IF(OR($M53=0,$N53&lt;&gt;"Planned",NOT(ISNUMBER($C53))),0,IF($C53&lt;Summary!$B$12,1,0))</f>
        <v/>
      </c>
      <c r="W53" s="32">
        <f>IF(OR($M53=0,$O53=0,$N53="Not run",TRIM($L53)=""),0,IF(TRIM($L53)=TRIM(INDEX(Criteria!$D$6:$D$105,MATCH($B53,Criteria!$A$6:$A$105,0))),0,1))</f>
        <v/>
      </c>
      <c r="X53" s="32">
        <f>IF(OR($M53=0,$O53=0,$N53="Not run"),0,IF(OR(TRIM($L53)="",AND($N53="Planned",TRIM(INDEX(Criteria!$D$6:$D$105,MATCH($B53,Criteria!$A$6:$A$105,0)))="")),1,0))</f>
        <v/>
      </c>
    </row>
    <row r="54">
      <c r="A54" s="27" t="n"/>
      <c r="B54" s="27" t="n"/>
      <c r="C54" s="29" t="n"/>
      <c r="D54" s="28" t="n"/>
      <c r="E54" s="28" t="n"/>
      <c r="F54" s="27" t="n"/>
      <c r="G54" s="28" t="n"/>
      <c r="H54" s="28" t="n"/>
      <c r="I54" s="28" t="n"/>
      <c r="J54" s="19">
        <f>IF($M54=0,"",IF(SUM($S54:$X54)=0,"○ Clear",IF($S54=1,"△ Run, For, Date, Tested on or Run by missing or wrong",IF($X54=1,IF(AND($N54="Planned",TRIM(INDEX(Criteria!$D$6:$D$105,MATCH($B54,Criteria!$A$6:$A$105,0)))=""),"△ The criterion has no Pass line","△ Pass line used is blank"),IF($T54=1,"△ Checked by a builder, the runner or nobody",IF($U54=1,IF($N54="Planned","△ Result or File typed on a planned run",IF(AND(OR($N54="Passed",$N54="Failed"),TRIM($G54)&lt;&gt;"",TRIM($H54)&lt;&gt;"",ISNUMBER($C54),NOT(AND($N54="Failed",TRIM($I54)=""))),"△ Result dated after the date the checks use","△ Result, File or Reason missing")),IF($V54=1,"△ Planned day has passed, with no result","△ Pass line has changed since this run was planned")))))&amp;IF(SUM($S54:$X54)&gt;1,", and "&amp;(SUM($S54:$X54)-1)&amp;" more","")))</f>
        <v/>
      </c>
      <c r="K54" s="28" t="n"/>
      <c r="L54" s="28" t="n"/>
      <c r="M54" s="32">
        <f>IF(COUNTA($A54:$I54)+COUNTA($K54:$L54)&gt;0,1,0)</f>
        <v/>
      </c>
      <c r="N54" s="22">
        <f>IF($M54=0,"",IF($F54="","Planned",$F54))</f>
        <v/>
      </c>
      <c r="O54" s="32">
        <f>IF(OR($M54=0,TRIM($B54)=""),0,IF(COUNTIF(Criteria!$A$6:$A$105,$B54)&gt;0,1,0))</f>
        <v/>
      </c>
      <c r="P54" s="32">
        <f>IF(OR($M54=0,TRIM($B54)=""),0,IF(AND(LEN($B54)&gt;1,ISNUMBER(MATCH(LEFT($B54,1),{"R","I","A","X"},0)),ISNUMBER(VALUE(MID($B54,2,5)))),1,0))</f>
        <v/>
      </c>
      <c r="Q54" s="32">
        <f>IF(OR($M54=0,TRIM($B54)="",$N54="Planned"),0,IF(COUNTIFS($B$6:$B$105,$B54,$C$6:$C$105,"&gt;"&amp;$C54,$N$6:$N$105,"&lt;&gt;Planned")+COUNTIFS($B55:$B$106,$B54,$C55:$C$106,$C54,$N55:$N$106,"&lt;&gt;Planned")=0,1,0))</f>
        <v/>
      </c>
      <c r="R54" s="22">
        <f>IF($Q54=1,$B54,"")</f>
        <v/>
      </c>
      <c r="S54" s="32">
        <f>IF($M54=0,0,IF(OR(TRIM($A54)="",COUNTIF($A$6:$A$105,$A54)&gt;1,TRIM($B54)="",AND($O54=0,$P54=0),NOT(ISNUMBER($C54)),AND($N54&lt;&gt;"Not run",OR(TRIM($K54)="",TRIM($D54)=""))),1,0))</f>
        <v/>
      </c>
      <c r="T54" s="32">
        <f>IF($M54=0,0,IF(TRIM($E54)="",IF(OR($N54="Passed",$N54="Failed"),1,0),IF(OR(SUMPRODUCT(--(TRIM(LEFT(Summary!$G$6:$G$13,FIND(" (",Summary!$G$6:$G$13&amp;" (")-1))=TRIM(LEFT($E54,FIND(" (",$E54&amp;" (")-1))))&gt;0,TRIM(LEFT($E54,FIND(" (",$E54&amp;" (")-1))=TRIM(LEFT($D54,FIND(" (",$D54&amp;" (")-1))),1,0)))</f>
        <v/>
      </c>
      <c r="U54" s="32">
        <f>IF($M54=0,0,IF(OR($N54="Passed",$N54="Failed"),IF(OR(TRIM($G54)="",TRIM($H54)="",NOT(ISNUMBER($C54)),AND($N54="Failed",TRIM($I54)="")),1,IF($C54&gt;Summary!$B$12,1,0)),IF($N54="Not run",IF(TRIM($I54)="",1,0),IF(OR(TRIM($G54)&lt;&gt;"",TRIM($H54)&lt;&gt;""),1,0))))</f>
        <v/>
      </c>
      <c r="V54" s="32">
        <f>IF(OR($M54=0,$N54&lt;&gt;"Planned",NOT(ISNUMBER($C54))),0,IF($C54&lt;Summary!$B$12,1,0))</f>
        <v/>
      </c>
      <c r="W54" s="32">
        <f>IF(OR($M54=0,$O54=0,$N54="Not run",TRIM($L54)=""),0,IF(TRIM($L54)=TRIM(INDEX(Criteria!$D$6:$D$105,MATCH($B54,Criteria!$A$6:$A$105,0))),0,1))</f>
        <v/>
      </c>
      <c r="X54" s="32">
        <f>IF(OR($M54=0,$O54=0,$N54="Not run"),0,IF(OR(TRIM($L54)="",AND($N54="Planned",TRIM(INDEX(Criteria!$D$6:$D$105,MATCH($B54,Criteria!$A$6:$A$105,0)))="")),1,0))</f>
        <v/>
      </c>
    </row>
    <row r="55">
      <c r="A55" s="27" t="n"/>
      <c r="B55" s="27" t="n"/>
      <c r="C55" s="29" t="n"/>
      <c r="D55" s="28" t="n"/>
      <c r="E55" s="28" t="n"/>
      <c r="F55" s="27" t="n"/>
      <c r="G55" s="28" t="n"/>
      <c r="H55" s="28" t="n"/>
      <c r="I55" s="28" t="n"/>
      <c r="J55" s="19">
        <f>IF($M55=0,"",IF(SUM($S55:$X55)=0,"○ Clear",IF($S55=1,"△ Run, For, Date, Tested on or Run by missing or wrong",IF($X55=1,IF(AND($N55="Planned",TRIM(INDEX(Criteria!$D$6:$D$105,MATCH($B55,Criteria!$A$6:$A$105,0)))=""),"△ The criterion has no Pass line","△ Pass line used is blank"),IF($T55=1,"△ Checked by a builder, the runner or nobody",IF($U55=1,IF($N55="Planned","△ Result or File typed on a planned run",IF(AND(OR($N55="Passed",$N55="Failed"),TRIM($G55)&lt;&gt;"",TRIM($H55)&lt;&gt;"",ISNUMBER($C55),NOT(AND($N55="Failed",TRIM($I55)=""))),"△ Result dated after the date the checks use","△ Result, File or Reason missing")),IF($V55=1,"△ Planned day has passed, with no result","△ Pass line has changed since this run was planned")))))&amp;IF(SUM($S55:$X55)&gt;1,", and "&amp;(SUM($S55:$X55)-1)&amp;" more","")))</f>
        <v/>
      </c>
      <c r="K55" s="28" t="n"/>
      <c r="L55" s="28" t="n"/>
      <c r="M55" s="32">
        <f>IF(COUNTA($A55:$I55)+COUNTA($K55:$L55)&gt;0,1,0)</f>
        <v/>
      </c>
      <c r="N55" s="22">
        <f>IF($M55=0,"",IF($F55="","Planned",$F55))</f>
        <v/>
      </c>
      <c r="O55" s="32">
        <f>IF(OR($M55=0,TRIM($B55)=""),0,IF(COUNTIF(Criteria!$A$6:$A$105,$B55)&gt;0,1,0))</f>
        <v/>
      </c>
      <c r="P55" s="32">
        <f>IF(OR($M55=0,TRIM($B55)=""),0,IF(AND(LEN($B55)&gt;1,ISNUMBER(MATCH(LEFT($B55,1),{"R","I","A","X"},0)),ISNUMBER(VALUE(MID($B55,2,5)))),1,0))</f>
        <v/>
      </c>
      <c r="Q55" s="32">
        <f>IF(OR($M55=0,TRIM($B55)="",$N55="Planned"),0,IF(COUNTIFS($B$6:$B$105,$B55,$C$6:$C$105,"&gt;"&amp;$C55,$N$6:$N$105,"&lt;&gt;Planned")+COUNTIFS($B56:$B$106,$B55,$C56:$C$106,$C55,$N56:$N$106,"&lt;&gt;Planned")=0,1,0))</f>
        <v/>
      </c>
      <c r="R55" s="22">
        <f>IF($Q55=1,$B55,"")</f>
        <v/>
      </c>
      <c r="S55" s="32">
        <f>IF($M55=0,0,IF(OR(TRIM($A55)="",COUNTIF($A$6:$A$105,$A55)&gt;1,TRIM($B55)="",AND($O55=0,$P55=0),NOT(ISNUMBER($C55)),AND($N55&lt;&gt;"Not run",OR(TRIM($K55)="",TRIM($D55)=""))),1,0))</f>
        <v/>
      </c>
      <c r="T55" s="32">
        <f>IF($M55=0,0,IF(TRIM($E55)="",IF(OR($N55="Passed",$N55="Failed"),1,0),IF(OR(SUMPRODUCT(--(TRIM(LEFT(Summary!$G$6:$G$13,FIND(" (",Summary!$G$6:$G$13&amp;" (")-1))=TRIM(LEFT($E55,FIND(" (",$E55&amp;" (")-1))))&gt;0,TRIM(LEFT($E55,FIND(" (",$E55&amp;" (")-1))=TRIM(LEFT($D55,FIND(" (",$D55&amp;" (")-1))),1,0)))</f>
        <v/>
      </c>
      <c r="U55" s="32">
        <f>IF($M55=0,0,IF(OR($N55="Passed",$N55="Failed"),IF(OR(TRIM($G55)="",TRIM($H55)="",NOT(ISNUMBER($C55)),AND($N55="Failed",TRIM($I55)="")),1,IF($C55&gt;Summary!$B$12,1,0)),IF($N55="Not run",IF(TRIM($I55)="",1,0),IF(OR(TRIM($G55)&lt;&gt;"",TRIM($H55)&lt;&gt;""),1,0))))</f>
        <v/>
      </c>
      <c r="V55" s="32">
        <f>IF(OR($M55=0,$N55&lt;&gt;"Planned",NOT(ISNUMBER($C55))),0,IF($C55&lt;Summary!$B$12,1,0))</f>
        <v/>
      </c>
      <c r="W55" s="32">
        <f>IF(OR($M55=0,$O55=0,$N55="Not run",TRIM($L55)=""),0,IF(TRIM($L55)=TRIM(INDEX(Criteria!$D$6:$D$105,MATCH($B55,Criteria!$A$6:$A$105,0))),0,1))</f>
        <v/>
      </c>
      <c r="X55" s="32">
        <f>IF(OR($M55=0,$O55=0,$N55="Not run"),0,IF(OR(TRIM($L55)="",AND($N55="Planned",TRIM(INDEX(Criteria!$D$6:$D$105,MATCH($B55,Criteria!$A$6:$A$105,0)))="")),1,0))</f>
        <v/>
      </c>
    </row>
    <row r="56">
      <c r="A56" s="27" t="n"/>
      <c r="B56" s="27" t="n"/>
      <c r="C56" s="29" t="n"/>
      <c r="D56" s="28" t="n"/>
      <c r="E56" s="28" t="n"/>
      <c r="F56" s="27" t="n"/>
      <c r="G56" s="28" t="n"/>
      <c r="H56" s="28" t="n"/>
      <c r="I56" s="28" t="n"/>
      <c r="J56" s="19">
        <f>IF($M56=0,"",IF(SUM($S56:$X56)=0,"○ Clear",IF($S56=1,"△ Run, For, Date, Tested on or Run by missing or wrong",IF($X56=1,IF(AND($N56="Planned",TRIM(INDEX(Criteria!$D$6:$D$105,MATCH($B56,Criteria!$A$6:$A$105,0)))=""),"△ The criterion has no Pass line","△ Pass line used is blank"),IF($T56=1,"△ Checked by a builder, the runner or nobody",IF($U56=1,IF($N56="Planned","△ Result or File typed on a planned run",IF(AND(OR($N56="Passed",$N56="Failed"),TRIM($G56)&lt;&gt;"",TRIM($H56)&lt;&gt;"",ISNUMBER($C56),NOT(AND($N56="Failed",TRIM($I56)=""))),"△ Result dated after the date the checks use","△ Result, File or Reason missing")),IF($V56=1,"△ Planned day has passed, with no result","△ Pass line has changed since this run was planned")))))&amp;IF(SUM($S56:$X56)&gt;1,", and "&amp;(SUM($S56:$X56)-1)&amp;" more","")))</f>
        <v/>
      </c>
      <c r="K56" s="28" t="n"/>
      <c r="L56" s="28" t="n"/>
      <c r="M56" s="32">
        <f>IF(COUNTA($A56:$I56)+COUNTA($K56:$L56)&gt;0,1,0)</f>
        <v/>
      </c>
      <c r="N56" s="22">
        <f>IF($M56=0,"",IF($F56="","Planned",$F56))</f>
        <v/>
      </c>
      <c r="O56" s="32">
        <f>IF(OR($M56=0,TRIM($B56)=""),0,IF(COUNTIF(Criteria!$A$6:$A$105,$B56)&gt;0,1,0))</f>
        <v/>
      </c>
      <c r="P56" s="32">
        <f>IF(OR($M56=0,TRIM($B56)=""),0,IF(AND(LEN($B56)&gt;1,ISNUMBER(MATCH(LEFT($B56,1),{"R","I","A","X"},0)),ISNUMBER(VALUE(MID($B56,2,5)))),1,0))</f>
        <v/>
      </c>
      <c r="Q56" s="32">
        <f>IF(OR($M56=0,TRIM($B56)="",$N56="Planned"),0,IF(COUNTIFS($B$6:$B$105,$B56,$C$6:$C$105,"&gt;"&amp;$C56,$N$6:$N$105,"&lt;&gt;Planned")+COUNTIFS($B57:$B$106,$B56,$C57:$C$106,$C56,$N57:$N$106,"&lt;&gt;Planned")=0,1,0))</f>
        <v/>
      </c>
      <c r="R56" s="22">
        <f>IF($Q56=1,$B56,"")</f>
        <v/>
      </c>
      <c r="S56" s="32">
        <f>IF($M56=0,0,IF(OR(TRIM($A56)="",COUNTIF($A$6:$A$105,$A56)&gt;1,TRIM($B56)="",AND($O56=0,$P56=0),NOT(ISNUMBER($C56)),AND($N56&lt;&gt;"Not run",OR(TRIM($K56)="",TRIM($D56)=""))),1,0))</f>
        <v/>
      </c>
      <c r="T56" s="32">
        <f>IF($M56=0,0,IF(TRIM($E56)="",IF(OR($N56="Passed",$N56="Failed"),1,0),IF(OR(SUMPRODUCT(--(TRIM(LEFT(Summary!$G$6:$G$13,FIND(" (",Summary!$G$6:$G$13&amp;" (")-1))=TRIM(LEFT($E56,FIND(" (",$E56&amp;" (")-1))))&gt;0,TRIM(LEFT($E56,FIND(" (",$E56&amp;" (")-1))=TRIM(LEFT($D56,FIND(" (",$D56&amp;" (")-1))),1,0)))</f>
        <v/>
      </c>
      <c r="U56" s="32">
        <f>IF($M56=0,0,IF(OR($N56="Passed",$N56="Failed"),IF(OR(TRIM($G56)="",TRIM($H56)="",NOT(ISNUMBER($C56)),AND($N56="Failed",TRIM($I56)="")),1,IF($C56&gt;Summary!$B$12,1,0)),IF($N56="Not run",IF(TRIM($I56)="",1,0),IF(OR(TRIM($G56)&lt;&gt;"",TRIM($H56)&lt;&gt;""),1,0))))</f>
        <v/>
      </c>
      <c r="V56" s="32">
        <f>IF(OR($M56=0,$N56&lt;&gt;"Planned",NOT(ISNUMBER($C56))),0,IF($C56&lt;Summary!$B$12,1,0))</f>
        <v/>
      </c>
      <c r="W56" s="32">
        <f>IF(OR($M56=0,$O56=0,$N56="Not run",TRIM($L56)=""),0,IF(TRIM($L56)=TRIM(INDEX(Criteria!$D$6:$D$105,MATCH($B56,Criteria!$A$6:$A$105,0))),0,1))</f>
        <v/>
      </c>
      <c r="X56" s="32">
        <f>IF(OR($M56=0,$O56=0,$N56="Not run"),0,IF(OR(TRIM($L56)="",AND($N56="Planned",TRIM(INDEX(Criteria!$D$6:$D$105,MATCH($B56,Criteria!$A$6:$A$105,0)))="")),1,0))</f>
        <v/>
      </c>
    </row>
    <row r="57">
      <c r="A57" s="27" t="n"/>
      <c r="B57" s="27" t="n"/>
      <c r="C57" s="29" t="n"/>
      <c r="D57" s="28" t="n"/>
      <c r="E57" s="28" t="n"/>
      <c r="F57" s="27" t="n"/>
      <c r="G57" s="28" t="n"/>
      <c r="H57" s="28" t="n"/>
      <c r="I57" s="28" t="n"/>
      <c r="J57" s="19">
        <f>IF($M57=0,"",IF(SUM($S57:$X57)=0,"○ Clear",IF($S57=1,"△ Run, For, Date, Tested on or Run by missing or wrong",IF($X57=1,IF(AND($N57="Planned",TRIM(INDEX(Criteria!$D$6:$D$105,MATCH($B57,Criteria!$A$6:$A$105,0)))=""),"△ The criterion has no Pass line","△ Pass line used is blank"),IF($T57=1,"△ Checked by a builder, the runner or nobody",IF($U57=1,IF($N57="Planned","△ Result or File typed on a planned run",IF(AND(OR($N57="Passed",$N57="Failed"),TRIM($G57)&lt;&gt;"",TRIM($H57)&lt;&gt;"",ISNUMBER($C57),NOT(AND($N57="Failed",TRIM($I57)=""))),"△ Result dated after the date the checks use","△ Result, File or Reason missing")),IF($V57=1,"△ Planned day has passed, with no result","△ Pass line has changed since this run was planned")))))&amp;IF(SUM($S57:$X57)&gt;1,", and "&amp;(SUM($S57:$X57)-1)&amp;" more","")))</f>
        <v/>
      </c>
      <c r="K57" s="28" t="n"/>
      <c r="L57" s="28" t="n"/>
      <c r="M57" s="32">
        <f>IF(COUNTA($A57:$I57)+COUNTA($K57:$L57)&gt;0,1,0)</f>
        <v/>
      </c>
      <c r="N57" s="22">
        <f>IF($M57=0,"",IF($F57="","Planned",$F57))</f>
        <v/>
      </c>
      <c r="O57" s="32">
        <f>IF(OR($M57=0,TRIM($B57)=""),0,IF(COUNTIF(Criteria!$A$6:$A$105,$B57)&gt;0,1,0))</f>
        <v/>
      </c>
      <c r="P57" s="32">
        <f>IF(OR($M57=0,TRIM($B57)=""),0,IF(AND(LEN($B57)&gt;1,ISNUMBER(MATCH(LEFT($B57,1),{"R","I","A","X"},0)),ISNUMBER(VALUE(MID($B57,2,5)))),1,0))</f>
        <v/>
      </c>
      <c r="Q57" s="32">
        <f>IF(OR($M57=0,TRIM($B57)="",$N57="Planned"),0,IF(COUNTIFS($B$6:$B$105,$B57,$C$6:$C$105,"&gt;"&amp;$C57,$N$6:$N$105,"&lt;&gt;Planned")+COUNTIFS($B58:$B$106,$B57,$C58:$C$106,$C57,$N58:$N$106,"&lt;&gt;Planned")=0,1,0))</f>
        <v/>
      </c>
      <c r="R57" s="22">
        <f>IF($Q57=1,$B57,"")</f>
        <v/>
      </c>
      <c r="S57" s="32">
        <f>IF($M57=0,0,IF(OR(TRIM($A57)="",COUNTIF($A$6:$A$105,$A57)&gt;1,TRIM($B57)="",AND($O57=0,$P57=0),NOT(ISNUMBER($C57)),AND($N57&lt;&gt;"Not run",OR(TRIM($K57)="",TRIM($D57)=""))),1,0))</f>
        <v/>
      </c>
      <c r="T57" s="32">
        <f>IF($M57=0,0,IF(TRIM($E57)="",IF(OR($N57="Passed",$N57="Failed"),1,0),IF(OR(SUMPRODUCT(--(TRIM(LEFT(Summary!$G$6:$G$13,FIND(" (",Summary!$G$6:$G$13&amp;" (")-1))=TRIM(LEFT($E57,FIND(" (",$E57&amp;" (")-1))))&gt;0,TRIM(LEFT($E57,FIND(" (",$E57&amp;" (")-1))=TRIM(LEFT($D57,FIND(" (",$D57&amp;" (")-1))),1,0)))</f>
        <v/>
      </c>
      <c r="U57" s="32">
        <f>IF($M57=0,0,IF(OR($N57="Passed",$N57="Failed"),IF(OR(TRIM($G57)="",TRIM($H57)="",NOT(ISNUMBER($C57)),AND($N57="Failed",TRIM($I57)="")),1,IF($C57&gt;Summary!$B$12,1,0)),IF($N57="Not run",IF(TRIM($I57)="",1,0),IF(OR(TRIM($G57)&lt;&gt;"",TRIM($H57)&lt;&gt;""),1,0))))</f>
        <v/>
      </c>
      <c r="V57" s="32">
        <f>IF(OR($M57=0,$N57&lt;&gt;"Planned",NOT(ISNUMBER($C57))),0,IF($C57&lt;Summary!$B$12,1,0))</f>
        <v/>
      </c>
      <c r="W57" s="32">
        <f>IF(OR($M57=0,$O57=0,$N57="Not run",TRIM($L57)=""),0,IF(TRIM($L57)=TRIM(INDEX(Criteria!$D$6:$D$105,MATCH($B57,Criteria!$A$6:$A$105,0))),0,1))</f>
        <v/>
      </c>
      <c r="X57" s="32">
        <f>IF(OR($M57=0,$O57=0,$N57="Not run"),0,IF(OR(TRIM($L57)="",AND($N57="Planned",TRIM(INDEX(Criteria!$D$6:$D$105,MATCH($B57,Criteria!$A$6:$A$105,0)))="")),1,0))</f>
        <v/>
      </c>
    </row>
    <row r="58">
      <c r="A58" s="27" t="n"/>
      <c r="B58" s="27" t="n"/>
      <c r="C58" s="29" t="n"/>
      <c r="D58" s="28" t="n"/>
      <c r="E58" s="28" t="n"/>
      <c r="F58" s="27" t="n"/>
      <c r="G58" s="28" t="n"/>
      <c r="H58" s="28" t="n"/>
      <c r="I58" s="28" t="n"/>
      <c r="J58" s="19">
        <f>IF($M58=0,"",IF(SUM($S58:$X58)=0,"○ Clear",IF($S58=1,"△ Run, For, Date, Tested on or Run by missing or wrong",IF($X58=1,IF(AND($N58="Planned",TRIM(INDEX(Criteria!$D$6:$D$105,MATCH($B58,Criteria!$A$6:$A$105,0)))=""),"△ The criterion has no Pass line","△ Pass line used is blank"),IF($T58=1,"△ Checked by a builder, the runner or nobody",IF($U58=1,IF($N58="Planned","△ Result or File typed on a planned run",IF(AND(OR($N58="Passed",$N58="Failed"),TRIM($G58)&lt;&gt;"",TRIM($H58)&lt;&gt;"",ISNUMBER($C58),NOT(AND($N58="Failed",TRIM($I58)=""))),"△ Result dated after the date the checks use","△ Result, File or Reason missing")),IF($V58=1,"△ Planned day has passed, with no result","△ Pass line has changed since this run was planned")))))&amp;IF(SUM($S58:$X58)&gt;1,", and "&amp;(SUM($S58:$X58)-1)&amp;" more","")))</f>
        <v/>
      </c>
      <c r="K58" s="28" t="n"/>
      <c r="L58" s="28" t="n"/>
      <c r="M58" s="32">
        <f>IF(COUNTA($A58:$I58)+COUNTA($K58:$L58)&gt;0,1,0)</f>
        <v/>
      </c>
      <c r="N58" s="22">
        <f>IF($M58=0,"",IF($F58="","Planned",$F58))</f>
        <v/>
      </c>
      <c r="O58" s="32">
        <f>IF(OR($M58=0,TRIM($B58)=""),0,IF(COUNTIF(Criteria!$A$6:$A$105,$B58)&gt;0,1,0))</f>
        <v/>
      </c>
      <c r="P58" s="32">
        <f>IF(OR($M58=0,TRIM($B58)=""),0,IF(AND(LEN($B58)&gt;1,ISNUMBER(MATCH(LEFT($B58,1),{"R","I","A","X"},0)),ISNUMBER(VALUE(MID($B58,2,5)))),1,0))</f>
        <v/>
      </c>
      <c r="Q58" s="32">
        <f>IF(OR($M58=0,TRIM($B58)="",$N58="Planned"),0,IF(COUNTIFS($B$6:$B$105,$B58,$C$6:$C$105,"&gt;"&amp;$C58,$N$6:$N$105,"&lt;&gt;Planned")+COUNTIFS($B59:$B$106,$B58,$C59:$C$106,$C58,$N59:$N$106,"&lt;&gt;Planned")=0,1,0))</f>
        <v/>
      </c>
      <c r="R58" s="22">
        <f>IF($Q58=1,$B58,"")</f>
        <v/>
      </c>
      <c r="S58" s="32">
        <f>IF($M58=0,0,IF(OR(TRIM($A58)="",COUNTIF($A$6:$A$105,$A58)&gt;1,TRIM($B58)="",AND($O58=0,$P58=0),NOT(ISNUMBER($C58)),AND($N58&lt;&gt;"Not run",OR(TRIM($K58)="",TRIM($D58)=""))),1,0))</f>
        <v/>
      </c>
      <c r="T58" s="32">
        <f>IF($M58=0,0,IF(TRIM($E58)="",IF(OR($N58="Passed",$N58="Failed"),1,0),IF(OR(SUMPRODUCT(--(TRIM(LEFT(Summary!$G$6:$G$13,FIND(" (",Summary!$G$6:$G$13&amp;" (")-1))=TRIM(LEFT($E58,FIND(" (",$E58&amp;" (")-1))))&gt;0,TRIM(LEFT($E58,FIND(" (",$E58&amp;" (")-1))=TRIM(LEFT($D58,FIND(" (",$D58&amp;" (")-1))),1,0)))</f>
        <v/>
      </c>
      <c r="U58" s="32">
        <f>IF($M58=0,0,IF(OR($N58="Passed",$N58="Failed"),IF(OR(TRIM($G58)="",TRIM($H58)="",NOT(ISNUMBER($C58)),AND($N58="Failed",TRIM($I58)="")),1,IF($C58&gt;Summary!$B$12,1,0)),IF($N58="Not run",IF(TRIM($I58)="",1,0),IF(OR(TRIM($G58)&lt;&gt;"",TRIM($H58)&lt;&gt;""),1,0))))</f>
        <v/>
      </c>
      <c r="V58" s="32">
        <f>IF(OR($M58=0,$N58&lt;&gt;"Planned",NOT(ISNUMBER($C58))),0,IF($C58&lt;Summary!$B$12,1,0))</f>
        <v/>
      </c>
      <c r="W58" s="32">
        <f>IF(OR($M58=0,$O58=0,$N58="Not run",TRIM($L58)=""),0,IF(TRIM($L58)=TRIM(INDEX(Criteria!$D$6:$D$105,MATCH($B58,Criteria!$A$6:$A$105,0))),0,1))</f>
        <v/>
      </c>
      <c r="X58" s="32">
        <f>IF(OR($M58=0,$O58=0,$N58="Not run"),0,IF(OR(TRIM($L58)="",AND($N58="Planned",TRIM(INDEX(Criteria!$D$6:$D$105,MATCH($B58,Criteria!$A$6:$A$105,0)))="")),1,0))</f>
        <v/>
      </c>
    </row>
    <row r="59">
      <c r="A59" s="27" t="n"/>
      <c r="B59" s="27" t="n"/>
      <c r="C59" s="29" t="n"/>
      <c r="D59" s="28" t="n"/>
      <c r="E59" s="28" t="n"/>
      <c r="F59" s="27" t="n"/>
      <c r="G59" s="28" t="n"/>
      <c r="H59" s="28" t="n"/>
      <c r="I59" s="28" t="n"/>
      <c r="J59" s="19">
        <f>IF($M59=0,"",IF(SUM($S59:$X59)=0,"○ Clear",IF($S59=1,"△ Run, For, Date, Tested on or Run by missing or wrong",IF($X59=1,IF(AND($N59="Planned",TRIM(INDEX(Criteria!$D$6:$D$105,MATCH($B59,Criteria!$A$6:$A$105,0)))=""),"△ The criterion has no Pass line","△ Pass line used is blank"),IF($T59=1,"△ Checked by a builder, the runner or nobody",IF($U59=1,IF($N59="Planned","△ Result or File typed on a planned run",IF(AND(OR($N59="Passed",$N59="Failed"),TRIM($G59)&lt;&gt;"",TRIM($H59)&lt;&gt;"",ISNUMBER($C59),NOT(AND($N59="Failed",TRIM($I59)=""))),"△ Result dated after the date the checks use","△ Result, File or Reason missing")),IF($V59=1,"△ Planned day has passed, with no result","△ Pass line has changed since this run was planned")))))&amp;IF(SUM($S59:$X59)&gt;1,", and "&amp;(SUM($S59:$X59)-1)&amp;" more","")))</f>
        <v/>
      </c>
      <c r="K59" s="28" t="n"/>
      <c r="L59" s="28" t="n"/>
      <c r="M59" s="32">
        <f>IF(COUNTA($A59:$I59)+COUNTA($K59:$L59)&gt;0,1,0)</f>
        <v/>
      </c>
      <c r="N59" s="22">
        <f>IF($M59=0,"",IF($F59="","Planned",$F59))</f>
        <v/>
      </c>
      <c r="O59" s="32">
        <f>IF(OR($M59=0,TRIM($B59)=""),0,IF(COUNTIF(Criteria!$A$6:$A$105,$B59)&gt;0,1,0))</f>
        <v/>
      </c>
      <c r="P59" s="32">
        <f>IF(OR($M59=0,TRIM($B59)=""),0,IF(AND(LEN($B59)&gt;1,ISNUMBER(MATCH(LEFT($B59,1),{"R","I","A","X"},0)),ISNUMBER(VALUE(MID($B59,2,5)))),1,0))</f>
        <v/>
      </c>
      <c r="Q59" s="32">
        <f>IF(OR($M59=0,TRIM($B59)="",$N59="Planned"),0,IF(COUNTIFS($B$6:$B$105,$B59,$C$6:$C$105,"&gt;"&amp;$C59,$N$6:$N$105,"&lt;&gt;Planned")+COUNTIFS($B60:$B$106,$B59,$C60:$C$106,$C59,$N60:$N$106,"&lt;&gt;Planned")=0,1,0))</f>
        <v/>
      </c>
      <c r="R59" s="22">
        <f>IF($Q59=1,$B59,"")</f>
        <v/>
      </c>
      <c r="S59" s="32">
        <f>IF($M59=0,0,IF(OR(TRIM($A59)="",COUNTIF($A$6:$A$105,$A59)&gt;1,TRIM($B59)="",AND($O59=0,$P59=0),NOT(ISNUMBER($C59)),AND($N59&lt;&gt;"Not run",OR(TRIM($K59)="",TRIM($D59)=""))),1,0))</f>
        <v/>
      </c>
      <c r="T59" s="32">
        <f>IF($M59=0,0,IF(TRIM($E59)="",IF(OR($N59="Passed",$N59="Failed"),1,0),IF(OR(SUMPRODUCT(--(TRIM(LEFT(Summary!$G$6:$G$13,FIND(" (",Summary!$G$6:$G$13&amp;" (")-1))=TRIM(LEFT($E59,FIND(" (",$E59&amp;" (")-1))))&gt;0,TRIM(LEFT($E59,FIND(" (",$E59&amp;" (")-1))=TRIM(LEFT($D59,FIND(" (",$D59&amp;" (")-1))),1,0)))</f>
        <v/>
      </c>
      <c r="U59" s="32">
        <f>IF($M59=0,0,IF(OR($N59="Passed",$N59="Failed"),IF(OR(TRIM($G59)="",TRIM($H59)="",NOT(ISNUMBER($C59)),AND($N59="Failed",TRIM($I59)="")),1,IF($C59&gt;Summary!$B$12,1,0)),IF($N59="Not run",IF(TRIM($I59)="",1,0),IF(OR(TRIM($G59)&lt;&gt;"",TRIM($H59)&lt;&gt;""),1,0))))</f>
        <v/>
      </c>
      <c r="V59" s="32">
        <f>IF(OR($M59=0,$N59&lt;&gt;"Planned",NOT(ISNUMBER($C59))),0,IF($C59&lt;Summary!$B$12,1,0))</f>
        <v/>
      </c>
      <c r="W59" s="32">
        <f>IF(OR($M59=0,$O59=0,$N59="Not run",TRIM($L59)=""),0,IF(TRIM($L59)=TRIM(INDEX(Criteria!$D$6:$D$105,MATCH($B59,Criteria!$A$6:$A$105,0))),0,1))</f>
        <v/>
      </c>
      <c r="X59" s="32">
        <f>IF(OR($M59=0,$O59=0,$N59="Not run"),0,IF(OR(TRIM($L59)="",AND($N59="Planned",TRIM(INDEX(Criteria!$D$6:$D$105,MATCH($B59,Criteria!$A$6:$A$105,0)))="")),1,0))</f>
        <v/>
      </c>
    </row>
    <row r="60">
      <c r="A60" s="27" t="n"/>
      <c r="B60" s="27" t="n"/>
      <c r="C60" s="29" t="n"/>
      <c r="D60" s="28" t="n"/>
      <c r="E60" s="28" t="n"/>
      <c r="F60" s="27" t="n"/>
      <c r="G60" s="28" t="n"/>
      <c r="H60" s="28" t="n"/>
      <c r="I60" s="28" t="n"/>
      <c r="J60" s="19">
        <f>IF($M60=0,"",IF(SUM($S60:$X60)=0,"○ Clear",IF($S60=1,"△ Run, For, Date, Tested on or Run by missing or wrong",IF($X60=1,IF(AND($N60="Planned",TRIM(INDEX(Criteria!$D$6:$D$105,MATCH($B60,Criteria!$A$6:$A$105,0)))=""),"△ The criterion has no Pass line","△ Pass line used is blank"),IF($T60=1,"△ Checked by a builder, the runner or nobody",IF($U60=1,IF($N60="Planned","△ Result or File typed on a planned run",IF(AND(OR($N60="Passed",$N60="Failed"),TRIM($G60)&lt;&gt;"",TRIM($H60)&lt;&gt;"",ISNUMBER($C60),NOT(AND($N60="Failed",TRIM($I60)=""))),"△ Result dated after the date the checks use","△ Result, File or Reason missing")),IF($V60=1,"△ Planned day has passed, with no result","△ Pass line has changed since this run was planned")))))&amp;IF(SUM($S60:$X60)&gt;1,", and "&amp;(SUM($S60:$X60)-1)&amp;" more","")))</f>
        <v/>
      </c>
      <c r="K60" s="28" t="n"/>
      <c r="L60" s="28" t="n"/>
      <c r="M60" s="32">
        <f>IF(COUNTA($A60:$I60)+COUNTA($K60:$L60)&gt;0,1,0)</f>
        <v/>
      </c>
      <c r="N60" s="22">
        <f>IF($M60=0,"",IF($F60="","Planned",$F60))</f>
        <v/>
      </c>
      <c r="O60" s="32">
        <f>IF(OR($M60=0,TRIM($B60)=""),0,IF(COUNTIF(Criteria!$A$6:$A$105,$B60)&gt;0,1,0))</f>
        <v/>
      </c>
      <c r="P60" s="32">
        <f>IF(OR($M60=0,TRIM($B60)=""),0,IF(AND(LEN($B60)&gt;1,ISNUMBER(MATCH(LEFT($B60,1),{"R","I","A","X"},0)),ISNUMBER(VALUE(MID($B60,2,5)))),1,0))</f>
        <v/>
      </c>
      <c r="Q60" s="32">
        <f>IF(OR($M60=0,TRIM($B60)="",$N60="Planned"),0,IF(COUNTIFS($B$6:$B$105,$B60,$C$6:$C$105,"&gt;"&amp;$C60,$N$6:$N$105,"&lt;&gt;Planned")+COUNTIFS($B61:$B$106,$B60,$C61:$C$106,$C60,$N61:$N$106,"&lt;&gt;Planned")=0,1,0))</f>
        <v/>
      </c>
      <c r="R60" s="22">
        <f>IF($Q60=1,$B60,"")</f>
        <v/>
      </c>
      <c r="S60" s="32">
        <f>IF($M60=0,0,IF(OR(TRIM($A60)="",COUNTIF($A$6:$A$105,$A60)&gt;1,TRIM($B60)="",AND($O60=0,$P60=0),NOT(ISNUMBER($C60)),AND($N60&lt;&gt;"Not run",OR(TRIM($K60)="",TRIM($D60)=""))),1,0))</f>
        <v/>
      </c>
      <c r="T60" s="32">
        <f>IF($M60=0,0,IF(TRIM($E60)="",IF(OR($N60="Passed",$N60="Failed"),1,0),IF(OR(SUMPRODUCT(--(TRIM(LEFT(Summary!$G$6:$G$13,FIND(" (",Summary!$G$6:$G$13&amp;" (")-1))=TRIM(LEFT($E60,FIND(" (",$E60&amp;" (")-1))))&gt;0,TRIM(LEFT($E60,FIND(" (",$E60&amp;" (")-1))=TRIM(LEFT($D60,FIND(" (",$D60&amp;" (")-1))),1,0)))</f>
        <v/>
      </c>
      <c r="U60" s="32">
        <f>IF($M60=0,0,IF(OR($N60="Passed",$N60="Failed"),IF(OR(TRIM($G60)="",TRIM($H60)="",NOT(ISNUMBER($C60)),AND($N60="Failed",TRIM($I60)="")),1,IF($C60&gt;Summary!$B$12,1,0)),IF($N60="Not run",IF(TRIM($I60)="",1,0),IF(OR(TRIM($G60)&lt;&gt;"",TRIM($H60)&lt;&gt;""),1,0))))</f>
        <v/>
      </c>
      <c r="V60" s="32">
        <f>IF(OR($M60=0,$N60&lt;&gt;"Planned",NOT(ISNUMBER($C60))),0,IF($C60&lt;Summary!$B$12,1,0))</f>
        <v/>
      </c>
      <c r="W60" s="32">
        <f>IF(OR($M60=0,$O60=0,$N60="Not run",TRIM($L60)=""),0,IF(TRIM($L60)=TRIM(INDEX(Criteria!$D$6:$D$105,MATCH($B60,Criteria!$A$6:$A$105,0))),0,1))</f>
        <v/>
      </c>
      <c r="X60" s="32">
        <f>IF(OR($M60=0,$O60=0,$N60="Not run"),0,IF(OR(TRIM($L60)="",AND($N60="Planned",TRIM(INDEX(Criteria!$D$6:$D$105,MATCH($B60,Criteria!$A$6:$A$105,0)))="")),1,0))</f>
        <v/>
      </c>
    </row>
    <row r="61">
      <c r="A61" s="27" t="n"/>
      <c r="B61" s="27" t="n"/>
      <c r="C61" s="29" t="n"/>
      <c r="D61" s="28" t="n"/>
      <c r="E61" s="28" t="n"/>
      <c r="F61" s="27" t="n"/>
      <c r="G61" s="28" t="n"/>
      <c r="H61" s="28" t="n"/>
      <c r="I61" s="28" t="n"/>
      <c r="J61" s="19">
        <f>IF($M61=0,"",IF(SUM($S61:$X61)=0,"○ Clear",IF($S61=1,"△ Run, For, Date, Tested on or Run by missing or wrong",IF($X61=1,IF(AND($N61="Planned",TRIM(INDEX(Criteria!$D$6:$D$105,MATCH($B61,Criteria!$A$6:$A$105,0)))=""),"△ The criterion has no Pass line","△ Pass line used is blank"),IF($T61=1,"△ Checked by a builder, the runner or nobody",IF($U61=1,IF($N61="Planned","△ Result or File typed on a planned run",IF(AND(OR($N61="Passed",$N61="Failed"),TRIM($G61)&lt;&gt;"",TRIM($H61)&lt;&gt;"",ISNUMBER($C61),NOT(AND($N61="Failed",TRIM($I61)=""))),"△ Result dated after the date the checks use","△ Result, File or Reason missing")),IF($V61=1,"△ Planned day has passed, with no result","△ Pass line has changed since this run was planned")))))&amp;IF(SUM($S61:$X61)&gt;1,", and "&amp;(SUM($S61:$X61)-1)&amp;" more","")))</f>
        <v/>
      </c>
      <c r="K61" s="28" t="n"/>
      <c r="L61" s="28" t="n"/>
      <c r="M61" s="32">
        <f>IF(COUNTA($A61:$I61)+COUNTA($K61:$L61)&gt;0,1,0)</f>
        <v/>
      </c>
      <c r="N61" s="22">
        <f>IF($M61=0,"",IF($F61="","Planned",$F61))</f>
        <v/>
      </c>
      <c r="O61" s="32">
        <f>IF(OR($M61=0,TRIM($B61)=""),0,IF(COUNTIF(Criteria!$A$6:$A$105,$B61)&gt;0,1,0))</f>
        <v/>
      </c>
      <c r="P61" s="32">
        <f>IF(OR($M61=0,TRIM($B61)=""),0,IF(AND(LEN($B61)&gt;1,ISNUMBER(MATCH(LEFT($B61,1),{"R","I","A","X"},0)),ISNUMBER(VALUE(MID($B61,2,5)))),1,0))</f>
        <v/>
      </c>
      <c r="Q61" s="32">
        <f>IF(OR($M61=0,TRIM($B61)="",$N61="Planned"),0,IF(COUNTIFS($B$6:$B$105,$B61,$C$6:$C$105,"&gt;"&amp;$C61,$N$6:$N$105,"&lt;&gt;Planned")+COUNTIFS($B62:$B$106,$B61,$C62:$C$106,$C61,$N62:$N$106,"&lt;&gt;Planned")=0,1,0))</f>
        <v/>
      </c>
      <c r="R61" s="22">
        <f>IF($Q61=1,$B61,"")</f>
        <v/>
      </c>
      <c r="S61" s="32">
        <f>IF($M61=0,0,IF(OR(TRIM($A61)="",COUNTIF($A$6:$A$105,$A61)&gt;1,TRIM($B61)="",AND($O61=0,$P61=0),NOT(ISNUMBER($C61)),AND($N61&lt;&gt;"Not run",OR(TRIM($K61)="",TRIM($D61)=""))),1,0))</f>
        <v/>
      </c>
      <c r="T61" s="32">
        <f>IF($M61=0,0,IF(TRIM($E61)="",IF(OR($N61="Passed",$N61="Failed"),1,0),IF(OR(SUMPRODUCT(--(TRIM(LEFT(Summary!$G$6:$G$13,FIND(" (",Summary!$G$6:$G$13&amp;" (")-1))=TRIM(LEFT($E61,FIND(" (",$E61&amp;" (")-1))))&gt;0,TRIM(LEFT($E61,FIND(" (",$E61&amp;" (")-1))=TRIM(LEFT($D61,FIND(" (",$D61&amp;" (")-1))),1,0)))</f>
        <v/>
      </c>
      <c r="U61" s="32">
        <f>IF($M61=0,0,IF(OR($N61="Passed",$N61="Failed"),IF(OR(TRIM($G61)="",TRIM($H61)="",NOT(ISNUMBER($C61)),AND($N61="Failed",TRIM($I61)="")),1,IF($C61&gt;Summary!$B$12,1,0)),IF($N61="Not run",IF(TRIM($I61)="",1,0),IF(OR(TRIM($G61)&lt;&gt;"",TRIM($H61)&lt;&gt;""),1,0))))</f>
        <v/>
      </c>
      <c r="V61" s="32">
        <f>IF(OR($M61=0,$N61&lt;&gt;"Planned",NOT(ISNUMBER($C61))),0,IF($C61&lt;Summary!$B$12,1,0))</f>
        <v/>
      </c>
      <c r="W61" s="32">
        <f>IF(OR($M61=0,$O61=0,$N61="Not run",TRIM($L61)=""),0,IF(TRIM($L61)=TRIM(INDEX(Criteria!$D$6:$D$105,MATCH($B61,Criteria!$A$6:$A$105,0))),0,1))</f>
        <v/>
      </c>
      <c r="X61" s="32">
        <f>IF(OR($M61=0,$O61=0,$N61="Not run"),0,IF(OR(TRIM($L61)="",AND($N61="Planned",TRIM(INDEX(Criteria!$D$6:$D$105,MATCH($B61,Criteria!$A$6:$A$105,0)))="")),1,0))</f>
        <v/>
      </c>
    </row>
    <row r="62">
      <c r="A62" s="27" t="n"/>
      <c r="B62" s="27" t="n"/>
      <c r="C62" s="29" t="n"/>
      <c r="D62" s="28" t="n"/>
      <c r="E62" s="28" t="n"/>
      <c r="F62" s="27" t="n"/>
      <c r="G62" s="28" t="n"/>
      <c r="H62" s="28" t="n"/>
      <c r="I62" s="28" t="n"/>
      <c r="J62" s="19">
        <f>IF($M62=0,"",IF(SUM($S62:$X62)=0,"○ Clear",IF($S62=1,"△ Run, For, Date, Tested on or Run by missing or wrong",IF($X62=1,IF(AND($N62="Planned",TRIM(INDEX(Criteria!$D$6:$D$105,MATCH($B62,Criteria!$A$6:$A$105,0)))=""),"△ The criterion has no Pass line","△ Pass line used is blank"),IF($T62=1,"△ Checked by a builder, the runner or nobody",IF($U62=1,IF($N62="Planned","△ Result or File typed on a planned run",IF(AND(OR($N62="Passed",$N62="Failed"),TRIM($G62)&lt;&gt;"",TRIM($H62)&lt;&gt;"",ISNUMBER($C62),NOT(AND($N62="Failed",TRIM($I62)=""))),"△ Result dated after the date the checks use","△ Result, File or Reason missing")),IF($V62=1,"△ Planned day has passed, with no result","△ Pass line has changed since this run was planned")))))&amp;IF(SUM($S62:$X62)&gt;1,", and "&amp;(SUM($S62:$X62)-1)&amp;" more","")))</f>
        <v/>
      </c>
      <c r="K62" s="28" t="n"/>
      <c r="L62" s="28" t="n"/>
      <c r="M62" s="32">
        <f>IF(COUNTA($A62:$I62)+COUNTA($K62:$L62)&gt;0,1,0)</f>
        <v/>
      </c>
      <c r="N62" s="22">
        <f>IF($M62=0,"",IF($F62="","Planned",$F62))</f>
        <v/>
      </c>
      <c r="O62" s="32">
        <f>IF(OR($M62=0,TRIM($B62)=""),0,IF(COUNTIF(Criteria!$A$6:$A$105,$B62)&gt;0,1,0))</f>
        <v/>
      </c>
      <c r="P62" s="32">
        <f>IF(OR($M62=0,TRIM($B62)=""),0,IF(AND(LEN($B62)&gt;1,ISNUMBER(MATCH(LEFT($B62,1),{"R","I","A","X"},0)),ISNUMBER(VALUE(MID($B62,2,5)))),1,0))</f>
        <v/>
      </c>
      <c r="Q62" s="32">
        <f>IF(OR($M62=0,TRIM($B62)="",$N62="Planned"),0,IF(COUNTIFS($B$6:$B$105,$B62,$C$6:$C$105,"&gt;"&amp;$C62,$N$6:$N$105,"&lt;&gt;Planned")+COUNTIFS($B63:$B$106,$B62,$C63:$C$106,$C62,$N63:$N$106,"&lt;&gt;Planned")=0,1,0))</f>
        <v/>
      </c>
      <c r="R62" s="22">
        <f>IF($Q62=1,$B62,"")</f>
        <v/>
      </c>
      <c r="S62" s="32">
        <f>IF($M62=0,0,IF(OR(TRIM($A62)="",COUNTIF($A$6:$A$105,$A62)&gt;1,TRIM($B62)="",AND($O62=0,$P62=0),NOT(ISNUMBER($C62)),AND($N62&lt;&gt;"Not run",OR(TRIM($K62)="",TRIM($D62)=""))),1,0))</f>
        <v/>
      </c>
      <c r="T62" s="32">
        <f>IF($M62=0,0,IF(TRIM($E62)="",IF(OR($N62="Passed",$N62="Failed"),1,0),IF(OR(SUMPRODUCT(--(TRIM(LEFT(Summary!$G$6:$G$13,FIND(" (",Summary!$G$6:$G$13&amp;" (")-1))=TRIM(LEFT($E62,FIND(" (",$E62&amp;" (")-1))))&gt;0,TRIM(LEFT($E62,FIND(" (",$E62&amp;" (")-1))=TRIM(LEFT($D62,FIND(" (",$D62&amp;" (")-1))),1,0)))</f>
        <v/>
      </c>
      <c r="U62" s="32">
        <f>IF($M62=0,0,IF(OR($N62="Passed",$N62="Failed"),IF(OR(TRIM($G62)="",TRIM($H62)="",NOT(ISNUMBER($C62)),AND($N62="Failed",TRIM($I62)="")),1,IF($C62&gt;Summary!$B$12,1,0)),IF($N62="Not run",IF(TRIM($I62)="",1,0),IF(OR(TRIM($G62)&lt;&gt;"",TRIM($H62)&lt;&gt;""),1,0))))</f>
        <v/>
      </c>
      <c r="V62" s="32">
        <f>IF(OR($M62=0,$N62&lt;&gt;"Planned",NOT(ISNUMBER($C62))),0,IF($C62&lt;Summary!$B$12,1,0))</f>
        <v/>
      </c>
      <c r="W62" s="32">
        <f>IF(OR($M62=0,$O62=0,$N62="Not run",TRIM($L62)=""),0,IF(TRIM($L62)=TRIM(INDEX(Criteria!$D$6:$D$105,MATCH($B62,Criteria!$A$6:$A$105,0))),0,1))</f>
        <v/>
      </c>
      <c r="X62" s="32">
        <f>IF(OR($M62=0,$O62=0,$N62="Not run"),0,IF(OR(TRIM($L62)="",AND($N62="Planned",TRIM(INDEX(Criteria!$D$6:$D$105,MATCH($B62,Criteria!$A$6:$A$105,0)))="")),1,0))</f>
        <v/>
      </c>
    </row>
    <row r="63">
      <c r="A63" s="27" t="n"/>
      <c r="B63" s="27" t="n"/>
      <c r="C63" s="29" t="n"/>
      <c r="D63" s="28" t="n"/>
      <c r="E63" s="28" t="n"/>
      <c r="F63" s="27" t="n"/>
      <c r="G63" s="28" t="n"/>
      <c r="H63" s="28" t="n"/>
      <c r="I63" s="28" t="n"/>
      <c r="J63" s="19">
        <f>IF($M63=0,"",IF(SUM($S63:$X63)=0,"○ Clear",IF($S63=1,"△ Run, For, Date, Tested on or Run by missing or wrong",IF($X63=1,IF(AND($N63="Planned",TRIM(INDEX(Criteria!$D$6:$D$105,MATCH($B63,Criteria!$A$6:$A$105,0)))=""),"△ The criterion has no Pass line","△ Pass line used is blank"),IF($T63=1,"△ Checked by a builder, the runner or nobody",IF($U63=1,IF($N63="Planned","△ Result or File typed on a planned run",IF(AND(OR($N63="Passed",$N63="Failed"),TRIM($G63)&lt;&gt;"",TRIM($H63)&lt;&gt;"",ISNUMBER($C63),NOT(AND($N63="Failed",TRIM($I63)=""))),"△ Result dated after the date the checks use","△ Result, File or Reason missing")),IF($V63=1,"△ Planned day has passed, with no result","△ Pass line has changed since this run was planned")))))&amp;IF(SUM($S63:$X63)&gt;1,", and "&amp;(SUM($S63:$X63)-1)&amp;" more","")))</f>
        <v/>
      </c>
      <c r="K63" s="28" t="n"/>
      <c r="L63" s="28" t="n"/>
      <c r="M63" s="32">
        <f>IF(COUNTA($A63:$I63)+COUNTA($K63:$L63)&gt;0,1,0)</f>
        <v/>
      </c>
      <c r="N63" s="22">
        <f>IF($M63=0,"",IF($F63="","Planned",$F63))</f>
        <v/>
      </c>
      <c r="O63" s="32">
        <f>IF(OR($M63=0,TRIM($B63)=""),0,IF(COUNTIF(Criteria!$A$6:$A$105,$B63)&gt;0,1,0))</f>
        <v/>
      </c>
      <c r="P63" s="32">
        <f>IF(OR($M63=0,TRIM($B63)=""),0,IF(AND(LEN($B63)&gt;1,ISNUMBER(MATCH(LEFT($B63,1),{"R","I","A","X"},0)),ISNUMBER(VALUE(MID($B63,2,5)))),1,0))</f>
        <v/>
      </c>
      <c r="Q63" s="32">
        <f>IF(OR($M63=0,TRIM($B63)="",$N63="Planned"),0,IF(COUNTIFS($B$6:$B$105,$B63,$C$6:$C$105,"&gt;"&amp;$C63,$N$6:$N$105,"&lt;&gt;Planned")+COUNTIFS($B64:$B$106,$B63,$C64:$C$106,$C63,$N64:$N$106,"&lt;&gt;Planned")=0,1,0))</f>
        <v/>
      </c>
      <c r="R63" s="22">
        <f>IF($Q63=1,$B63,"")</f>
        <v/>
      </c>
      <c r="S63" s="32">
        <f>IF($M63=0,0,IF(OR(TRIM($A63)="",COUNTIF($A$6:$A$105,$A63)&gt;1,TRIM($B63)="",AND($O63=0,$P63=0),NOT(ISNUMBER($C63)),AND($N63&lt;&gt;"Not run",OR(TRIM($K63)="",TRIM($D63)=""))),1,0))</f>
        <v/>
      </c>
      <c r="T63" s="32">
        <f>IF($M63=0,0,IF(TRIM($E63)="",IF(OR($N63="Passed",$N63="Failed"),1,0),IF(OR(SUMPRODUCT(--(TRIM(LEFT(Summary!$G$6:$G$13,FIND(" (",Summary!$G$6:$G$13&amp;" (")-1))=TRIM(LEFT($E63,FIND(" (",$E63&amp;" (")-1))))&gt;0,TRIM(LEFT($E63,FIND(" (",$E63&amp;" (")-1))=TRIM(LEFT($D63,FIND(" (",$D63&amp;" (")-1))),1,0)))</f>
        <v/>
      </c>
      <c r="U63" s="32">
        <f>IF($M63=0,0,IF(OR($N63="Passed",$N63="Failed"),IF(OR(TRIM($G63)="",TRIM($H63)="",NOT(ISNUMBER($C63)),AND($N63="Failed",TRIM($I63)="")),1,IF($C63&gt;Summary!$B$12,1,0)),IF($N63="Not run",IF(TRIM($I63)="",1,0),IF(OR(TRIM($G63)&lt;&gt;"",TRIM($H63)&lt;&gt;""),1,0))))</f>
        <v/>
      </c>
      <c r="V63" s="32">
        <f>IF(OR($M63=0,$N63&lt;&gt;"Planned",NOT(ISNUMBER($C63))),0,IF($C63&lt;Summary!$B$12,1,0))</f>
        <v/>
      </c>
      <c r="W63" s="32">
        <f>IF(OR($M63=0,$O63=0,$N63="Not run",TRIM($L63)=""),0,IF(TRIM($L63)=TRIM(INDEX(Criteria!$D$6:$D$105,MATCH($B63,Criteria!$A$6:$A$105,0))),0,1))</f>
        <v/>
      </c>
      <c r="X63" s="32">
        <f>IF(OR($M63=0,$O63=0,$N63="Not run"),0,IF(OR(TRIM($L63)="",AND($N63="Planned",TRIM(INDEX(Criteria!$D$6:$D$105,MATCH($B63,Criteria!$A$6:$A$105,0)))="")),1,0))</f>
        <v/>
      </c>
    </row>
    <row r="64">
      <c r="A64" s="27" t="n"/>
      <c r="B64" s="27" t="n"/>
      <c r="C64" s="29" t="n"/>
      <c r="D64" s="28" t="n"/>
      <c r="E64" s="28" t="n"/>
      <c r="F64" s="27" t="n"/>
      <c r="G64" s="28" t="n"/>
      <c r="H64" s="28" t="n"/>
      <c r="I64" s="28" t="n"/>
      <c r="J64" s="19">
        <f>IF($M64=0,"",IF(SUM($S64:$X64)=0,"○ Clear",IF($S64=1,"△ Run, For, Date, Tested on or Run by missing or wrong",IF($X64=1,IF(AND($N64="Planned",TRIM(INDEX(Criteria!$D$6:$D$105,MATCH($B64,Criteria!$A$6:$A$105,0)))=""),"△ The criterion has no Pass line","△ Pass line used is blank"),IF($T64=1,"△ Checked by a builder, the runner or nobody",IF($U64=1,IF($N64="Planned","△ Result or File typed on a planned run",IF(AND(OR($N64="Passed",$N64="Failed"),TRIM($G64)&lt;&gt;"",TRIM($H64)&lt;&gt;"",ISNUMBER($C64),NOT(AND($N64="Failed",TRIM($I64)=""))),"△ Result dated after the date the checks use","△ Result, File or Reason missing")),IF($V64=1,"△ Planned day has passed, with no result","△ Pass line has changed since this run was planned")))))&amp;IF(SUM($S64:$X64)&gt;1,", and "&amp;(SUM($S64:$X64)-1)&amp;" more","")))</f>
        <v/>
      </c>
      <c r="K64" s="28" t="n"/>
      <c r="L64" s="28" t="n"/>
      <c r="M64" s="32">
        <f>IF(COUNTA($A64:$I64)+COUNTA($K64:$L64)&gt;0,1,0)</f>
        <v/>
      </c>
      <c r="N64" s="22">
        <f>IF($M64=0,"",IF($F64="","Planned",$F64))</f>
        <v/>
      </c>
      <c r="O64" s="32">
        <f>IF(OR($M64=0,TRIM($B64)=""),0,IF(COUNTIF(Criteria!$A$6:$A$105,$B64)&gt;0,1,0))</f>
        <v/>
      </c>
      <c r="P64" s="32">
        <f>IF(OR($M64=0,TRIM($B64)=""),0,IF(AND(LEN($B64)&gt;1,ISNUMBER(MATCH(LEFT($B64,1),{"R","I","A","X"},0)),ISNUMBER(VALUE(MID($B64,2,5)))),1,0))</f>
        <v/>
      </c>
      <c r="Q64" s="32">
        <f>IF(OR($M64=0,TRIM($B64)="",$N64="Planned"),0,IF(COUNTIFS($B$6:$B$105,$B64,$C$6:$C$105,"&gt;"&amp;$C64,$N$6:$N$105,"&lt;&gt;Planned")+COUNTIFS($B65:$B$106,$B64,$C65:$C$106,$C64,$N65:$N$106,"&lt;&gt;Planned")=0,1,0))</f>
        <v/>
      </c>
      <c r="R64" s="22">
        <f>IF($Q64=1,$B64,"")</f>
        <v/>
      </c>
      <c r="S64" s="32">
        <f>IF($M64=0,0,IF(OR(TRIM($A64)="",COUNTIF($A$6:$A$105,$A64)&gt;1,TRIM($B64)="",AND($O64=0,$P64=0),NOT(ISNUMBER($C64)),AND($N64&lt;&gt;"Not run",OR(TRIM($K64)="",TRIM($D64)=""))),1,0))</f>
        <v/>
      </c>
      <c r="T64" s="32">
        <f>IF($M64=0,0,IF(TRIM($E64)="",IF(OR($N64="Passed",$N64="Failed"),1,0),IF(OR(SUMPRODUCT(--(TRIM(LEFT(Summary!$G$6:$G$13,FIND(" (",Summary!$G$6:$G$13&amp;" (")-1))=TRIM(LEFT($E64,FIND(" (",$E64&amp;" (")-1))))&gt;0,TRIM(LEFT($E64,FIND(" (",$E64&amp;" (")-1))=TRIM(LEFT($D64,FIND(" (",$D64&amp;" (")-1))),1,0)))</f>
        <v/>
      </c>
      <c r="U64" s="32">
        <f>IF($M64=0,0,IF(OR($N64="Passed",$N64="Failed"),IF(OR(TRIM($G64)="",TRIM($H64)="",NOT(ISNUMBER($C64)),AND($N64="Failed",TRIM($I64)="")),1,IF($C64&gt;Summary!$B$12,1,0)),IF($N64="Not run",IF(TRIM($I64)="",1,0),IF(OR(TRIM($G64)&lt;&gt;"",TRIM($H64)&lt;&gt;""),1,0))))</f>
        <v/>
      </c>
      <c r="V64" s="32">
        <f>IF(OR($M64=0,$N64&lt;&gt;"Planned",NOT(ISNUMBER($C64))),0,IF($C64&lt;Summary!$B$12,1,0))</f>
        <v/>
      </c>
      <c r="W64" s="32">
        <f>IF(OR($M64=0,$O64=0,$N64="Not run",TRIM($L64)=""),0,IF(TRIM($L64)=TRIM(INDEX(Criteria!$D$6:$D$105,MATCH($B64,Criteria!$A$6:$A$105,0))),0,1))</f>
        <v/>
      </c>
      <c r="X64" s="32">
        <f>IF(OR($M64=0,$O64=0,$N64="Not run"),0,IF(OR(TRIM($L64)="",AND($N64="Planned",TRIM(INDEX(Criteria!$D$6:$D$105,MATCH($B64,Criteria!$A$6:$A$105,0)))="")),1,0))</f>
        <v/>
      </c>
    </row>
    <row r="65">
      <c r="A65" s="27" t="n"/>
      <c r="B65" s="27" t="n"/>
      <c r="C65" s="29" t="n"/>
      <c r="D65" s="28" t="n"/>
      <c r="E65" s="28" t="n"/>
      <c r="F65" s="27" t="n"/>
      <c r="G65" s="28" t="n"/>
      <c r="H65" s="28" t="n"/>
      <c r="I65" s="28" t="n"/>
      <c r="J65" s="19">
        <f>IF($M65=0,"",IF(SUM($S65:$X65)=0,"○ Clear",IF($S65=1,"△ Run, For, Date, Tested on or Run by missing or wrong",IF($X65=1,IF(AND($N65="Planned",TRIM(INDEX(Criteria!$D$6:$D$105,MATCH($B65,Criteria!$A$6:$A$105,0)))=""),"△ The criterion has no Pass line","△ Pass line used is blank"),IF($T65=1,"△ Checked by a builder, the runner or nobody",IF($U65=1,IF($N65="Planned","△ Result or File typed on a planned run",IF(AND(OR($N65="Passed",$N65="Failed"),TRIM($G65)&lt;&gt;"",TRIM($H65)&lt;&gt;"",ISNUMBER($C65),NOT(AND($N65="Failed",TRIM($I65)=""))),"△ Result dated after the date the checks use","△ Result, File or Reason missing")),IF($V65=1,"△ Planned day has passed, with no result","△ Pass line has changed since this run was planned")))))&amp;IF(SUM($S65:$X65)&gt;1,", and "&amp;(SUM($S65:$X65)-1)&amp;" more","")))</f>
        <v/>
      </c>
      <c r="K65" s="28" t="n"/>
      <c r="L65" s="28" t="n"/>
      <c r="M65" s="32">
        <f>IF(COUNTA($A65:$I65)+COUNTA($K65:$L65)&gt;0,1,0)</f>
        <v/>
      </c>
      <c r="N65" s="22">
        <f>IF($M65=0,"",IF($F65="","Planned",$F65))</f>
        <v/>
      </c>
      <c r="O65" s="32">
        <f>IF(OR($M65=0,TRIM($B65)=""),0,IF(COUNTIF(Criteria!$A$6:$A$105,$B65)&gt;0,1,0))</f>
        <v/>
      </c>
      <c r="P65" s="32">
        <f>IF(OR($M65=0,TRIM($B65)=""),0,IF(AND(LEN($B65)&gt;1,ISNUMBER(MATCH(LEFT($B65,1),{"R","I","A","X"},0)),ISNUMBER(VALUE(MID($B65,2,5)))),1,0))</f>
        <v/>
      </c>
      <c r="Q65" s="32">
        <f>IF(OR($M65=0,TRIM($B65)="",$N65="Planned"),0,IF(COUNTIFS($B$6:$B$105,$B65,$C$6:$C$105,"&gt;"&amp;$C65,$N$6:$N$105,"&lt;&gt;Planned")+COUNTIFS($B66:$B$106,$B65,$C66:$C$106,$C65,$N66:$N$106,"&lt;&gt;Planned")=0,1,0))</f>
        <v/>
      </c>
      <c r="R65" s="22">
        <f>IF($Q65=1,$B65,"")</f>
        <v/>
      </c>
      <c r="S65" s="32">
        <f>IF($M65=0,0,IF(OR(TRIM($A65)="",COUNTIF($A$6:$A$105,$A65)&gt;1,TRIM($B65)="",AND($O65=0,$P65=0),NOT(ISNUMBER($C65)),AND($N65&lt;&gt;"Not run",OR(TRIM($K65)="",TRIM($D65)=""))),1,0))</f>
        <v/>
      </c>
      <c r="T65" s="32">
        <f>IF($M65=0,0,IF(TRIM($E65)="",IF(OR($N65="Passed",$N65="Failed"),1,0),IF(OR(SUMPRODUCT(--(TRIM(LEFT(Summary!$G$6:$G$13,FIND(" (",Summary!$G$6:$G$13&amp;" (")-1))=TRIM(LEFT($E65,FIND(" (",$E65&amp;" (")-1))))&gt;0,TRIM(LEFT($E65,FIND(" (",$E65&amp;" (")-1))=TRIM(LEFT($D65,FIND(" (",$D65&amp;" (")-1))),1,0)))</f>
        <v/>
      </c>
      <c r="U65" s="32">
        <f>IF($M65=0,0,IF(OR($N65="Passed",$N65="Failed"),IF(OR(TRIM($G65)="",TRIM($H65)="",NOT(ISNUMBER($C65)),AND($N65="Failed",TRIM($I65)="")),1,IF($C65&gt;Summary!$B$12,1,0)),IF($N65="Not run",IF(TRIM($I65)="",1,0),IF(OR(TRIM($G65)&lt;&gt;"",TRIM($H65)&lt;&gt;""),1,0))))</f>
        <v/>
      </c>
      <c r="V65" s="32">
        <f>IF(OR($M65=0,$N65&lt;&gt;"Planned",NOT(ISNUMBER($C65))),0,IF($C65&lt;Summary!$B$12,1,0))</f>
        <v/>
      </c>
      <c r="W65" s="32">
        <f>IF(OR($M65=0,$O65=0,$N65="Not run",TRIM($L65)=""),0,IF(TRIM($L65)=TRIM(INDEX(Criteria!$D$6:$D$105,MATCH($B65,Criteria!$A$6:$A$105,0))),0,1))</f>
        <v/>
      </c>
      <c r="X65" s="32">
        <f>IF(OR($M65=0,$O65=0,$N65="Not run"),0,IF(OR(TRIM($L65)="",AND($N65="Planned",TRIM(INDEX(Criteria!$D$6:$D$105,MATCH($B65,Criteria!$A$6:$A$105,0)))="")),1,0))</f>
        <v/>
      </c>
    </row>
    <row r="66">
      <c r="A66" s="27" t="n"/>
      <c r="B66" s="27" t="n"/>
      <c r="C66" s="29" t="n"/>
      <c r="D66" s="28" t="n"/>
      <c r="E66" s="28" t="n"/>
      <c r="F66" s="27" t="n"/>
      <c r="G66" s="28" t="n"/>
      <c r="H66" s="28" t="n"/>
      <c r="I66" s="28" t="n"/>
      <c r="J66" s="19">
        <f>IF($M66=0,"",IF(SUM($S66:$X66)=0,"○ Clear",IF($S66=1,"△ Run, For, Date, Tested on or Run by missing or wrong",IF($X66=1,IF(AND($N66="Planned",TRIM(INDEX(Criteria!$D$6:$D$105,MATCH($B66,Criteria!$A$6:$A$105,0)))=""),"△ The criterion has no Pass line","△ Pass line used is blank"),IF($T66=1,"△ Checked by a builder, the runner or nobody",IF($U66=1,IF($N66="Planned","△ Result or File typed on a planned run",IF(AND(OR($N66="Passed",$N66="Failed"),TRIM($G66)&lt;&gt;"",TRIM($H66)&lt;&gt;"",ISNUMBER($C66),NOT(AND($N66="Failed",TRIM($I66)=""))),"△ Result dated after the date the checks use","△ Result, File or Reason missing")),IF($V66=1,"△ Planned day has passed, with no result","△ Pass line has changed since this run was planned")))))&amp;IF(SUM($S66:$X66)&gt;1,", and "&amp;(SUM($S66:$X66)-1)&amp;" more","")))</f>
        <v/>
      </c>
      <c r="K66" s="28" t="n"/>
      <c r="L66" s="28" t="n"/>
      <c r="M66" s="32">
        <f>IF(COUNTA($A66:$I66)+COUNTA($K66:$L66)&gt;0,1,0)</f>
        <v/>
      </c>
      <c r="N66" s="22">
        <f>IF($M66=0,"",IF($F66="","Planned",$F66))</f>
        <v/>
      </c>
      <c r="O66" s="32">
        <f>IF(OR($M66=0,TRIM($B66)=""),0,IF(COUNTIF(Criteria!$A$6:$A$105,$B66)&gt;0,1,0))</f>
        <v/>
      </c>
      <c r="P66" s="32">
        <f>IF(OR($M66=0,TRIM($B66)=""),0,IF(AND(LEN($B66)&gt;1,ISNUMBER(MATCH(LEFT($B66,1),{"R","I","A","X"},0)),ISNUMBER(VALUE(MID($B66,2,5)))),1,0))</f>
        <v/>
      </c>
      <c r="Q66" s="32">
        <f>IF(OR($M66=0,TRIM($B66)="",$N66="Planned"),0,IF(COUNTIFS($B$6:$B$105,$B66,$C$6:$C$105,"&gt;"&amp;$C66,$N$6:$N$105,"&lt;&gt;Planned")+COUNTIFS($B67:$B$106,$B66,$C67:$C$106,$C66,$N67:$N$106,"&lt;&gt;Planned")=0,1,0))</f>
        <v/>
      </c>
      <c r="R66" s="22">
        <f>IF($Q66=1,$B66,"")</f>
        <v/>
      </c>
      <c r="S66" s="32">
        <f>IF($M66=0,0,IF(OR(TRIM($A66)="",COUNTIF($A$6:$A$105,$A66)&gt;1,TRIM($B66)="",AND($O66=0,$P66=0),NOT(ISNUMBER($C66)),AND($N66&lt;&gt;"Not run",OR(TRIM($K66)="",TRIM($D66)=""))),1,0))</f>
        <v/>
      </c>
      <c r="T66" s="32">
        <f>IF($M66=0,0,IF(TRIM($E66)="",IF(OR($N66="Passed",$N66="Failed"),1,0),IF(OR(SUMPRODUCT(--(TRIM(LEFT(Summary!$G$6:$G$13,FIND(" (",Summary!$G$6:$G$13&amp;" (")-1))=TRIM(LEFT($E66,FIND(" (",$E66&amp;" (")-1))))&gt;0,TRIM(LEFT($E66,FIND(" (",$E66&amp;" (")-1))=TRIM(LEFT($D66,FIND(" (",$D66&amp;" (")-1))),1,0)))</f>
        <v/>
      </c>
      <c r="U66" s="32">
        <f>IF($M66=0,0,IF(OR($N66="Passed",$N66="Failed"),IF(OR(TRIM($G66)="",TRIM($H66)="",NOT(ISNUMBER($C66)),AND($N66="Failed",TRIM($I66)="")),1,IF($C66&gt;Summary!$B$12,1,0)),IF($N66="Not run",IF(TRIM($I66)="",1,0),IF(OR(TRIM($G66)&lt;&gt;"",TRIM($H66)&lt;&gt;""),1,0))))</f>
        <v/>
      </c>
      <c r="V66" s="32">
        <f>IF(OR($M66=0,$N66&lt;&gt;"Planned",NOT(ISNUMBER($C66))),0,IF($C66&lt;Summary!$B$12,1,0))</f>
        <v/>
      </c>
      <c r="W66" s="32">
        <f>IF(OR($M66=0,$O66=0,$N66="Not run",TRIM($L66)=""),0,IF(TRIM($L66)=TRIM(INDEX(Criteria!$D$6:$D$105,MATCH($B66,Criteria!$A$6:$A$105,0))),0,1))</f>
        <v/>
      </c>
      <c r="X66" s="32">
        <f>IF(OR($M66=0,$O66=0,$N66="Not run"),0,IF(OR(TRIM($L66)="",AND($N66="Planned",TRIM(INDEX(Criteria!$D$6:$D$105,MATCH($B66,Criteria!$A$6:$A$105,0)))="")),1,0))</f>
        <v/>
      </c>
    </row>
    <row r="67">
      <c r="A67" s="27" t="n"/>
      <c r="B67" s="27" t="n"/>
      <c r="C67" s="29" t="n"/>
      <c r="D67" s="28" t="n"/>
      <c r="E67" s="28" t="n"/>
      <c r="F67" s="27" t="n"/>
      <c r="G67" s="28" t="n"/>
      <c r="H67" s="28" t="n"/>
      <c r="I67" s="28" t="n"/>
      <c r="J67" s="19">
        <f>IF($M67=0,"",IF(SUM($S67:$X67)=0,"○ Clear",IF($S67=1,"△ Run, For, Date, Tested on or Run by missing or wrong",IF($X67=1,IF(AND($N67="Planned",TRIM(INDEX(Criteria!$D$6:$D$105,MATCH($B67,Criteria!$A$6:$A$105,0)))=""),"△ The criterion has no Pass line","△ Pass line used is blank"),IF($T67=1,"△ Checked by a builder, the runner or nobody",IF($U67=1,IF($N67="Planned","△ Result or File typed on a planned run",IF(AND(OR($N67="Passed",$N67="Failed"),TRIM($G67)&lt;&gt;"",TRIM($H67)&lt;&gt;"",ISNUMBER($C67),NOT(AND($N67="Failed",TRIM($I67)=""))),"△ Result dated after the date the checks use","△ Result, File or Reason missing")),IF($V67=1,"△ Planned day has passed, with no result","△ Pass line has changed since this run was planned")))))&amp;IF(SUM($S67:$X67)&gt;1,", and "&amp;(SUM($S67:$X67)-1)&amp;" more","")))</f>
        <v/>
      </c>
      <c r="K67" s="28" t="n"/>
      <c r="L67" s="28" t="n"/>
      <c r="M67" s="32">
        <f>IF(COUNTA($A67:$I67)+COUNTA($K67:$L67)&gt;0,1,0)</f>
        <v/>
      </c>
      <c r="N67" s="22">
        <f>IF($M67=0,"",IF($F67="","Planned",$F67))</f>
        <v/>
      </c>
      <c r="O67" s="32">
        <f>IF(OR($M67=0,TRIM($B67)=""),0,IF(COUNTIF(Criteria!$A$6:$A$105,$B67)&gt;0,1,0))</f>
        <v/>
      </c>
      <c r="P67" s="32">
        <f>IF(OR($M67=0,TRIM($B67)=""),0,IF(AND(LEN($B67)&gt;1,ISNUMBER(MATCH(LEFT($B67,1),{"R","I","A","X"},0)),ISNUMBER(VALUE(MID($B67,2,5)))),1,0))</f>
        <v/>
      </c>
      <c r="Q67" s="32">
        <f>IF(OR($M67=0,TRIM($B67)="",$N67="Planned"),0,IF(COUNTIFS($B$6:$B$105,$B67,$C$6:$C$105,"&gt;"&amp;$C67,$N$6:$N$105,"&lt;&gt;Planned")+COUNTIFS($B68:$B$106,$B67,$C68:$C$106,$C67,$N68:$N$106,"&lt;&gt;Planned")=0,1,0))</f>
        <v/>
      </c>
      <c r="R67" s="22">
        <f>IF($Q67=1,$B67,"")</f>
        <v/>
      </c>
      <c r="S67" s="32">
        <f>IF($M67=0,0,IF(OR(TRIM($A67)="",COUNTIF($A$6:$A$105,$A67)&gt;1,TRIM($B67)="",AND($O67=0,$P67=0),NOT(ISNUMBER($C67)),AND($N67&lt;&gt;"Not run",OR(TRIM($K67)="",TRIM($D67)=""))),1,0))</f>
        <v/>
      </c>
      <c r="T67" s="32">
        <f>IF($M67=0,0,IF(TRIM($E67)="",IF(OR($N67="Passed",$N67="Failed"),1,0),IF(OR(SUMPRODUCT(--(TRIM(LEFT(Summary!$G$6:$G$13,FIND(" (",Summary!$G$6:$G$13&amp;" (")-1))=TRIM(LEFT($E67,FIND(" (",$E67&amp;" (")-1))))&gt;0,TRIM(LEFT($E67,FIND(" (",$E67&amp;" (")-1))=TRIM(LEFT($D67,FIND(" (",$D67&amp;" (")-1))),1,0)))</f>
        <v/>
      </c>
      <c r="U67" s="32">
        <f>IF($M67=0,0,IF(OR($N67="Passed",$N67="Failed"),IF(OR(TRIM($G67)="",TRIM($H67)="",NOT(ISNUMBER($C67)),AND($N67="Failed",TRIM($I67)="")),1,IF($C67&gt;Summary!$B$12,1,0)),IF($N67="Not run",IF(TRIM($I67)="",1,0),IF(OR(TRIM($G67)&lt;&gt;"",TRIM($H67)&lt;&gt;""),1,0))))</f>
        <v/>
      </c>
      <c r="V67" s="32">
        <f>IF(OR($M67=0,$N67&lt;&gt;"Planned",NOT(ISNUMBER($C67))),0,IF($C67&lt;Summary!$B$12,1,0))</f>
        <v/>
      </c>
      <c r="W67" s="32">
        <f>IF(OR($M67=0,$O67=0,$N67="Not run",TRIM($L67)=""),0,IF(TRIM($L67)=TRIM(INDEX(Criteria!$D$6:$D$105,MATCH($B67,Criteria!$A$6:$A$105,0))),0,1))</f>
        <v/>
      </c>
      <c r="X67" s="32">
        <f>IF(OR($M67=0,$O67=0,$N67="Not run"),0,IF(OR(TRIM($L67)="",AND($N67="Planned",TRIM(INDEX(Criteria!$D$6:$D$105,MATCH($B67,Criteria!$A$6:$A$105,0)))="")),1,0))</f>
        <v/>
      </c>
    </row>
    <row r="68">
      <c r="A68" s="27" t="n"/>
      <c r="B68" s="27" t="n"/>
      <c r="C68" s="29" t="n"/>
      <c r="D68" s="28" t="n"/>
      <c r="E68" s="28" t="n"/>
      <c r="F68" s="27" t="n"/>
      <c r="G68" s="28" t="n"/>
      <c r="H68" s="28" t="n"/>
      <c r="I68" s="28" t="n"/>
      <c r="J68" s="19">
        <f>IF($M68=0,"",IF(SUM($S68:$X68)=0,"○ Clear",IF($S68=1,"△ Run, For, Date, Tested on or Run by missing or wrong",IF($X68=1,IF(AND($N68="Planned",TRIM(INDEX(Criteria!$D$6:$D$105,MATCH($B68,Criteria!$A$6:$A$105,0)))=""),"△ The criterion has no Pass line","△ Pass line used is blank"),IF($T68=1,"△ Checked by a builder, the runner or nobody",IF($U68=1,IF($N68="Planned","△ Result or File typed on a planned run",IF(AND(OR($N68="Passed",$N68="Failed"),TRIM($G68)&lt;&gt;"",TRIM($H68)&lt;&gt;"",ISNUMBER($C68),NOT(AND($N68="Failed",TRIM($I68)=""))),"△ Result dated after the date the checks use","△ Result, File or Reason missing")),IF($V68=1,"△ Planned day has passed, with no result","△ Pass line has changed since this run was planned")))))&amp;IF(SUM($S68:$X68)&gt;1,", and "&amp;(SUM($S68:$X68)-1)&amp;" more","")))</f>
        <v/>
      </c>
      <c r="K68" s="28" t="n"/>
      <c r="L68" s="28" t="n"/>
      <c r="M68" s="32">
        <f>IF(COUNTA($A68:$I68)+COUNTA($K68:$L68)&gt;0,1,0)</f>
        <v/>
      </c>
      <c r="N68" s="22">
        <f>IF($M68=0,"",IF($F68="","Planned",$F68))</f>
        <v/>
      </c>
      <c r="O68" s="32">
        <f>IF(OR($M68=0,TRIM($B68)=""),0,IF(COUNTIF(Criteria!$A$6:$A$105,$B68)&gt;0,1,0))</f>
        <v/>
      </c>
      <c r="P68" s="32">
        <f>IF(OR($M68=0,TRIM($B68)=""),0,IF(AND(LEN($B68)&gt;1,ISNUMBER(MATCH(LEFT($B68,1),{"R","I","A","X"},0)),ISNUMBER(VALUE(MID($B68,2,5)))),1,0))</f>
        <v/>
      </c>
      <c r="Q68" s="32">
        <f>IF(OR($M68=0,TRIM($B68)="",$N68="Planned"),0,IF(COUNTIFS($B$6:$B$105,$B68,$C$6:$C$105,"&gt;"&amp;$C68,$N$6:$N$105,"&lt;&gt;Planned")+COUNTIFS($B69:$B$106,$B68,$C69:$C$106,$C68,$N69:$N$106,"&lt;&gt;Planned")=0,1,0))</f>
        <v/>
      </c>
      <c r="R68" s="22">
        <f>IF($Q68=1,$B68,"")</f>
        <v/>
      </c>
      <c r="S68" s="32">
        <f>IF($M68=0,0,IF(OR(TRIM($A68)="",COUNTIF($A$6:$A$105,$A68)&gt;1,TRIM($B68)="",AND($O68=0,$P68=0),NOT(ISNUMBER($C68)),AND($N68&lt;&gt;"Not run",OR(TRIM($K68)="",TRIM($D68)=""))),1,0))</f>
        <v/>
      </c>
      <c r="T68" s="32">
        <f>IF($M68=0,0,IF(TRIM($E68)="",IF(OR($N68="Passed",$N68="Failed"),1,0),IF(OR(SUMPRODUCT(--(TRIM(LEFT(Summary!$G$6:$G$13,FIND(" (",Summary!$G$6:$G$13&amp;" (")-1))=TRIM(LEFT($E68,FIND(" (",$E68&amp;" (")-1))))&gt;0,TRIM(LEFT($E68,FIND(" (",$E68&amp;" (")-1))=TRIM(LEFT($D68,FIND(" (",$D68&amp;" (")-1))),1,0)))</f>
        <v/>
      </c>
      <c r="U68" s="32">
        <f>IF($M68=0,0,IF(OR($N68="Passed",$N68="Failed"),IF(OR(TRIM($G68)="",TRIM($H68)="",NOT(ISNUMBER($C68)),AND($N68="Failed",TRIM($I68)="")),1,IF($C68&gt;Summary!$B$12,1,0)),IF($N68="Not run",IF(TRIM($I68)="",1,0),IF(OR(TRIM($G68)&lt;&gt;"",TRIM($H68)&lt;&gt;""),1,0))))</f>
        <v/>
      </c>
      <c r="V68" s="32">
        <f>IF(OR($M68=0,$N68&lt;&gt;"Planned",NOT(ISNUMBER($C68))),0,IF($C68&lt;Summary!$B$12,1,0))</f>
        <v/>
      </c>
      <c r="W68" s="32">
        <f>IF(OR($M68=0,$O68=0,$N68="Not run",TRIM($L68)=""),0,IF(TRIM($L68)=TRIM(INDEX(Criteria!$D$6:$D$105,MATCH($B68,Criteria!$A$6:$A$105,0))),0,1))</f>
        <v/>
      </c>
      <c r="X68" s="32">
        <f>IF(OR($M68=0,$O68=0,$N68="Not run"),0,IF(OR(TRIM($L68)="",AND($N68="Planned",TRIM(INDEX(Criteria!$D$6:$D$105,MATCH($B68,Criteria!$A$6:$A$105,0)))="")),1,0))</f>
        <v/>
      </c>
    </row>
    <row r="69">
      <c r="A69" s="27" t="n"/>
      <c r="B69" s="27" t="n"/>
      <c r="C69" s="29" t="n"/>
      <c r="D69" s="28" t="n"/>
      <c r="E69" s="28" t="n"/>
      <c r="F69" s="27" t="n"/>
      <c r="G69" s="28" t="n"/>
      <c r="H69" s="28" t="n"/>
      <c r="I69" s="28" t="n"/>
      <c r="J69" s="19">
        <f>IF($M69=0,"",IF(SUM($S69:$X69)=0,"○ Clear",IF($S69=1,"△ Run, For, Date, Tested on or Run by missing or wrong",IF($X69=1,IF(AND($N69="Planned",TRIM(INDEX(Criteria!$D$6:$D$105,MATCH($B69,Criteria!$A$6:$A$105,0)))=""),"△ The criterion has no Pass line","△ Pass line used is blank"),IF($T69=1,"△ Checked by a builder, the runner or nobody",IF($U69=1,IF($N69="Planned","△ Result or File typed on a planned run",IF(AND(OR($N69="Passed",$N69="Failed"),TRIM($G69)&lt;&gt;"",TRIM($H69)&lt;&gt;"",ISNUMBER($C69),NOT(AND($N69="Failed",TRIM($I69)=""))),"△ Result dated after the date the checks use","△ Result, File or Reason missing")),IF($V69=1,"△ Planned day has passed, with no result","△ Pass line has changed since this run was planned")))))&amp;IF(SUM($S69:$X69)&gt;1,", and "&amp;(SUM($S69:$X69)-1)&amp;" more","")))</f>
        <v/>
      </c>
      <c r="K69" s="28" t="n"/>
      <c r="L69" s="28" t="n"/>
      <c r="M69" s="32">
        <f>IF(COUNTA($A69:$I69)+COUNTA($K69:$L69)&gt;0,1,0)</f>
        <v/>
      </c>
      <c r="N69" s="22">
        <f>IF($M69=0,"",IF($F69="","Planned",$F69))</f>
        <v/>
      </c>
      <c r="O69" s="32">
        <f>IF(OR($M69=0,TRIM($B69)=""),0,IF(COUNTIF(Criteria!$A$6:$A$105,$B69)&gt;0,1,0))</f>
        <v/>
      </c>
      <c r="P69" s="32">
        <f>IF(OR($M69=0,TRIM($B69)=""),0,IF(AND(LEN($B69)&gt;1,ISNUMBER(MATCH(LEFT($B69,1),{"R","I","A","X"},0)),ISNUMBER(VALUE(MID($B69,2,5)))),1,0))</f>
        <v/>
      </c>
      <c r="Q69" s="32">
        <f>IF(OR($M69=0,TRIM($B69)="",$N69="Planned"),0,IF(COUNTIFS($B$6:$B$105,$B69,$C$6:$C$105,"&gt;"&amp;$C69,$N$6:$N$105,"&lt;&gt;Planned")+COUNTIFS($B70:$B$106,$B69,$C70:$C$106,$C69,$N70:$N$106,"&lt;&gt;Planned")=0,1,0))</f>
        <v/>
      </c>
      <c r="R69" s="22">
        <f>IF($Q69=1,$B69,"")</f>
        <v/>
      </c>
      <c r="S69" s="32">
        <f>IF($M69=0,0,IF(OR(TRIM($A69)="",COUNTIF($A$6:$A$105,$A69)&gt;1,TRIM($B69)="",AND($O69=0,$P69=0),NOT(ISNUMBER($C69)),AND($N69&lt;&gt;"Not run",OR(TRIM($K69)="",TRIM($D69)=""))),1,0))</f>
        <v/>
      </c>
      <c r="T69" s="32">
        <f>IF($M69=0,0,IF(TRIM($E69)="",IF(OR($N69="Passed",$N69="Failed"),1,0),IF(OR(SUMPRODUCT(--(TRIM(LEFT(Summary!$G$6:$G$13,FIND(" (",Summary!$G$6:$G$13&amp;" (")-1))=TRIM(LEFT($E69,FIND(" (",$E69&amp;" (")-1))))&gt;0,TRIM(LEFT($E69,FIND(" (",$E69&amp;" (")-1))=TRIM(LEFT($D69,FIND(" (",$D69&amp;" (")-1))),1,0)))</f>
        <v/>
      </c>
      <c r="U69" s="32">
        <f>IF($M69=0,0,IF(OR($N69="Passed",$N69="Failed"),IF(OR(TRIM($G69)="",TRIM($H69)="",NOT(ISNUMBER($C69)),AND($N69="Failed",TRIM($I69)="")),1,IF($C69&gt;Summary!$B$12,1,0)),IF($N69="Not run",IF(TRIM($I69)="",1,0),IF(OR(TRIM($G69)&lt;&gt;"",TRIM($H69)&lt;&gt;""),1,0))))</f>
        <v/>
      </c>
      <c r="V69" s="32">
        <f>IF(OR($M69=0,$N69&lt;&gt;"Planned",NOT(ISNUMBER($C69))),0,IF($C69&lt;Summary!$B$12,1,0))</f>
        <v/>
      </c>
      <c r="W69" s="32">
        <f>IF(OR($M69=0,$O69=0,$N69="Not run",TRIM($L69)=""),0,IF(TRIM($L69)=TRIM(INDEX(Criteria!$D$6:$D$105,MATCH($B69,Criteria!$A$6:$A$105,0))),0,1))</f>
        <v/>
      </c>
      <c r="X69" s="32">
        <f>IF(OR($M69=0,$O69=0,$N69="Not run"),0,IF(OR(TRIM($L69)="",AND($N69="Planned",TRIM(INDEX(Criteria!$D$6:$D$105,MATCH($B69,Criteria!$A$6:$A$105,0)))="")),1,0))</f>
        <v/>
      </c>
    </row>
    <row r="70">
      <c r="A70" s="27" t="n"/>
      <c r="B70" s="27" t="n"/>
      <c r="C70" s="29" t="n"/>
      <c r="D70" s="28" t="n"/>
      <c r="E70" s="28" t="n"/>
      <c r="F70" s="27" t="n"/>
      <c r="G70" s="28" t="n"/>
      <c r="H70" s="28" t="n"/>
      <c r="I70" s="28" t="n"/>
      <c r="J70" s="19">
        <f>IF($M70=0,"",IF(SUM($S70:$X70)=0,"○ Clear",IF($S70=1,"△ Run, For, Date, Tested on or Run by missing or wrong",IF($X70=1,IF(AND($N70="Planned",TRIM(INDEX(Criteria!$D$6:$D$105,MATCH($B70,Criteria!$A$6:$A$105,0)))=""),"△ The criterion has no Pass line","△ Pass line used is blank"),IF($T70=1,"△ Checked by a builder, the runner or nobody",IF($U70=1,IF($N70="Planned","△ Result or File typed on a planned run",IF(AND(OR($N70="Passed",$N70="Failed"),TRIM($G70)&lt;&gt;"",TRIM($H70)&lt;&gt;"",ISNUMBER($C70),NOT(AND($N70="Failed",TRIM($I70)=""))),"△ Result dated after the date the checks use","△ Result, File or Reason missing")),IF($V70=1,"△ Planned day has passed, with no result","△ Pass line has changed since this run was planned")))))&amp;IF(SUM($S70:$X70)&gt;1,", and "&amp;(SUM($S70:$X70)-1)&amp;" more","")))</f>
        <v/>
      </c>
      <c r="K70" s="28" t="n"/>
      <c r="L70" s="28" t="n"/>
      <c r="M70" s="32">
        <f>IF(COUNTA($A70:$I70)+COUNTA($K70:$L70)&gt;0,1,0)</f>
        <v/>
      </c>
      <c r="N70" s="22">
        <f>IF($M70=0,"",IF($F70="","Planned",$F70))</f>
        <v/>
      </c>
      <c r="O70" s="32">
        <f>IF(OR($M70=0,TRIM($B70)=""),0,IF(COUNTIF(Criteria!$A$6:$A$105,$B70)&gt;0,1,0))</f>
        <v/>
      </c>
      <c r="P70" s="32">
        <f>IF(OR($M70=0,TRIM($B70)=""),0,IF(AND(LEN($B70)&gt;1,ISNUMBER(MATCH(LEFT($B70,1),{"R","I","A","X"},0)),ISNUMBER(VALUE(MID($B70,2,5)))),1,0))</f>
        <v/>
      </c>
      <c r="Q70" s="32">
        <f>IF(OR($M70=0,TRIM($B70)="",$N70="Planned"),0,IF(COUNTIFS($B$6:$B$105,$B70,$C$6:$C$105,"&gt;"&amp;$C70,$N$6:$N$105,"&lt;&gt;Planned")+COUNTIFS($B71:$B$106,$B70,$C71:$C$106,$C70,$N71:$N$106,"&lt;&gt;Planned")=0,1,0))</f>
        <v/>
      </c>
      <c r="R70" s="22">
        <f>IF($Q70=1,$B70,"")</f>
        <v/>
      </c>
      <c r="S70" s="32">
        <f>IF($M70=0,0,IF(OR(TRIM($A70)="",COUNTIF($A$6:$A$105,$A70)&gt;1,TRIM($B70)="",AND($O70=0,$P70=0),NOT(ISNUMBER($C70)),AND($N70&lt;&gt;"Not run",OR(TRIM($K70)="",TRIM($D70)=""))),1,0))</f>
        <v/>
      </c>
      <c r="T70" s="32">
        <f>IF($M70=0,0,IF(TRIM($E70)="",IF(OR($N70="Passed",$N70="Failed"),1,0),IF(OR(SUMPRODUCT(--(TRIM(LEFT(Summary!$G$6:$G$13,FIND(" (",Summary!$G$6:$G$13&amp;" (")-1))=TRIM(LEFT($E70,FIND(" (",$E70&amp;" (")-1))))&gt;0,TRIM(LEFT($E70,FIND(" (",$E70&amp;" (")-1))=TRIM(LEFT($D70,FIND(" (",$D70&amp;" (")-1))),1,0)))</f>
        <v/>
      </c>
      <c r="U70" s="32">
        <f>IF($M70=0,0,IF(OR($N70="Passed",$N70="Failed"),IF(OR(TRIM($G70)="",TRIM($H70)="",NOT(ISNUMBER($C70)),AND($N70="Failed",TRIM($I70)="")),1,IF($C70&gt;Summary!$B$12,1,0)),IF($N70="Not run",IF(TRIM($I70)="",1,0),IF(OR(TRIM($G70)&lt;&gt;"",TRIM($H70)&lt;&gt;""),1,0))))</f>
        <v/>
      </c>
      <c r="V70" s="32">
        <f>IF(OR($M70=0,$N70&lt;&gt;"Planned",NOT(ISNUMBER($C70))),0,IF($C70&lt;Summary!$B$12,1,0))</f>
        <v/>
      </c>
      <c r="W70" s="32">
        <f>IF(OR($M70=0,$O70=0,$N70="Not run",TRIM($L70)=""),0,IF(TRIM($L70)=TRIM(INDEX(Criteria!$D$6:$D$105,MATCH($B70,Criteria!$A$6:$A$105,0))),0,1))</f>
        <v/>
      </c>
      <c r="X70" s="32">
        <f>IF(OR($M70=0,$O70=0,$N70="Not run"),0,IF(OR(TRIM($L70)="",AND($N70="Planned",TRIM(INDEX(Criteria!$D$6:$D$105,MATCH($B70,Criteria!$A$6:$A$105,0)))="")),1,0))</f>
        <v/>
      </c>
    </row>
    <row r="71">
      <c r="A71" s="27" t="n"/>
      <c r="B71" s="27" t="n"/>
      <c r="C71" s="29" t="n"/>
      <c r="D71" s="28" t="n"/>
      <c r="E71" s="28" t="n"/>
      <c r="F71" s="27" t="n"/>
      <c r="G71" s="28" t="n"/>
      <c r="H71" s="28" t="n"/>
      <c r="I71" s="28" t="n"/>
      <c r="J71" s="19">
        <f>IF($M71=0,"",IF(SUM($S71:$X71)=0,"○ Clear",IF($S71=1,"△ Run, For, Date, Tested on or Run by missing or wrong",IF($X71=1,IF(AND($N71="Planned",TRIM(INDEX(Criteria!$D$6:$D$105,MATCH($B71,Criteria!$A$6:$A$105,0)))=""),"△ The criterion has no Pass line","△ Pass line used is blank"),IF($T71=1,"△ Checked by a builder, the runner or nobody",IF($U71=1,IF($N71="Planned","△ Result or File typed on a planned run",IF(AND(OR($N71="Passed",$N71="Failed"),TRIM($G71)&lt;&gt;"",TRIM($H71)&lt;&gt;"",ISNUMBER($C71),NOT(AND($N71="Failed",TRIM($I71)=""))),"△ Result dated after the date the checks use","△ Result, File or Reason missing")),IF($V71=1,"△ Planned day has passed, with no result","△ Pass line has changed since this run was planned")))))&amp;IF(SUM($S71:$X71)&gt;1,", and "&amp;(SUM($S71:$X71)-1)&amp;" more","")))</f>
        <v/>
      </c>
      <c r="K71" s="28" t="n"/>
      <c r="L71" s="28" t="n"/>
      <c r="M71" s="32">
        <f>IF(COUNTA($A71:$I71)+COUNTA($K71:$L71)&gt;0,1,0)</f>
        <v/>
      </c>
      <c r="N71" s="22">
        <f>IF($M71=0,"",IF($F71="","Planned",$F71))</f>
        <v/>
      </c>
      <c r="O71" s="32">
        <f>IF(OR($M71=0,TRIM($B71)=""),0,IF(COUNTIF(Criteria!$A$6:$A$105,$B71)&gt;0,1,0))</f>
        <v/>
      </c>
      <c r="P71" s="32">
        <f>IF(OR($M71=0,TRIM($B71)=""),0,IF(AND(LEN($B71)&gt;1,ISNUMBER(MATCH(LEFT($B71,1),{"R","I","A","X"},0)),ISNUMBER(VALUE(MID($B71,2,5)))),1,0))</f>
        <v/>
      </c>
      <c r="Q71" s="32">
        <f>IF(OR($M71=0,TRIM($B71)="",$N71="Planned"),0,IF(COUNTIFS($B$6:$B$105,$B71,$C$6:$C$105,"&gt;"&amp;$C71,$N$6:$N$105,"&lt;&gt;Planned")+COUNTIFS($B72:$B$106,$B71,$C72:$C$106,$C71,$N72:$N$106,"&lt;&gt;Planned")=0,1,0))</f>
        <v/>
      </c>
      <c r="R71" s="22">
        <f>IF($Q71=1,$B71,"")</f>
        <v/>
      </c>
      <c r="S71" s="32">
        <f>IF($M71=0,0,IF(OR(TRIM($A71)="",COUNTIF($A$6:$A$105,$A71)&gt;1,TRIM($B71)="",AND($O71=0,$P71=0),NOT(ISNUMBER($C71)),AND($N71&lt;&gt;"Not run",OR(TRIM($K71)="",TRIM($D71)=""))),1,0))</f>
        <v/>
      </c>
      <c r="T71" s="32">
        <f>IF($M71=0,0,IF(TRIM($E71)="",IF(OR($N71="Passed",$N71="Failed"),1,0),IF(OR(SUMPRODUCT(--(TRIM(LEFT(Summary!$G$6:$G$13,FIND(" (",Summary!$G$6:$G$13&amp;" (")-1))=TRIM(LEFT($E71,FIND(" (",$E71&amp;" (")-1))))&gt;0,TRIM(LEFT($E71,FIND(" (",$E71&amp;" (")-1))=TRIM(LEFT($D71,FIND(" (",$D71&amp;" (")-1))),1,0)))</f>
        <v/>
      </c>
      <c r="U71" s="32">
        <f>IF($M71=0,0,IF(OR($N71="Passed",$N71="Failed"),IF(OR(TRIM($G71)="",TRIM($H71)="",NOT(ISNUMBER($C71)),AND($N71="Failed",TRIM($I71)="")),1,IF($C71&gt;Summary!$B$12,1,0)),IF($N71="Not run",IF(TRIM($I71)="",1,0),IF(OR(TRIM($G71)&lt;&gt;"",TRIM($H71)&lt;&gt;""),1,0))))</f>
        <v/>
      </c>
      <c r="V71" s="32">
        <f>IF(OR($M71=0,$N71&lt;&gt;"Planned",NOT(ISNUMBER($C71))),0,IF($C71&lt;Summary!$B$12,1,0))</f>
        <v/>
      </c>
      <c r="W71" s="32">
        <f>IF(OR($M71=0,$O71=0,$N71="Not run",TRIM($L71)=""),0,IF(TRIM($L71)=TRIM(INDEX(Criteria!$D$6:$D$105,MATCH($B71,Criteria!$A$6:$A$105,0))),0,1))</f>
        <v/>
      </c>
      <c r="X71" s="32">
        <f>IF(OR($M71=0,$O71=0,$N71="Not run"),0,IF(OR(TRIM($L71)="",AND($N71="Planned",TRIM(INDEX(Criteria!$D$6:$D$105,MATCH($B71,Criteria!$A$6:$A$105,0)))="")),1,0))</f>
        <v/>
      </c>
    </row>
    <row r="72">
      <c r="A72" s="27" t="n"/>
      <c r="B72" s="27" t="n"/>
      <c r="C72" s="29" t="n"/>
      <c r="D72" s="28" t="n"/>
      <c r="E72" s="28" t="n"/>
      <c r="F72" s="27" t="n"/>
      <c r="G72" s="28" t="n"/>
      <c r="H72" s="28" t="n"/>
      <c r="I72" s="28" t="n"/>
      <c r="J72" s="19">
        <f>IF($M72=0,"",IF(SUM($S72:$X72)=0,"○ Clear",IF($S72=1,"△ Run, For, Date, Tested on or Run by missing or wrong",IF($X72=1,IF(AND($N72="Planned",TRIM(INDEX(Criteria!$D$6:$D$105,MATCH($B72,Criteria!$A$6:$A$105,0)))=""),"△ The criterion has no Pass line","△ Pass line used is blank"),IF($T72=1,"△ Checked by a builder, the runner or nobody",IF($U72=1,IF($N72="Planned","△ Result or File typed on a planned run",IF(AND(OR($N72="Passed",$N72="Failed"),TRIM($G72)&lt;&gt;"",TRIM($H72)&lt;&gt;"",ISNUMBER($C72),NOT(AND($N72="Failed",TRIM($I72)=""))),"△ Result dated after the date the checks use","△ Result, File or Reason missing")),IF($V72=1,"△ Planned day has passed, with no result","△ Pass line has changed since this run was planned")))))&amp;IF(SUM($S72:$X72)&gt;1,", and "&amp;(SUM($S72:$X72)-1)&amp;" more","")))</f>
        <v/>
      </c>
      <c r="K72" s="28" t="n"/>
      <c r="L72" s="28" t="n"/>
      <c r="M72" s="32">
        <f>IF(COUNTA($A72:$I72)+COUNTA($K72:$L72)&gt;0,1,0)</f>
        <v/>
      </c>
      <c r="N72" s="22">
        <f>IF($M72=0,"",IF($F72="","Planned",$F72))</f>
        <v/>
      </c>
      <c r="O72" s="32">
        <f>IF(OR($M72=0,TRIM($B72)=""),0,IF(COUNTIF(Criteria!$A$6:$A$105,$B72)&gt;0,1,0))</f>
        <v/>
      </c>
      <c r="P72" s="32">
        <f>IF(OR($M72=0,TRIM($B72)=""),0,IF(AND(LEN($B72)&gt;1,ISNUMBER(MATCH(LEFT($B72,1),{"R","I","A","X"},0)),ISNUMBER(VALUE(MID($B72,2,5)))),1,0))</f>
        <v/>
      </c>
      <c r="Q72" s="32">
        <f>IF(OR($M72=0,TRIM($B72)="",$N72="Planned"),0,IF(COUNTIFS($B$6:$B$105,$B72,$C$6:$C$105,"&gt;"&amp;$C72,$N$6:$N$105,"&lt;&gt;Planned")+COUNTIFS($B73:$B$106,$B72,$C73:$C$106,$C72,$N73:$N$106,"&lt;&gt;Planned")=0,1,0))</f>
        <v/>
      </c>
      <c r="R72" s="22">
        <f>IF($Q72=1,$B72,"")</f>
        <v/>
      </c>
      <c r="S72" s="32">
        <f>IF($M72=0,0,IF(OR(TRIM($A72)="",COUNTIF($A$6:$A$105,$A72)&gt;1,TRIM($B72)="",AND($O72=0,$P72=0),NOT(ISNUMBER($C72)),AND($N72&lt;&gt;"Not run",OR(TRIM($K72)="",TRIM($D72)=""))),1,0))</f>
        <v/>
      </c>
      <c r="T72" s="32">
        <f>IF($M72=0,0,IF(TRIM($E72)="",IF(OR($N72="Passed",$N72="Failed"),1,0),IF(OR(SUMPRODUCT(--(TRIM(LEFT(Summary!$G$6:$G$13,FIND(" (",Summary!$G$6:$G$13&amp;" (")-1))=TRIM(LEFT($E72,FIND(" (",$E72&amp;" (")-1))))&gt;0,TRIM(LEFT($E72,FIND(" (",$E72&amp;" (")-1))=TRIM(LEFT($D72,FIND(" (",$D72&amp;" (")-1))),1,0)))</f>
        <v/>
      </c>
      <c r="U72" s="32">
        <f>IF($M72=0,0,IF(OR($N72="Passed",$N72="Failed"),IF(OR(TRIM($G72)="",TRIM($H72)="",NOT(ISNUMBER($C72)),AND($N72="Failed",TRIM($I72)="")),1,IF($C72&gt;Summary!$B$12,1,0)),IF($N72="Not run",IF(TRIM($I72)="",1,0),IF(OR(TRIM($G72)&lt;&gt;"",TRIM($H72)&lt;&gt;""),1,0))))</f>
        <v/>
      </c>
      <c r="V72" s="32">
        <f>IF(OR($M72=0,$N72&lt;&gt;"Planned",NOT(ISNUMBER($C72))),0,IF($C72&lt;Summary!$B$12,1,0))</f>
        <v/>
      </c>
      <c r="W72" s="32">
        <f>IF(OR($M72=0,$O72=0,$N72="Not run",TRIM($L72)=""),0,IF(TRIM($L72)=TRIM(INDEX(Criteria!$D$6:$D$105,MATCH($B72,Criteria!$A$6:$A$105,0))),0,1))</f>
        <v/>
      </c>
      <c r="X72" s="32">
        <f>IF(OR($M72=0,$O72=0,$N72="Not run"),0,IF(OR(TRIM($L72)="",AND($N72="Planned",TRIM(INDEX(Criteria!$D$6:$D$105,MATCH($B72,Criteria!$A$6:$A$105,0)))="")),1,0))</f>
        <v/>
      </c>
    </row>
    <row r="73">
      <c r="A73" s="27" t="n"/>
      <c r="B73" s="27" t="n"/>
      <c r="C73" s="29" t="n"/>
      <c r="D73" s="28" t="n"/>
      <c r="E73" s="28" t="n"/>
      <c r="F73" s="27" t="n"/>
      <c r="G73" s="28" t="n"/>
      <c r="H73" s="28" t="n"/>
      <c r="I73" s="28" t="n"/>
      <c r="J73" s="19">
        <f>IF($M73=0,"",IF(SUM($S73:$X73)=0,"○ Clear",IF($S73=1,"△ Run, For, Date, Tested on or Run by missing or wrong",IF($X73=1,IF(AND($N73="Planned",TRIM(INDEX(Criteria!$D$6:$D$105,MATCH($B73,Criteria!$A$6:$A$105,0)))=""),"△ The criterion has no Pass line","△ Pass line used is blank"),IF($T73=1,"△ Checked by a builder, the runner or nobody",IF($U73=1,IF($N73="Planned","△ Result or File typed on a planned run",IF(AND(OR($N73="Passed",$N73="Failed"),TRIM($G73)&lt;&gt;"",TRIM($H73)&lt;&gt;"",ISNUMBER($C73),NOT(AND($N73="Failed",TRIM($I73)=""))),"△ Result dated after the date the checks use","△ Result, File or Reason missing")),IF($V73=1,"△ Planned day has passed, with no result","△ Pass line has changed since this run was planned")))))&amp;IF(SUM($S73:$X73)&gt;1,", and "&amp;(SUM($S73:$X73)-1)&amp;" more","")))</f>
        <v/>
      </c>
      <c r="K73" s="28" t="n"/>
      <c r="L73" s="28" t="n"/>
      <c r="M73" s="32">
        <f>IF(COUNTA($A73:$I73)+COUNTA($K73:$L73)&gt;0,1,0)</f>
        <v/>
      </c>
      <c r="N73" s="22">
        <f>IF($M73=0,"",IF($F73="","Planned",$F73))</f>
        <v/>
      </c>
      <c r="O73" s="32">
        <f>IF(OR($M73=0,TRIM($B73)=""),0,IF(COUNTIF(Criteria!$A$6:$A$105,$B73)&gt;0,1,0))</f>
        <v/>
      </c>
      <c r="P73" s="32">
        <f>IF(OR($M73=0,TRIM($B73)=""),0,IF(AND(LEN($B73)&gt;1,ISNUMBER(MATCH(LEFT($B73,1),{"R","I","A","X"},0)),ISNUMBER(VALUE(MID($B73,2,5)))),1,0))</f>
        <v/>
      </c>
      <c r="Q73" s="32">
        <f>IF(OR($M73=0,TRIM($B73)="",$N73="Planned"),0,IF(COUNTIFS($B$6:$B$105,$B73,$C$6:$C$105,"&gt;"&amp;$C73,$N$6:$N$105,"&lt;&gt;Planned")+COUNTIFS($B74:$B$106,$B73,$C74:$C$106,$C73,$N74:$N$106,"&lt;&gt;Planned")=0,1,0))</f>
        <v/>
      </c>
      <c r="R73" s="22">
        <f>IF($Q73=1,$B73,"")</f>
        <v/>
      </c>
      <c r="S73" s="32">
        <f>IF($M73=0,0,IF(OR(TRIM($A73)="",COUNTIF($A$6:$A$105,$A73)&gt;1,TRIM($B73)="",AND($O73=0,$P73=0),NOT(ISNUMBER($C73)),AND($N73&lt;&gt;"Not run",OR(TRIM($K73)="",TRIM($D73)=""))),1,0))</f>
        <v/>
      </c>
      <c r="T73" s="32">
        <f>IF($M73=0,0,IF(TRIM($E73)="",IF(OR($N73="Passed",$N73="Failed"),1,0),IF(OR(SUMPRODUCT(--(TRIM(LEFT(Summary!$G$6:$G$13,FIND(" (",Summary!$G$6:$G$13&amp;" (")-1))=TRIM(LEFT($E73,FIND(" (",$E73&amp;" (")-1))))&gt;0,TRIM(LEFT($E73,FIND(" (",$E73&amp;" (")-1))=TRIM(LEFT($D73,FIND(" (",$D73&amp;" (")-1))),1,0)))</f>
        <v/>
      </c>
      <c r="U73" s="32">
        <f>IF($M73=0,0,IF(OR($N73="Passed",$N73="Failed"),IF(OR(TRIM($G73)="",TRIM($H73)="",NOT(ISNUMBER($C73)),AND($N73="Failed",TRIM($I73)="")),1,IF($C73&gt;Summary!$B$12,1,0)),IF($N73="Not run",IF(TRIM($I73)="",1,0),IF(OR(TRIM($G73)&lt;&gt;"",TRIM($H73)&lt;&gt;""),1,0))))</f>
        <v/>
      </c>
      <c r="V73" s="32">
        <f>IF(OR($M73=0,$N73&lt;&gt;"Planned",NOT(ISNUMBER($C73))),0,IF($C73&lt;Summary!$B$12,1,0))</f>
        <v/>
      </c>
      <c r="W73" s="32">
        <f>IF(OR($M73=0,$O73=0,$N73="Not run",TRIM($L73)=""),0,IF(TRIM($L73)=TRIM(INDEX(Criteria!$D$6:$D$105,MATCH($B73,Criteria!$A$6:$A$105,0))),0,1))</f>
        <v/>
      </c>
      <c r="X73" s="32">
        <f>IF(OR($M73=0,$O73=0,$N73="Not run"),0,IF(OR(TRIM($L73)="",AND($N73="Planned",TRIM(INDEX(Criteria!$D$6:$D$105,MATCH($B73,Criteria!$A$6:$A$105,0)))="")),1,0))</f>
        <v/>
      </c>
    </row>
    <row r="74">
      <c r="A74" s="27" t="n"/>
      <c r="B74" s="27" t="n"/>
      <c r="C74" s="29" t="n"/>
      <c r="D74" s="28" t="n"/>
      <c r="E74" s="28" t="n"/>
      <c r="F74" s="27" t="n"/>
      <c r="G74" s="28" t="n"/>
      <c r="H74" s="28" t="n"/>
      <c r="I74" s="28" t="n"/>
      <c r="J74" s="19">
        <f>IF($M74=0,"",IF(SUM($S74:$X74)=0,"○ Clear",IF($S74=1,"△ Run, For, Date, Tested on or Run by missing or wrong",IF($X74=1,IF(AND($N74="Planned",TRIM(INDEX(Criteria!$D$6:$D$105,MATCH($B74,Criteria!$A$6:$A$105,0)))=""),"△ The criterion has no Pass line","△ Pass line used is blank"),IF($T74=1,"△ Checked by a builder, the runner or nobody",IF($U74=1,IF($N74="Planned","△ Result or File typed on a planned run",IF(AND(OR($N74="Passed",$N74="Failed"),TRIM($G74)&lt;&gt;"",TRIM($H74)&lt;&gt;"",ISNUMBER($C74),NOT(AND($N74="Failed",TRIM($I74)=""))),"△ Result dated after the date the checks use","△ Result, File or Reason missing")),IF($V74=1,"△ Planned day has passed, with no result","△ Pass line has changed since this run was planned")))))&amp;IF(SUM($S74:$X74)&gt;1,", and "&amp;(SUM($S74:$X74)-1)&amp;" more","")))</f>
        <v/>
      </c>
      <c r="K74" s="28" t="n"/>
      <c r="L74" s="28" t="n"/>
      <c r="M74" s="32">
        <f>IF(COUNTA($A74:$I74)+COUNTA($K74:$L74)&gt;0,1,0)</f>
        <v/>
      </c>
      <c r="N74" s="22">
        <f>IF($M74=0,"",IF($F74="","Planned",$F74))</f>
        <v/>
      </c>
      <c r="O74" s="32">
        <f>IF(OR($M74=0,TRIM($B74)=""),0,IF(COUNTIF(Criteria!$A$6:$A$105,$B74)&gt;0,1,0))</f>
        <v/>
      </c>
      <c r="P74" s="32">
        <f>IF(OR($M74=0,TRIM($B74)=""),0,IF(AND(LEN($B74)&gt;1,ISNUMBER(MATCH(LEFT($B74,1),{"R","I","A","X"},0)),ISNUMBER(VALUE(MID($B74,2,5)))),1,0))</f>
        <v/>
      </c>
      <c r="Q74" s="32">
        <f>IF(OR($M74=0,TRIM($B74)="",$N74="Planned"),0,IF(COUNTIFS($B$6:$B$105,$B74,$C$6:$C$105,"&gt;"&amp;$C74,$N$6:$N$105,"&lt;&gt;Planned")+COUNTIFS($B75:$B$106,$B74,$C75:$C$106,$C74,$N75:$N$106,"&lt;&gt;Planned")=0,1,0))</f>
        <v/>
      </c>
      <c r="R74" s="22">
        <f>IF($Q74=1,$B74,"")</f>
        <v/>
      </c>
      <c r="S74" s="32">
        <f>IF($M74=0,0,IF(OR(TRIM($A74)="",COUNTIF($A$6:$A$105,$A74)&gt;1,TRIM($B74)="",AND($O74=0,$P74=0),NOT(ISNUMBER($C74)),AND($N74&lt;&gt;"Not run",OR(TRIM($K74)="",TRIM($D74)=""))),1,0))</f>
        <v/>
      </c>
      <c r="T74" s="32">
        <f>IF($M74=0,0,IF(TRIM($E74)="",IF(OR($N74="Passed",$N74="Failed"),1,0),IF(OR(SUMPRODUCT(--(TRIM(LEFT(Summary!$G$6:$G$13,FIND(" (",Summary!$G$6:$G$13&amp;" (")-1))=TRIM(LEFT($E74,FIND(" (",$E74&amp;" (")-1))))&gt;0,TRIM(LEFT($E74,FIND(" (",$E74&amp;" (")-1))=TRIM(LEFT($D74,FIND(" (",$D74&amp;" (")-1))),1,0)))</f>
        <v/>
      </c>
      <c r="U74" s="32">
        <f>IF($M74=0,0,IF(OR($N74="Passed",$N74="Failed"),IF(OR(TRIM($G74)="",TRIM($H74)="",NOT(ISNUMBER($C74)),AND($N74="Failed",TRIM($I74)="")),1,IF($C74&gt;Summary!$B$12,1,0)),IF($N74="Not run",IF(TRIM($I74)="",1,0),IF(OR(TRIM($G74)&lt;&gt;"",TRIM($H74)&lt;&gt;""),1,0))))</f>
        <v/>
      </c>
      <c r="V74" s="32">
        <f>IF(OR($M74=0,$N74&lt;&gt;"Planned",NOT(ISNUMBER($C74))),0,IF($C74&lt;Summary!$B$12,1,0))</f>
        <v/>
      </c>
      <c r="W74" s="32">
        <f>IF(OR($M74=0,$O74=0,$N74="Not run",TRIM($L74)=""),0,IF(TRIM($L74)=TRIM(INDEX(Criteria!$D$6:$D$105,MATCH($B74,Criteria!$A$6:$A$105,0))),0,1))</f>
        <v/>
      </c>
      <c r="X74" s="32">
        <f>IF(OR($M74=0,$O74=0,$N74="Not run"),0,IF(OR(TRIM($L74)="",AND($N74="Planned",TRIM(INDEX(Criteria!$D$6:$D$105,MATCH($B74,Criteria!$A$6:$A$105,0)))="")),1,0))</f>
        <v/>
      </c>
    </row>
    <row r="75">
      <c r="A75" s="27" t="n"/>
      <c r="B75" s="27" t="n"/>
      <c r="C75" s="29" t="n"/>
      <c r="D75" s="28" t="n"/>
      <c r="E75" s="28" t="n"/>
      <c r="F75" s="27" t="n"/>
      <c r="G75" s="28" t="n"/>
      <c r="H75" s="28" t="n"/>
      <c r="I75" s="28" t="n"/>
      <c r="J75" s="19">
        <f>IF($M75=0,"",IF(SUM($S75:$X75)=0,"○ Clear",IF($S75=1,"△ Run, For, Date, Tested on or Run by missing or wrong",IF($X75=1,IF(AND($N75="Planned",TRIM(INDEX(Criteria!$D$6:$D$105,MATCH($B75,Criteria!$A$6:$A$105,0)))=""),"△ The criterion has no Pass line","△ Pass line used is blank"),IF($T75=1,"△ Checked by a builder, the runner or nobody",IF($U75=1,IF($N75="Planned","△ Result or File typed on a planned run",IF(AND(OR($N75="Passed",$N75="Failed"),TRIM($G75)&lt;&gt;"",TRIM($H75)&lt;&gt;"",ISNUMBER($C75),NOT(AND($N75="Failed",TRIM($I75)=""))),"△ Result dated after the date the checks use","△ Result, File or Reason missing")),IF($V75=1,"△ Planned day has passed, with no result","△ Pass line has changed since this run was planned")))))&amp;IF(SUM($S75:$X75)&gt;1,", and "&amp;(SUM($S75:$X75)-1)&amp;" more","")))</f>
        <v/>
      </c>
      <c r="K75" s="28" t="n"/>
      <c r="L75" s="28" t="n"/>
      <c r="M75" s="32">
        <f>IF(COUNTA($A75:$I75)+COUNTA($K75:$L75)&gt;0,1,0)</f>
        <v/>
      </c>
      <c r="N75" s="22">
        <f>IF($M75=0,"",IF($F75="","Planned",$F75))</f>
        <v/>
      </c>
      <c r="O75" s="32">
        <f>IF(OR($M75=0,TRIM($B75)=""),0,IF(COUNTIF(Criteria!$A$6:$A$105,$B75)&gt;0,1,0))</f>
        <v/>
      </c>
      <c r="P75" s="32">
        <f>IF(OR($M75=0,TRIM($B75)=""),0,IF(AND(LEN($B75)&gt;1,ISNUMBER(MATCH(LEFT($B75,1),{"R","I","A","X"},0)),ISNUMBER(VALUE(MID($B75,2,5)))),1,0))</f>
        <v/>
      </c>
      <c r="Q75" s="32">
        <f>IF(OR($M75=0,TRIM($B75)="",$N75="Planned"),0,IF(COUNTIFS($B$6:$B$105,$B75,$C$6:$C$105,"&gt;"&amp;$C75,$N$6:$N$105,"&lt;&gt;Planned")+COUNTIFS($B76:$B$106,$B75,$C76:$C$106,$C75,$N76:$N$106,"&lt;&gt;Planned")=0,1,0))</f>
        <v/>
      </c>
      <c r="R75" s="22">
        <f>IF($Q75=1,$B75,"")</f>
        <v/>
      </c>
      <c r="S75" s="32">
        <f>IF($M75=0,0,IF(OR(TRIM($A75)="",COUNTIF($A$6:$A$105,$A75)&gt;1,TRIM($B75)="",AND($O75=0,$P75=0),NOT(ISNUMBER($C75)),AND($N75&lt;&gt;"Not run",OR(TRIM($K75)="",TRIM($D75)=""))),1,0))</f>
        <v/>
      </c>
      <c r="T75" s="32">
        <f>IF($M75=0,0,IF(TRIM($E75)="",IF(OR($N75="Passed",$N75="Failed"),1,0),IF(OR(SUMPRODUCT(--(TRIM(LEFT(Summary!$G$6:$G$13,FIND(" (",Summary!$G$6:$G$13&amp;" (")-1))=TRIM(LEFT($E75,FIND(" (",$E75&amp;" (")-1))))&gt;0,TRIM(LEFT($E75,FIND(" (",$E75&amp;" (")-1))=TRIM(LEFT($D75,FIND(" (",$D75&amp;" (")-1))),1,0)))</f>
        <v/>
      </c>
      <c r="U75" s="32">
        <f>IF($M75=0,0,IF(OR($N75="Passed",$N75="Failed"),IF(OR(TRIM($G75)="",TRIM($H75)="",NOT(ISNUMBER($C75)),AND($N75="Failed",TRIM($I75)="")),1,IF($C75&gt;Summary!$B$12,1,0)),IF($N75="Not run",IF(TRIM($I75)="",1,0),IF(OR(TRIM($G75)&lt;&gt;"",TRIM($H75)&lt;&gt;""),1,0))))</f>
        <v/>
      </c>
      <c r="V75" s="32">
        <f>IF(OR($M75=0,$N75&lt;&gt;"Planned",NOT(ISNUMBER($C75))),0,IF($C75&lt;Summary!$B$12,1,0))</f>
        <v/>
      </c>
      <c r="W75" s="32">
        <f>IF(OR($M75=0,$O75=0,$N75="Not run",TRIM($L75)=""),0,IF(TRIM($L75)=TRIM(INDEX(Criteria!$D$6:$D$105,MATCH($B75,Criteria!$A$6:$A$105,0))),0,1))</f>
        <v/>
      </c>
      <c r="X75" s="32">
        <f>IF(OR($M75=0,$O75=0,$N75="Not run"),0,IF(OR(TRIM($L75)="",AND($N75="Planned",TRIM(INDEX(Criteria!$D$6:$D$105,MATCH($B75,Criteria!$A$6:$A$105,0)))="")),1,0))</f>
        <v/>
      </c>
    </row>
    <row r="76">
      <c r="A76" s="27" t="n"/>
      <c r="B76" s="27" t="n"/>
      <c r="C76" s="29" t="n"/>
      <c r="D76" s="28" t="n"/>
      <c r="E76" s="28" t="n"/>
      <c r="F76" s="27" t="n"/>
      <c r="G76" s="28" t="n"/>
      <c r="H76" s="28" t="n"/>
      <c r="I76" s="28" t="n"/>
      <c r="J76" s="19">
        <f>IF($M76=0,"",IF(SUM($S76:$X76)=0,"○ Clear",IF($S76=1,"△ Run, For, Date, Tested on or Run by missing or wrong",IF($X76=1,IF(AND($N76="Planned",TRIM(INDEX(Criteria!$D$6:$D$105,MATCH($B76,Criteria!$A$6:$A$105,0)))=""),"△ The criterion has no Pass line","△ Pass line used is blank"),IF($T76=1,"△ Checked by a builder, the runner or nobody",IF($U76=1,IF($N76="Planned","△ Result or File typed on a planned run",IF(AND(OR($N76="Passed",$N76="Failed"),TRIM($G76)&lt;&gt;"",TRIM($H76)&lt;&gt;"",ISNUMBER($C76),NOT(AND($N76="Failed",TRIM($I76)=""))),"△ Result dated after the date the checks use","△ Result, File or Reason missing")),IF($V76=1,"△ Planned day has passed, with no result","△ Pass line has changed since this run was planned")))))&amp;IF(SUM($S76:$X76)&gt;1,", and "&amp;(SUM($S76:$X76)-1)&amp;" more","")))</f>
        <v/>
      </c>
      <c r="K76" s="28" t="n"/>
      <c r="L76" s="28" t="n"/>
      <c r="M76" s="32">
        <f>IF(COUNTA($A76:$I76)+COUNTA($K76:$L76)&gt;0,1,0)</f>
        <v/>
      </c>
      <c r="N76" s="22">
        <f>IF($M76=0,"",IF($F76="","Planned",$F76))</f>
        <v/>
      </c>
      <c r="O76" s="32">
        <f>IF(OR($M76=0,TRIM($B76)=""),0,IF(COUNTIF(Criteria!$A$6:$A$105,$B76)&gt;0,1,0))</f>
        <v/>
      </c>
      <c r="P76" s="32">
        <f>IF(OR($M76=0,TRIM($B76)=""),0,IF(AND(LEN($B76)&gt;1,ISNUMBER(MATCH(LEFT($B76,1),{"R","I","A","X"},0)),ISNUMBER(VALUE(MID($B76,2,5)))),1,0))</f>
        <v/>
      </c>
      <c r="Q76" s="32">
        <f>IF(OR($M76=0,TRIM($B76)="",$N76="Planned"),0,IF(COUNTIFS($B$6:$B$105,$B76,$C$6:$C$105,"&gt;"&amp;$C76,$N$6:$N$105,"&lt;&gt;Planned")+COUNTIFS($B77:$B$106,$B76,$C77:$C$106,$C76,$N77:$N$106,"&lt;&gt;Planned")=0,1,0))</f>
        <v/>
      </c>
      <c r="R76" s="22">
        <f>IF($Q76=1,$B76,"")</f>
        <v/>
      </c>
      <c r="S76" s="32">
        <f>IF($M76=0,0,IF(OR(TRIM($A76)="",COUNTIF($A$6:$A$105,$A76)&gt;1,TRIM($B76)="",AND($O76=0,$P76=0),NOT(ISNUMBER($C76)),AND($N76&lt;&gt;"Not run",OR(TRIM($K76)="",TRIM($D76)=""))),1,0))</f>
        <v/>
      </c>
      <c r="T76" s="32">
        <f>IF($M76=0,0,IF(TRIM($E76)="",IF(OR($N76="Passed",$N76="Failed"),1,0),IF(OR(SUMPRODUCT(--(TRIM(LEFT(Summary!$G$6:$G$13,FIND(" (",Summary!$G$6:$G$13&amp;" (")-1))=TRIM(LEFT($E76,FIND(" (",$E76&amp;" (")-1))))&gt;0,TRIM(LEFT($E76,FIND(" (",$E76&amp;" (")-1))=TRIM(LEFT($D76,FIND(" (",$D76&amp;" (")-1))),1,0)))</f>
        <v/>
      </c>
      <c r="U76" s="32">
        <f>IF($M76=0,0,IF(OR($N76="Passed",$N76="Failed"),IF(OR(TRIM($G76)="",TRIM($H76)="",NOT(ISNUMBER($C76)),AND($N76="Failed",TRIM($I76)="")),1,IF($C76&gt;Summary!$B$12,1,0)),IF($N76="Not run",IF(TRIM($I76)="",1,0),IF(OR(TRIM($G76)&lt;&gt;"",TRIM($H76)&lt;&gt;""),1,0))))</f>
        <v/>
      </c>
      <c r="V76" s="32">
        <f>IF(OR($M76=0,$N76&lt;&gt;"Planned",NOT(ISNUMBER($C76))),0,IF($C76&lt;Summary!$B$12,1,0))</f>
        <v/>
      </c>
      <c r="W76" s="32">
        <f>IF(OR($M76=0,$O76=0,$N76="Not run",TRIM($L76)=""),0,IF(TRIM($L76)=TRIM(INDEX(Criteria!$D$6:$D$105,MATCH($B76,Criteria!$A$6:$A$105,0))),0,1))</f>
        <v/>
      </c>
      <c r="X76" s="32">
        <f>IF(OR($M76=0,$O76=0,$N76="Not run"),0,IF(OR(TRIM($L76)="",AND($N76="Planned",TRIM(INDEX(Criteria!$D$6:$D$105,MATCH($B76,Criteria!$A$6:$A$105,0)))="")),1,0))</f>
        <v/>
      </c>
    </row>
    <row r="77">
      <c r="A77" s="27" t="n"/>
      <c r="B77" s="27" t="n"/>
      <c r="C77" s="29" t="n"/>
      <c r="D77" s="28" t="n"/>
      <c r="E77" s="28" t="n"/>
      <c r="F77" s="27" t="n"/>
      <c r="G77" s="28" t="n"/>
      <c r="H77" s="28" t="n"/>
      <c r="I77" s="28" t="n"/>
      <c r="J77" s="19">
        <f>IF($M77=0,"",IF(SUM($S77:$X77)=0,"○ Clear",IF($S77=1,"△ Run, For, Date, Tested on or Run by missing or wrong",IF($X77=1,IF(AND($N77="Planned",TRIM(INDEX(Criteria!$D$6:$D$105,MATCH($B77,Criteria!$A$6:$A$105,0)))=""),"△ The criterion has no Pass line","△ Pass line used is blank"),IF($T77=1,"△ Checked by a builder, the runner or nobody",IF($U77=1,IF($N77="Planned","△ Result or File typed on a planned run",IF(AND(OR($N77="Passed",$N77="Failed"),TRIM($G77)&lt;&gt;"",TRIM($H77)&lt;&gt;"",ISNUMBER($C77),NOT(AND($N77="Failed",TRIM($I77)=""))),"△ Result dated after the date the checks use","△ Result, File or Reason missing")),IF($V77=1,"△ Planned day has passed, with no result","△ Pass line has changed since this run was planned")))))&amp;IF(SUM($S77:$X77)&gt;1,", and "&amp;(SUM($S77:$X77)-1)&amp;" more","")))</f>
        <v/>
      </c>
      <c r="K77" s="28" t="n"/>
      <c r="L77" s="28" t="n"/>
      <c r="M77" s="32">
        <f>IF(COUNTA($A77:$I77)+COUNTA($K77:$L77)&gt;0,1,0)</f>
        <v/>
      </c>
      <c r="N77" s="22">
        <f>IF($M77=0,"",IF($F77="","Planned",$F77))</f>
        <v/>
      </c>
      <c r="O77" s="32">
        <f>IF(OR($M77=0,TRIM($B77)=""),0,IF(COUNTIF(Criteria!$A$6:$A$105,$B77)&gt;0,1,0))</f>
        <v/>
      </c>
      <c r="P77" s="32">
        <f>IF(OR($M77=0,TRIM($B77)=""),0,IF(AND(LEN($B77)&gt;1,ISNUMBER(MATCH(LEFT($B77,1),{"R","I","A","X"},0)),ISNUMBER(VALUE(MID($B77,2,5)))),1,0))</f>
        <v/>
      </c>
      <c r="Q77" s="32">
        <f>IF(OR($M77=0,TRIM($B77)="",$N77="Planned"),0,IF(COUNTIFS($B$6:$B$105,$B77,$C$6:$C$105,"&gt;"&amp;$C77,$N$6:$N$105,"&lt;&gt;Planned")+COUNTIFS($B78:$B$106,$B77,$C78:$C$106,$C77,$N78:$N$106,"&lt;&gt;Planned")=0,1,0))</f>
        <v/>
      </c>
      <c r="R77" s="22">
        <f>IF($Q77=1,$B77,"")</f>
        <v/>
      </c>
      <c r="S77" s="32">
        <f>IF($M77=0,0,IF(OR(TRIM($A77)="",COUNTIF($A$6:$A$105,$A77)&gt;1,TRIM($B77)="",AND($O77=0,$P77=0),NOT(ISNUMBER($C77)),AND($N77&lt;&gt;"Not run",OR(TRIM($K77)="",TRIM($D77)=""))),1,0))</f>
        <v/>
      </c>
      <c r="T77" s="32">
        <f>IF($M77=0,0,IF(TRIM($E77)="",IF(OR($N77="Passed",$N77="Failed"),1,0),IF(OR(SUMPRODUCT(--(TRIM(LEFT(Summary!$G$6:$G$13,FIND(" (",Summary!$G$6:$G$13&amp;" (")-1))=TRIM(LEFT($E77,FIND(" (",$E77&amp;" (")-1))))&gt;0,TRIM(LEFT($E77,FIND(" (",$E77&amp;" (")-1))=TRIM(LEFT($D77,FIND(" (",$D77&amp;" (")-1))),1,0)))</f>
        <v/>
      </c>
      <c r="U77" s="32">
        <f>IF($M77=0,0,IF(OR($N77="Passed",$N77="Failed"),IF(OR(TRIM($G77)="",TRIM($H77)="",NOT(ISNUMBER($C77)),AND($N77="Failed",TRIM($I77)="")),1,IF($C77&gt;Summary!$B$12,1,0)),IF($N77="Not run",IF(TRIM($I77)="",1,0),IF(OR(TRIM($G77)&lt;&gt;"",TRIM($H77)&lt;&gt;""),1,0))))</f>
        <v/>
      </c>
      <c r="V77" s="32">
        <f>IF(OR($M77=0,$N77&lt;&gt;"Planned",NOT(ISNUMBER($C77))),0,IF($C77&lt;Summary!$B$12,1,0))</f>
        <v/>
      </c>
      <c r="W77" s="32">
        <f>IF(OR($M77=0,$O77=0,$N77="Not run",TRIM($L77)=""),0,IF(TRIM($L77)=TRIM(INDEX(Criteria!$D$6:$D$105,MATCH($B77,Criteria!$A$6:$A$105,0))),0,1))</f>
        <v/>
      </c>
      <c r="X77" s="32">
        <f>IF(OR($M77=0,$O77=0,$N77="Not run"),0,IF(OR(TRIM($L77)="",AND($N77="Planned",TRIM(INDEX(Criteria!$D$6:$D$105,MATCH($B77,Criteria!$A$6:$A$105,0)))="")),1,0))</f>
        <v/>
      </c>
    </row>
    <row r="78">
      <c r="A78" s="27" t="n"/>
      <c r="B78" s="27" t="n"/>
      <c r="C78" s="29" t="n"/>
      <c r="D78" s="28" t="n"/>
      <c r="E78" s="28" t="n"/>
      <c r="F78" s="27" t="n"/>
      <c r="G78" s="28" t="n"/>
      <c r="H78" s="28" t="n"/>
      <c r="I78" s="28" t="n"/>
      <c r="J78" s="19">
        <f>IF($M78=0,"",IF(SUM($S78:$X78)=0,"○ Clear",IF($S78=1,"△ Run, For, Date, Tested on or Run by missing or wrong",IF($X78=1,IF(AND($N78="Planned",TRIM(INDEX(Criteria!$D$6:$D$105,MATCH($B78,Criteria!$A$6:$A$105,0)))=""),"△ The criterion has no Pass line","△ Pass line used is blank"),IF($T78=1,"△ Checked by a builder, the runner or nobody",IF($U78=1,IF($N78="Planned","△ Result or File typed on a planned run",IF(AND(OR($N78="Passed",$N78="Failed"),TRIM($G78)&lt;&gt;"",TRIM($H78)&lt;&gt;"",ISNUMBER($C78),NOT(AND($N78="Failed",TRIM($I78)=""))),"△ Result dated after the date the checks use","△ Result, File or Reason missing")),IF($V78=1,"△ Planned day has passed, with no result","△ Pass line has changed since this run was planned")))))&amp;IF(SUM($S78:$X78)&gt;1,", and "&amp;(SUM($S78:$X78)-1)&amp;" more","")))</f>
        <v/>
      </c>
      <c r="K78" s="28" t="n"/>
      <c r="L78" s="28" t="n"/>
      <c r="M78" s="32">
        <f>IF(COUNTA($A78:$I78)+COUNTA($K78:$L78)&gt;0,1,0)</f>
        <v/>
      </c>
      <c r="N78" s="22">
        <f>IF($M78=0,"",IF($F78="","Planned",$F78))</f>
        <v/>
      </c>
      <c r="O78" s="32">
        <f>IF(OR($M78=0,TRIM($B78)=""),0,IF(COUNTIF(Criteria!$A$6:$A$105,$B78)&gt;0,1,0))</f>
        <v/>
      </c>
      <c r="P78" s="32">
        <f>IF(OR($M78=0,TRIM($B78)=""),0,IF(AND(LEN($B78)&gt;1,ISNUMBER(MATCH(LEFT($B78,1),{"R","I","A","X"},0)),ISNUMBER(VALUE(MID($B78,2,5)))),1,0))</f>
        <v/>
      </c>
      <c r="Q78" s="32">
        <f>IF(OR($M78=0,TRIM($B78)="",$N78="Planned"),0,IF(COUNTIFS($B$6:$B$105,$B78,$C$6:$C$105,"&gt;"&amp;$C78,$N$6:$N$105,"&lt;&gt;Planned")+COUNTIFS($B79:$B$106,$B78,$C79:$C$106,$C78,$N79:$N$106,"&lt;&gt;Planned")=0,1,0))</f>
        <v/>
      </c>
      <c r="R78" s="22">
        <f>IF($Q78=1,$B78,"")</f>
        <v/>
      </c>
      <c r="S78" s="32">
        <f>IF($M78=0,0,IF(OR(TRIM($A78)="",COUNTIF($A$6:$A$105,$A78)&gt;1,TRIM($B78)="",AND($O78=0,$P78=0),NOT(ISNUMBER($C78)),AND($N78&lt;&gt;"Not run",OR(TRIM($K78)="",TRIM($D78)=""))),1,0))</f>
        <v/>
      </c>
      <c r="T78" s="32">
        <f>IF($M78=0,0,IF(TRIM($E78)="",IF(OR($N78="Passed",$N78="Failed"),1,0),IF(OR(SUMPRODUCT(--(TRIM(LEFT(Summary!$G$6:$G$13,FIND(" (",Summary!$G$6:$G$13&amp;" (")-1))=TRIM(LEFT($E78,FIND(" (",$E78&amp;" (")-1))))&gt;0,TRIM(LEFT($E78,FIND(" (",$E78&amp;" (")-1))=TRIM(LEFT($D78,FIND(" (",$D78&amp;" (")-1))),1,0)))</f>
        <v/>
      </c>
      <c r="U78" s="32">
        <f>IF($M78=0,0,IF(OR($N78="Passed",$N78="Failed"),IF(OR(TRIM($G78)="",TRIM($H78)="",NOT(ISNUMBER($C78)),AND($N78="Failed",TRIM($I78)="")),1,IF($C78&gt;Summary!$B$12,1,0)),IF($N78="Not run",IF(TRIM($I78)="",1,0),IF(OR(TRIM($G78)&lt;&gt;"",TRIM($H78)&lt;&gt;""),1,0))))</f>
        <v/>
      </c>
      <c r="V78" s="32">
        <f>IF(OR($M78=0,$N78&lt;&gt;"Planned",NOT(ISNUMBER($C78))),0,IF($C78&lt;Summary!$B$12,1,0))</f>
        <v/>
      </c>
      <c r="W78" s="32">
        <f>IF(OR($M78=0,$O78=0,$N78="Not run",TRIM($L78)=""),0,IF(TRIM($L78)=TRIM(INDEX(Criteria!$D$6:$D$105,MATCH($B78,Criteria!$A$6:$A$105,0))),0,1))</f>
        <v/>
      </c>
      <c r="X78" s="32">
        <f>IF(OR($M78=0,$O78=0,$N78="Not run"),0,IF(OR(TRIM($L78)="",AND($N78="Planned",TRIM(INDEX(Criteria!$D$6:$D$105,MATCH($B78,Criteria!$A$6:$A$105,0)))="")),1,0))</f>
        <v/>
      </c>
    </row>
    <row r="79">
      <c r="A79" s="27" t="n"/>
      <c r="B79" s="27" t="n"/>
      <c r="C79" s="29" t="n"/>
      <c r="D79" s="28" t="n"/>
      <c r="E79" s="28" t="n"/>
      <c r="F79" s="27" t="n"/>
      <c r="G79" s="28" t="n"/>
      <c r="H79" s="28" t="n"/>
      <c r="I79" s="28" t="n"/>
      <c r="J79" s="19">
        <f>IF($M79=0,"",IF(SUM($S79:$X79)=0,"○ Clear",IF($S79=1,"△ Run, For, Date, Tested on or Run by missing or wrong",IF($X79=1,IF(AND($N79="Planned",TRIM(INDEX(Criteria!$D$6:$D$105,MATCH($B79,Criteria!$A$6:$A$105,0)))=""),"△ The criterion has no Pass line","△ Pass line used is blank"),IF($T79=1,"△ Checked by a builder, the runner or nobody",IF($U79=1,IF($N79="Planned","△ Result or File typed on a planned run",IF(AND(OR($N79="Passed",$N79="Failed"),TRIM($G79)&lt;&gt;"",TRIM($H79)&lt;&gt;"",ISNUMBER($C79),NOT(AND($N79="Failed",TRIM($I79)=""))),"△ Result dated after the date the checks use","△ Result, File or Reason missing")),IF($V79=1,"△ Planned day has passed, with no result","△ Pass line has changed since this run was planned")))))&amp;IF(SUM($S79:$X79)&gt;1,", and "&amp;(SUM($S79:$X79)-1)&amp;" more","")))</f>
        <v/>
      </c>
      <c r="K79" s="28" t="n"/>
      <c r="L79" s="28" t="n"/>
      <c r="M79" s="32">
        <f>IF(COUNTA($A79:$I79)+COUNTA($K79:$L79)&gt;0,1,0)</f>
        <v/>
      </c>
      <c r="N79" s="22">
        <f>IF($M79=0,"",IF($F79="","Planned",$F79))</f>
        <v/>
      </c>
      <c r="O79" s="32">
        <f>IF(OR($M79=0,TRIM($B79)=""),0,IF(COUNTIF(Criteria!$A$6:$A$105,$B79)&gt;0,1,0))</f>
        <v/>
      </c>
      <c r="P79" s="32">
        <f>IF(OR($M79=0,TRIM($B79)=""),0,IF(AND(LEN($B79)&gt;1,ISNUMBER(MATCH(LEFT($B79,1),{"R","I","A","X"},0)),ISNUMBER(VALUE(MID($B79,2,5)))),1,0))</f>
        <v/>
      </c>
      <c r="Q79" s="32">
        <f>IF(OR($M79=0,TRIM($B79)="",$N79="Planned"),0,IF(COUNTIFS($B$6:$B$105,$B79,$C$6:$C$105,"&gt;"&amp;$C79,$N$6:$N$105,"&lt;&gt;Planned")+COUNTIFS($B80:$B$106,$B79,$C80:$C$106,$C79,$N80:$N$106,"&lt;&gt;Planned")=0,1,0))</f>
        <v/>
      </c>
      <c r="R79" s="22">
        <f>IF($Q79=1,$B79,"")</f>
        <v/>
      </c>
      <c r="S79" s="32">
        <f>IF($M79=0,0,IF(OR(TRIM($A79)="",COUNTIF($A$6:$A$105,$A79)&gt;1,TRIM($B79)="",AND($O79=0,$P79=0),NOT(ISNUMBER($C79)),AND($N79&lt;&gt;"Not run",OR(TRIM($K79)="",TRIM($D79)=""))),1,0))</f>
        <v/>
      </c>
      <c r="T79" s="32">
        <f>IF($M79=0,0,IF(TRIM($E79)="",IF(OR($N79="Passed",$N79="Failed"),1,0),IF(OR(SUMPRODUCT(--(TRIM(LEFT(Summary!$G$6:$G$13,FIND(" (",Summary!$G$6:$G$13&amp;" (")-1))=TRIM(LEFT($E79,FIND(" (",$E79&amp;" (")-1))))&gt;0,TRIM(LEFT($E79,FIND(" (",$E79&amp;" (")-1))=TRIM(LEFT($D79,FIND(" (",$D79&amp;" (")-1))),1,0)))</f>
        <v/>
      </c>
      <c r="U79" s="32">
        <f>IF($M79=0,0,IF(OR($N79="Passed",$N79="Failed"),IF(OR(TRIM($G79)="",TRIM($H79)="",NOT(ISNUMBER($C79)),AND($N79="Failed",TRIM($I79)="")),1,IF($C79&gt;Summary!$B$12,1,0)),IF($N79="Not run",IF(TRIM($I79)="",1,0),IF(OR(TRIM($G79)&lt;&gt;"",TRIM($H79)&lt;&gt;""),1,0))))</f>
        <v/>
      </c>
      <c r="V79" s="32">
        <f>IF(OR($M79=0,$N79&lt;&gt;"Planned",NOT(ISNUMBER($C79))),0,IF($C79&lt;Summary!$B$12,1,0))</f>
        <v/>
      </c>
      <c r="W79" s="32">
        <f>IF(OR($M79=0,$O79=0,$N79="Not run",TRIM($L79)=""),0,IF(TRIM($L79)=TRIM(INDEX(Criteria!$D$6:$D$105,MATCH($B79,Criteria!$A$6:$A$105,0))),0,1))</f>
        <v/>
      </c>
      <c r="X79" s="32">
        <f>IF(OR($M79=0,$O79=0,$N79="Not run"),0,IF(OR(TRIM($L79)="",AND($N79="Planned",TRIM(INDEX(Criteria!$D$6:$D$105,MATCH($B79,Criteria!$A$6:$A$105,0)))="")),1,0))</f>
        <v/>
      </c>
    </row>
    <row r="80">
      <c r="A80" s="27" t="n"/>
      <c r="B80" s="27" t="n"/>
      <c r="C80" s="29" t="n"/>
      <c r="D80" s="28" t="n"/>
      <c r="E80" s="28" t="n"/>
      <c r="F80" s="27" t="n"/>
      <c r="G80" s="28" t="n"/>
      <c r="H80" s="28" t="n"/>
      <c r="I80" s="28" t="n"/>
      <c r="J80" s="19">
        <f>IF($M80=0,"",IF(SUM($S80:$X80)=0,"○ Clear",IF($S80=1,"△ Run, For, Date, Tested on or Run by missing or wrong",IF($X80=1,IF(AND($N80="Planned",TRIM(INDEX(Criteria!$D$6:$D$105,MATCH($B80,Criteria!$A$6:$A$105,0)))=""),"△ The criterion has no Pass line","△ Pass line used is blank"),IF($T80=1,"△ Checked by a builder, the runner or nobody",IF($U80=1,IF($N80="Planned","△ Result or File typed on a planned run",IF(AND(OR($N80="Passed",$N80="Failed"),TRIM($G80)&lt;&gt;"",TRIM($H80)&lt;&gt;"",ISNUMBER($C80),NOT(AND($N80="Failed",TRIM($I80)=""))),"△ Result dated after the date the checks use","△ Result, File or Reason missing")),IF($V80=1,"△ Planned day has passed, with no result","△ Pass line has changed since this run was planned")))))&amp;IF(SUM($S80:$X80)&gt;1,", and "&amp;(SUM($S80:$X80)-1)&amp;" more","")))</f>
        <v/>
      </c>
      <c r="K80" s="28" t="n"/>
      <c r="L80" s="28" t="n"/>
      <c r="M80" s="32">
        <f>IF(COUNTA($A80:$I80)+COUNTA($K80:$L80)&gt;0,1,0)</f>
        <v/>
      </c>
      <c r="N80" s="22">
        <f>IF($M80=0,"",IF($F80="","Planned",$F80))</f>
        <v/>
      </c>
      <c r="O80" s="32">
        <f>IF(OR($M80=0,TRIM($B80)=""),0,IF(COUNTIF(Criteria!$A$6:$A$105,$B80)&gt;0,1,0))</f>
        <v/>
      </c>
      <c r="P80" s="32">
        <f>IF(OR($M80=0,TRIM($B80)=""),0,IF(AND(LEN($B80)&gt;1,ISNUMBER(MATCH(LEFT($B80,1),{"R","I","A","X"},0)),ISNUMBER(VALUE(MID($B80,2,5)))),1,0))</f>
        <v/>
      </c>
      <c r="Q80" s="32">
        <f>IF(OR($M80=0,TRIM($B80)="",$N80="Planned"),0,IF(COUNTIFS($B$6:$B$105,$B80,$C$6:$C$105,"&gt;"&amp;$C80,$N$6:$N$105,"&lt;&gt;Planned")+COUNTIFS($B81:$B$106,$B80,$C81:$C$106,$C80,$N81:$N$106,"&lt;&gt;Planned")=0,1,0))</f>
        <v/>
      </c>
      <c r="R80" s="22">
        <f>IF($Q80=1,$B80,"")</f>
        <v/>
      </c>
      <c r="S80" s="32">
        <f>IF($M80=0,0,IF(OR(TRIM($A80)="",COUNTIF($A$6:$A$105,$A80)&gt;1,TRIM($B80)="",AND($O80=0,$P80=0),NOT(ISNUMBER($C80)),AND($N80&lt;&gt;"Not run",OR(TRIM($K80)="",TRIM($D80)=""))),1,0))</f>
        <v/>
      </c>
      <c r="T80" s="32">
        <f>IF($M80=0,0,IF(TRIM($E80)="",IF(OR($N80="Passed",$N80="Failed"),1,0),IF(OR(SUMPRODUCT(--(TRIM(LEFT(Summary!$G$6:$G$13,FIND(" (",Summary!$G$6:$G$13&amp;" (")-1))=TRIM(LEFT($E80,FIND(" (",$E80&amp;" (")-1))))&gt;0,TRIM(LEFT($E80,FIND(" (",$E80&amp;" (")-1))=TRIM(LEFT($D80,FIND(" (",$D80&amp;" (")-1))),1,0)))</f>
        <v/>
      </c>
      <c r="U80" s="32">
        <f>IF($M80=0,0,IF(OR($N80="Passed",$N80="Failed"),IF(OR(TRIM($G80)="",TRIM($H80)="",NOT(ISNUMBER($C80)),AND($N80="Failed",TRIM($I80)="")),1,IF($C80&gt;Summary!$B$12,1,0)),IF($N80="Not run",IF(TRIM($I80)="",1,0),IF(OR(TRIM($G80)&lt;&gt;"",TRIM($H80)&lt;&gt;""),1,0))))</f>
        <v/>
      </c>
      <c r="V80" s="32">
        <f>IF(OR($M80=0,$N80&lt;&gt;"Planned",NOT(ISNUMBER($C80))),0,IF($C80&lt;Summary!$B$12,1,0))</f>
        <v/>
      </c>
      <c r="W80" s="32">
        <f>IF(OR($M80=0,$O80=0,$N80="Not run",TRIM($L80)=""),0,IF(TRIM($L80)=TRIM(INDEX(Criteria!$D$6:$D$105,MATCH($B80,Criteria!$A$6:$A$105,0))),0,1))</f>
        <v/>
      </c>
      <c r="X80" s="32">
        <f>IF(OR($M80=0,$O80=0,$N80="Not run"),0,IF(OR(TRIM($L80)="",AND($N80="Planned",TRIM(INDEX(Criteria!$D$6:$D$105,MATCH($B80,Criteria!$A$6:$A$105,0)))="")),1,0))</f>
        <v/>
      </c>
    </row>
    <row r="81">
      <c r="A81" s="27" t="n"/>
      <c r="B81" s="27" t="n"/>
      <c r="C81" s="29" t="n"/>
      <c r="D81" s="28" t="n"/>
      <c r="E81" s="28" t="n"/>
      <c r="F81" s="27" t="n"/>
      <c r="G81" s="28" t="n"/>
      <c r="H81" s="28" t="n"/>
      <c r="I81" s="28" t="n"/>
      <c r="J81" s="19">
        <f>IF($M81=0,"",IF(SUM($S81:$X81)=0,"○ Clear",IF($S81=1,"△ Run, For, Date, Tested on or Run by missing or wrong",IF($X81=1,IF(AND($N81="Planned",TRIM(INDEX(Criteria!$D$6:$D$105,MATCH($B81,Criteria!$A$6:$A$105,0)))=""),"△ The criterion has no Pass line","△ Pass line used is blank"),IF($T81=1,"△ Checked by a builder, the runner or nobody",IF($U81=1,IF($N81="Planned","△ Result or File typed on a planned run",IF(AND(OR($N81="Passed",$N81="Failed"),TRIM($G81)&lt;&gt;"",TRIM($H81)&lt;&gt;"",ISNUMBER($C81),NOT(AND($N81="Failed",TRIM($I81)=""))),"△ Result dated after the date the checks use","△ Result, File or Reason missing")),IF($V81=1,"△ Planned day has passed, with no result","△ Pass line has changed since this run was planned")))))&amp;IF(SUM($S81:$X81)&gt;1,", and "&amp;(SUM($S81:$X81)-1)&amp;" more","")))</f>
        <v/>
      </c>
      <c r="K81" s="28" t="n"/>
      <c r="L81" s="28" t="n"/>
      <c r="M81" s="32">
        <f>IF(COUNTA($A81:$I81)+COUNTA($K81:$L81)&gt;0,1,0)</f>
        <v/>
      </c>
      <c r="N81" s="22">
        <f>IF($M81=0,"",IF($F81="","Planned",$F81))</f>
        <v/>
      </c>
      <c r="O81" s="32">
        <f>IF(OR($M81=0,TRIM($B81)=""),0,IF(COUNTIF(Criteria!$A$6:$A$105,$B81)&gt;0,1,0))</f>
        <v/>
      </c>
      <c r="P81" s="32">
        <f>IF(OR($M81=0,TRIM($B81)=""),0,IF(AND(LEN($B81)&gt;1,ISNUMBER(MATCH(LEFT($B81,1),{"R","I","A","X"},0)),ISNUMBER(VALUE(MID($B81,2,5)))),1,0))</f>
        <v/>
      </c>
      <c r="Q81" s="32">
        <f>IF(OR($M81=0,TRIM($B81)="",$N81="Planned"),0,IF(COUNTIFS($B$6:$B$105,$B81,$C$6:$C$105,"&gt;"&amp;$C81,$N$6:$N$105,"&lt;&gt;Planned")+COUNTIFS($B82:$B$106,$B81,$C82:$C$106,$C81,$N82:$N$106,"&lt;&gt;Planned")=0,1,0))</f>
        <v/>
      </c>
      <c r="R81" s="22">
        <f>IF($Q81=1,$B81,"")</f>
        <v/>
      </c>
      <c r="S81" s="32">
        <f>IF($M81=0,0,IF(OR(TRIM($A81)="",COUNTIF($A$6:$A$105,$A81)&gt;1,TRIM($B81)="",AND($O81=0,$P81=0),NOT(ISNUMBER($C81)),AND($N81&lt;&gt;"Not run",OR(TRIM($K81)="",TRIM($D81)=""))),1,0))</f>
        <v/>
      </c>
      <c r="T81" s="32">
        <f>IF($M81=0,0,IF(TRIM($E81)="",IF(OR($N81="Passed",$N81="Failed"),1,0),IF(OR(SUMPRODUCT(--(TRIM(LEFT(Summary!$G$6:$G$13,FIND(" (",Summary!$G$6:$G$13&amp;" (")-1))=TRIM(LEFT($E81,FIND(" (",$E81&amp;" (")-1))))&gt;0,TRIM(LEFT($E81,FIND(" (",$E81&amp;" (")-1))=TRIM(LEFT($D81,FIND(" (",$D81&amp;" (")-1))),1,0)))</f>
        <v/>
      </c>
      <c r="U81" s="32">
        <f>IF($M81=0,0,IF(OR($N81="Passed",$N81="Failed"),IF(OR(TRIM($G81)="",TRIM($H81)="",NOT(ISNUMBER($C81)),AND($N81="Failed",TRIM($I81)="")),1,IF($C81&gt;Summary!$B$12,1,0)),IF($N81="Not run",IF(TRIM($I81)="",1,0),IF(OR(TRIM($G81)&lt;&gt;"",TRIM($H81)&lt;&gt;""),1,0))))</f>
        <v/>
      </c>
      <c r="V81" s="32">
        <f>IF(OR($M81=0,$N81&lt;&gt;"Planned",NOT(ISNUMBER($C81))),0,IF($C81&lt;Summary!$B$12,1,0))</f>
        <v/>
      </c>
      <c r="W81" s="32">
        <f>IF(OR($M81=0,$O81=0,$N81="Not run",TRIM($L81)=""),0,IF(TRIM($L81)=TRIM(INDEX(Criteria!$D$6:$D$105,MATCH($B81,Criteria!$A$6:$A$105,0))),0,1))</f>
        <v/>
      </c>
      <c r="X81" s="32">
        <f>IF(OR($M81=0,$O81=0,$N81="Not run"),0,IF(OR(TRIM($L81)="",AND($N81="Planned",TRIM(INDEX(Criteria!$D$6:$D$105,MATCH($B81,Criteria!$A$6:$A$105,0)))="")),1,0))</f>
        <v/>
      </c>
    </row>
    <row r="82">
      <c r="A82" s="27" t="n"/>
      <c r="B82" s="27" t="n"/>
      <c r="C82" s="29" t="n"/>
      <c r="D82" s="28" t="n"/>
      <c r="E82" s="28" t="n"/>
      <c r="F82" s="27" t="n"/>
      <c r="G82" s="28" t="n"/>
      <c r="H82" s="28" t="n"/>
      <c r="I82" s="28" t="n"/>
      <c r="J82" s="19">
        <f>IF($M82=0,"",IF(SUM($S82:$X82)=0,"○ Clear",IF($S82=1,"△ Run, For, Date, Tested on or Run by missing or wrong",IF($X82=1,IF(AND($N82="Planned",TRIM(INDEX(Criteria!$D$6:$D$105,MATCH($B82,Criteria!$A$6:$A$105,0)))=""),"△ The criterion has no Pass line","△ Pass line used is blank"),IF($T82=1,"△ Checked by a builder, the runner or nobody",IF($U82=1,IF($N82="Planned","△ Result or File typed on a planned run",IF(AND(OR($N82="Passed",$N82="Failed"),TRIM($G82)&lt;&gt;"",TRIM($H82)&lt;&gt;"",ISNUMBER($C82),NOT(AND($N82="Failed",TRIM($I82)=""))),"△ Result dated after the date the checks use","△ Result, File or Reason missing")),IF($V82=1,"△ Planned day has passed, with no result","△ Pass line has changed since this run was planned")))))&amp;IF(SUM($S82:$X82)&gt;1,", and "&amp;(SUM($S82:$X82)-1)&amp;" more","")))</f>
        <v/>
      </c>
      <c r="K82" s="28" t="n"/>
      <c r="L82" s="28" t="n"/>
      <c r="M82" s="32">
        <f>IF(COUNTA($A82:$I82)+COUNTA($K82:$L82)&gt;0,1,0)</f>
        <v/>
      </c>
      <c r="N82" s="22">
        <f>IF($M82=0,"",IF($F82="","Planned",$F82))</f>
        <v/>
      </c>
      <c r="O82" s="32">
        <f>IF(OR($M82=0,TRIM($B82)=""),0,IF(COUNTIF(Criteria!$A$6:$A$105,$B82)&gt;0,1,0))</f>
        <v/>
      </c>
      <c r="P82" s="32">
        <f>IF(OR($M82=0,TRIM($B82)=""),0,IF(AND(LEN($B82)&gt;1,ISNUMBER(MATCH(LEFT($B82,1),{"R","I","A","X"},0)),ISNUMBER(VALUE(MID($B82,2,5)))),1,0))</f>
        <v/>
      </c>
      <c r="Q82" s="32">
        <f>IF(OR($M82=0,TRIM($B82)="",$N82="Planned"),0,IF(COUNTIFS($B$6:$B$105,$B82,$C$6:$C$105,"&gt;"&amp;$C82,$N$6:$N$105,"&lt;&gt;Planned")+COUNTIFS($B83:$B$106,$B82,$C83:$C$106,$C82,$N83:$N$106,"&lt;&gt;Planned")=0,1,0))</f>
        <v/>
      </c>
      <c r="R82" s="22">
        <f>IF($Q82=1,$B82,"")</f>
        <v/>
      </c>
      <c r="S82" s="32">
        <f>IF($M82=0,0,IF(OR(TRIM($A82)="",COUNTIF($A$6:$A$105,$A82)&gt;1,TRIM($B82)="",AND($O82=0,$P82=0),NOT(ISNUMBER($C82)),AND($N82&lt;&gt;"Not run",OR(TRIM($K82)="",TRIM($D82)=""))),1,0))</f>
        <v/>
      </c>
      <c r="T82" s="32">
        <f>IF($M82=0,0,IF(TRIM($E82)="",IF(OR($N82="Passed",$N82="Failed"),1,0),IF(OR(SUMPRODUCT(--(TRIM(LEFT(Summary!$G$6:$G$13,FIND(" (",Summary!$G$6:$G$13&amp;" (")-1))=TRIM(LEFT($E82,FIND(" (",$E82&amp;" (")-1))))&gt;0,TRIM(LEFT($E82,FIND(" (",$E82&amp;" (")-1))=TRIM(LEFT($D82,FIND(" (",$D82&amp;" (")-1))),1,0)))</f>
        <v/>
      </c>
      <c r="U82" s="32">
        <f>IF($M82=0,0,IF(OR($N82="Passed",$N82="Failed"),IF(OR(TRIM($G82)="",TRIM($H82)="",NOT(ISNUMBER($C82)),AND($N82="Failed",TRIM($I82)="")),1,IF($C82&gt;Summary!$B$12,1,0)),IF($N82="Not run",IF(TRIM($I82)="",1,0),IF(OR(TRIM($G82)&lt;&gt;"",TRIM($H82)&lt;&gt;""),1,0))))</f>
        <v/>
      </c>
      <c r="V82" s="32">
        <f>IF(OR($M82=0,$N82&lt;&gt;"Planned",NOT(ISNUMBER($C82))),0,IF($C82&lt;Summary!$B$12,1,0))</f>
        <v/>
      </c>
      <c r="W82" s="32">
        <f>IF(OR($M82=0,$O82=0,$N82="Not run",TRIM($L82)=""),0,IF(TRIM($L82)=TRIM(INDEX(Criteria!$D$6:$D$105,MATCH($B82,Criteria!$A$6:$A$105,0))),0,1))</f>
        <v/>
      </c>
      <c r="X82" s="32">
        <f>IF(OR($M82=0,$O82=0,$N82="Not run"),0,IF(OR(TRIM($L82)="",AND($N82="Planned",TRIM(INDEX(Criteria!$D$6:$D$105,MATCH($B82,Criteria!$A$6:$A$105,0)))="")),1,0))</f>
        <v/>
      </c>
    </row>
    <row r="83">
      <c r="A83" s="27" t="n"/>
      <c r="B83" s="27" t="n"/>
      <c r="C83" s="29" t="n"/>
      <c r="D83" s="28" t="n"/>
      <c r="E83" s="28" t="n"/>
      <c r="F83" s="27" t="n"/>
      <c r="G83" s="28" t="n"/>
      <c r="H83" s="28" t="n"/>
      <c r="I83" s="28" t="n"/>
      <c r="J83" s="19">
        <f>IF($M83=0,"",IF(SUM($S83:$X83)=0,"○ Clear",IF($S83=1,"△ Run, For, Date, Tested on or Run by missing or wrong",IF($X83=1,IF(AND($N83="Planned",TRIM(INDEX(Criteria!$D$6:$D$105,MATCH($B83,Criteria!$A$6:$A$105,0)))=""),"△ The criterion has no Pass line","△ Pass line used is blank"),IF($T83=1,"△ Checked by a builder, the runner or nobody",IF($U83=1,IF($N83="Planned","△ Result or File typed on a planned run",IF(AND(OR($N83="Passed",$N83="Failed"),TRIM($G83)&lt;&gt;"",TRIM($H83)&lt;&gt;"",ISNUMBER($C83),NOT(AND($N83="Failed",TRIM($I83)=""))),"△ Result dated after the date the checks use","△ Result, File or Reason missing")),IF($V83=1,"△ Planned day has passed, with no result","△ Pass line has changed since this run was planned")))))&amp;IF(SUM($S83:$X83)&gt;1,", and "&amp;(SUM($S83:$X83)-1)&amp;" more","")))</f>
        <v/>
      </c>
      <c r="K83" s="28" t="n"/>
      <c r="L83" s="28" t="n"/>
      <c r="M83" s="32">
        <f>IF(COUNTA($A83:$I83)+COUNTA($K83:$L83)&gt;0,1,0)</f>
        <v/>
      </c>
      <c r="N83" s="22">
        <f>IF($M83=0,"",IF($F83="","Planned",$F83))</f>
        <v/>
      </c>
      <c r="O83" s="32">
        <f>IF(OR($M83=0,TRIM($B83)=""),0,IF(COUNTIF(Criteria!$A$6:$A$105,$B83)&gt;0,1,0))</f>
        <v/>
      </c>
      <c r="P83" s="32">
        <f>IF(OR($M83=0,TRIM($B83)=""),0,IF(AND(LEN($B83)&gt;1,ISNUMBER(MATCH(LEFT($B83,1),{"R","I","A","X"},0)),ISNUMBER(VALUE(MID($B83,2,5)))),1,0))</f>
        <v/>
      </c>
      <c r="Q83" s="32">
        <f>IF(OR($M83=0,TRIM($B83)="",$N83="Planned"),0,IF(COUNTIFS($B$6:$B$105,$B83,$C$6:$C$105,"&gt;"&amp;$C83,$N$6:$N$105,"&lt;&gt;Planned")+COUNTIFS($B84:$B$106,$B83,$C84:$C$106,$C83,$N84:$N$106,"&lt;&gt;Planned")=0,1,0))</f>
        <v/>
      </c>
      <c r="R83" s="22">
        <f>IF($Q83=1,$B83,"")</f>
        <v/>
      </c>
      <c r="S83" s="32">
        <f>IF($M83=0,0,IF(OR(TRIM($A83)="",COUNTIF($A$6:$A$105,$A83)&gt;1,TRIM($B83)="",AND($O83=0,$P83=0),NOT(ISNUMBER($C83)),AND($N83&lt;&gt;"Not run",OR(TRIM($K83)="",TRIM($D83)=""))),1,0))</f>
        <v/>
      </c>
      <c r="T83" s="32">
        <f>IF($M83=0,0,IF(TRIM($E83)="",IF(OR($N83="Passed",$N83="Failed"),1,0),IF(OR(SUMPRODUCT(--(TRIM(LEFT(Summary!$G$6:$G$13,FIND(" (",Summary!$G$6:$G$13&amp;" (")-1))=TRIM(LEFT($E83,FIND(" (",$E83&amp;" (")-1))))&gt;0,TRIM(LEFT($E83,FIND(" (",$E83&amp;" (")-1))=TRIM(LEFT($D83,FIND(" (",$D83&amp;" (")-1))),1,0)))</f>
        <v/>
      </c>
      <c r="U83" s="32">
        <f>IF($M83=0,0,IF(OR($N83="Passed",$N83="Failed"),IF(OR(TRIM($G83)="",TRIM($H83)="",NOT(ISNUMBER($C83)),AND($N83="Failed",TRIM($I83)="")),1,IF($C83&gt;Summary!$B$12,1,0)),IF($N83="Not run",IF(TRIM($I83)="",1,0),IF(OR(TRIM($G83)&lt;&gt;"",TRIM($H83)&lt;&gt;""),1,0))))</f>
        <v/>
      </c>
      <c r="V83" s="32">
        <f>IF(OR($M83=0,$N83&lt;&gt;"Planned",NOT(ISNUMBER($C83))),0,IF($C83&lt;Summary!$B$12,1,0))</f>
        <v/>
      </c>
      <c r="W83" s="32">
        <f>IF(OR($M83=0,$O83=0,$N83="Not run",TRIM($L83)=""),0,IF(TRIM($L83)=TRIM(INDEX(Criteria!$D$6:$D$105,MATCH($B83,Criteria!$A$6:$A$105,0))),0,1))</f>
        <v/>
      </c>
      <c r="X83" s="32">
        <f>IF(OR($M83=0,$O83=0,$N83="Not run"),0,IF(OR(TRIM($L83)="",AND($N83="Planned",TRIM(INDEX(Criteria!$D$6:$D$105,MATCH($B83,Criteria!$A$6:$A$105,0)))="")),1,0))</f>
        <v/>
      </c>
    </row>
    <row r="84">
      <c r="A84" s="27" t="n"/>
      <c r="B84" s="27" t="n"/>
      <c r="C84" s="29" t="n"/>
      <c r="D84" s="28" t="n"/>
      <c r="E84" s="28" t="n"/>
      <c r="F84" s="27" t="n"/>
      <c r="G84" s="28" t="n"/>
      <c r="H84" s="28" t="n"/>
      <c r="I84" s="28" t="n"/>
      <c r="J84" s="19">
        <f>IF($M84=0,"",IF(SUM($S84:$X84)=0,"○ Clear",IF($S84=1,"△ Run, For, Date, Tested on or Run by missing or wrong",IF($X84=1,IF(AND($N84="Planned",TRIM(INDEX(Criteria!$D$6:$D$105,MATCH($B84,Criteria!$A$6:$A$105,0)))=""),"△ The criterion has no Pass line","△ Pass line used is blank"),IF($T84=1,"△ Checked by a builder, the runner or nobody",IF($U84=1,IF($N84="Planned","△ Result or File typed on a planned run",IF(AND(OR($N84="Passed",$N84="Failed"),TRIM($G84)&lt;&gt;"",TRIM($H84)&lt;&gt;"",ISNUMBER($C84),NOT(AND($N84="Failed",TRIM($I84)=""))),"△ Result dated after the date the checks use","△ Result, File or Reason missing")),IF($V84=1,"△ Planned day has passed, with no result","△ Pass line has changed since this run was planned")))))&amp;IF(SUM($S84:$X84)&gt;1,", and "&amp;(SUM($S84:$X84)-1)&amp;" more","")))</f>
        <v/>
      </c>
      <c r="K84" s="28" t="n"/>
      <c r="L84" s="28" t="n"/>
      <c r="M84" s="32">
        <f>IF(COUNTA($A84:$I84)+COUNTA($K84:$L84)&gt;0,1,0)</f>
        <v/>
      </c>
      <c r="N84" s="22">
        <f>IF($M84=0,"",IF($F84="","Planned",$F84))</f>
        <v/>
      </c>
      <c r="O84" s="32">
        <f>IF(OR($M84=0,TRIM($B84)=""),0,IF(COUNTIF(Criteria!$A$6:$A$105,$B84)&gt;0,1,0))</f>
        <v/>
      </c>
      <c r="P84" s="32">
        <f>IF(OR($M84=0,TRIM($B84)=""),0,IF(AND(LEN($B84)&gt;1,ISNUMBER(MATCH(LEFT($B84,1),{"R","I","A","X"},0)),ISNUMBER(VALUE(MID($B84,2,5)))),1,0))</f>
        <v/>
      </c>
      <c r="Q84" s="32">
        <f>IF(OR($M84=0,TRIM($B84)="",$N84="Planned"),0,IF(COUNTIFS($B$6:$B$105,$B84,$C$6:$C$105,"&gt;"&amp;$C84,$N$6:$N$105,"&lt;&gt;Planned")+COUNTIFS($B85:$B$106,$B84,$C85:$C$106,$C84,$N85:$N$106,"&lt;&gt;Planned")=0,1,0))</f>
        <v/>
      </c>
      <c r="R84" s="22">
        <f>IF($Q84=1,$B84,"")</f>
        <v/>
      </c>
      <c r="S84" s="32">
        <f>IF($M84=0,0,IF(OR(TRIM($A84)="",COUNTIF($A$6:$A$105,$A84)&gt;1,TRIM($B84)="",AND($O84=0,$P84=0),NOT(ISNUMBER($C84)),AND($N84&lt;&gt;"Not run",OR(TRIM($K84)="",TRIM($D84)=""))),1,0))</f>
        <v/>
      </c>
      <c r="T84" s="32">
        <f>IF($M84=0,0,IF(TRIM($E84)="",IF(OR($N84="Passed",$N84="Failed"),1,0),IF(OR(SUMPRODUCT(--(TRIM(LEFT(Summary!$G$6:$G$13,FIND(" (",Summary!$G$6:$G$13&amp;" (")-1))=TRIM(LEFT($E84,FIND(" (",$E84&amp;" (")-1))))&gt;0,TRIM(LEFT($E84,FIND(" (",$E84&amp;" (")-1))=TRIM(LEFT($D84,FIND(" (",$D84&amp;" (")-1))),1,0)))</f>
        <v/>
      </c>
      <c r="U84" s="32">
        <f>IF($M84=0,0,IF(OR($N84="Passed",$N84="Failed"),IF(OR(TRIM($G84)="",TRIM($H84)="",NOT(ISNUMBER($C84)),AND($N84="Failed",TRIM($I84)="")),1,IF($C84&gt;Summary!$B$12,1,0)),IF($N84="Not run",IF(TRIM($I84)="",1,0),IF(OR(TRIM($G84)&lt;&gt;"",TRIM($H84)&lt;&gt;""),1,0))))</f>
        <v/>
      </c>
      <c r="V84" s="32">
        <f>IF(OR($M84=0,$N84&lt;&gt;"Planned",NOT(ISNUMBER($C84))),0,IF($C84&lt;Summary!$B$12,1,0))</f>
        <v/>
      </c>
      <c r="W84" s="32">
        <f>IF(OR($M84=0,$O84=0,$N84="Not run",TRIM($L84)=""),0,IF(TRIM($L84)=TRIM(INDEX(Criteria!$D$6:$D$105,MATCH($B84,Criteria!$A$6:$A$105,0))),0,1))</f>
        <v/>
      </c>
      <c r="X84" s="32">
        <f>IF(OR($M84=0,$O84=0,$N84="Not run"),0,IF(OR(TRIM($L84)="",AND($N84="Planned",TRIM(INDEX(Criteria!$D$6:$D$105,MATCH($B84,Criteria!$A$6:$A$105,0)))="")),1,0))</f>
        <v/>
      </c>
    </row>
    <row r="85">
      <c r="A85" s="27" t="n"/>
      <c r="B85" s="27" t="n"/>
      <c r="C85" s="29" t="n"/>
      <c r="D85" s="28" t="n"/>
      <c r="E85" s="28" t="n"/>
      <c r="F85" s="27" t="n"/>
      <c r="G85" s="28" t="n"/>
      <c r="H85" s="28" t="n"/>
      <c r="I85" s="28" t="n"/>
      <c r="J85" s="19">
        <f>IF($M85=0,"",IF(SUM($S85:$X85)=0,"○ Clear",IF($S85=1,"△ Run, For, Date, Tested on or Run by missing or wrong",IF($X85=1,IF(AND($N85="Planned",TRIM(INDEX(Criteria!$D$6:$D$105,MATCH($B85,Criteria!$A$6:$A$105,0)))=""),"△ The criterion has no Pass line","△ Pass line used is blank"),IF($T85=1,"△ Checked by a builder, the runner or nobody",IF($U85=1,IF($N85="Planned","△ Result or File typed on a planned run",IF(AND(OR($N85="Passed",$N85="Failed"),TRIM($G85)&lt;&gt;"",TRIM($H85)&lt;&gt;"",ISNUMBER($C85),NOT(AND($N85="Failed",TRIM($I85)=""))),"△ Result dated after the date the checks use","△ Result, File or Reason missing")),IF($V85=1,"△ Planned day has passed, with no result","△ Pass line has changed since this run was planned")))))&amp;IF(SUM($S85:$X85)&gt;1,", and "&amp;(SUM($S85:$X85)-1)&amp;" more","")))</f>
        <v/>
      </c>
      <c r="K85" s="28" t="n"/>
      <c r="L85" s="28" t="n"/>
      <c r="M85" s="32">
        <f>IF(COUNTA($A85:$I85)+COUNTA($K85:$L85)&gt;0,1,0)</f>
        <v/>
      </c>
      <c r="N85" s="22">
        <f>IF($M85=0,"",IF($F85="","Planned",$F85))</f>
        <v/>
      </c>
      <c r="O85" s="32">
        <f>IF(OR($M85=0,TRIM($B85)=""),0,IF(COUNTIF(Criteria!$A$6:$A$105,$B85)&gt;0,1,0))</f>
        <v/>
      </c>
      <c r="P85" s="32">
        <f>IF(OR($M85=0,TRIM($B85)=""),0,IF(AND(LEN($B85)&gt;1,ISNUMBER(MATCH(LEFT($B85,1),{"R","I","A","X"},0)),ISNUMBER(VALUE(MID($B85,2,5)))),1,0))</f>
        <v/>
      </c>
      <c r="Q85" s="32">
        <f>IF(OR($M85=0,TRIM($B85)="",$N85="Planned"),0,IF(COUNTIFS($B$6:$B$105,$B85,$C$6:$C$105,"&gt;"&amp;$C85,$N$6:$N$105,"&lt;&gt;Planned")+COUNTIFS($B86:$B$106,$B85,$C86:$C$106,$C85,$N86:$N$106,"&lt;&gt;Planned")=0,1,0))</f>
        <v/>
      </c>
      <c r="R85" s="22">
        <f>IF($Q85=1,$B85,"")</f>
        <v/>
      </c>
      <c r="S85" s="32">
        <f>IF($M85=0,0,IF(OR(TRIM($A85)="",COUNTIF($A$6:$A$105,$A85)&gt;1,TRIM($B85)="",AND($O85=0,$P85=0),NOT(ISNUMBER($C85)),AND($N85&lt;&gt;"Not run",OR(TRIM($K85)="",TRIM($D85)=""))),1,0))</f>
        <v/>
      </c>
      <c r="T85" s="32">
        <f>IF($M85=0,0,IF(TRIM($E85)="",IF(OR($N85="Passed",$N85="Failed"),1,0),IF(OR(SUMPRODUCT(--(TRIM(LEFT(Summary!$G$6:$G$13,FIND(" (",Summary!$G$6:$G$13&amp;" (")-1))=TRIM(LEFT($E85,FIND(" (",$E85&amp;" (")-1))))&gt;0,TRIM(LEFT($E85,FIND(" (",$E85&amp;" (")-1))=TRIM(LEFT($D85,FIND(" (",$D85&amp;" (")-1))),1,0)))</f>
        <v/>
      </c>
      <c r="U85" s="32">
        <f>IF($M85=0,0,IF(OR($N85="Passed",$N85="Failed"),IF(OR(TRIM($G85)="",TRIM($H85)="",NOT(ISNUMBER($C85)),AND($N85="Failed",TRIM($I85)="")),1,IF($C85&gt;Summary!$B$12,1,0)),IF($N85="Not run",IF(TRIM($I85)="",1,0),IF(OR(TRIM($G85)&lt;&gt;"",TRIM($H85)&lt;&gt;""),1,0))))</f>
        <v/>
      </c>
      <c r="V85" s="32">
        <f>IF(OR($M85=0,$N85&lt;&gt;"Planned",NOT(ISNUMBER($C85))),0,IF($C85&lt;Summary!$B$12,1,0))</f>
        <v/>
      </c>
      <c r="W85" s="32">
        <f>IF(OR($M85=0,$O85=0,$N85="Not run",TRIM($L85)=""),0,IF(TRIM($L85)=TRIM(INDEX(Criteria!$D$6:$D$105,MATCH($B85,Criteria!$A$6:$A$105,0))),0,1))</f>
        <v/>
      </c>
      <c r="X85" s="32">
        <f>IF(OR($M85=0,$O85=0,$N85="Not run"),0,IF(OR(TRIM($L85)="",AND($N85="Planned",TRIM(INDEX(Criteria!$D$6:$D$105,MATCH($B85,Criteria!$A$6:$A$105,0)))="")),1,0))</f>
        <v/>
      </c>
    </row>
    <row r="86">
      <c r="A86" s="27" t="n"/>
      <c r="B86" s="27" t="n"/>
      <c r="C86" s="29" t="n"/>
      <c r="D86" s="28" t="n"/>
      <c r="E86" s="28" t="n"/>
      <c r="F86" s="27" t="n"/>
      <c r="G86" s="28" t="n"/>
      <c r="H86" s="28" t="n"/>
      <c r="I86" s="28" t="n"/>
      <c r="J86" s="19">
        <f>IF($M86=0,"",IF(SUM($S86:$X86)=0,"○ Clear",IF($S86=1,"△ Run, For, Date, Tested on or Run by missing or wrong",IF($X86=1,IF(AND($N86="Planned",TRIM(INDEX(Criteria!$D$6:$D$105,MATCH($B86,Criteria!$A$6:$A$105,0)))=""),"△ The criterion has no Pass line","△ Pass line used is blank"),IF($T86=1,"△ Checked by a builder, the runner or nobody",IF($U86=1,IF($N86="Planned","△ Result or File typed on a planned run",IF(AND(OR($N86="Passed",$N86="Failed"),TRIM($G86)&lt;&gt;"",TRIM($H86)&lt;&gt;"",ISNUMBER($C86),NOT(AND($N86="Failed",TRIM($I86)=""))),"△ Result dated after the date the checks use","△ Result, File or Reason missing")),IF($V86=1,"△ Planned day has passed, with no result","△ Pass line has changed since this run was planned")))))&amp;IF(SUM($S86:$X86)&gt;1,", and "&amp;(SUM($S86:$X86)-1)&amp;" more","")))</f>
        <v/>
      </c>
      <c r="K86" s="28" t="n"/>
      <c r="L86" s="28" t="n"/>
      <c r="M86" s="32">
        <f>IF(COUNTA($A86:$I86)+COUNTA($K86:$L86)&gt;0,1,0)</f>
        <v/>
      </c>
      <c r="N86" s="22">
        <f>IF($M86=0,"",IF($F86="","Planned",$F86))</f>
        <v/>
      </c>
      <c r="O86" s="32">
        <f>IF(OR($M86=0,TRIM($B86)=""),0,IF(COUNTIF(Criteria!$A$6:$A$105,$B86)&gt;0,1,0))</f>
        <v/>
      </c>
      <c r="P86" s="32">
        <f>IF(OR($M86=0,TRIM($B86)=""),0,IF(AND(LEN($B86)&gt;1,ISNUMBER(MATCH(LEFT($B86,1),{"R","I","A","X"},0)),ISNUMBER(VALUE(MID($B86,2,5)))),1,0))</f>
        <v/>
      </c>
      <c r="Q86" s="32">
        <f>IF(OR($M86=0,TRIM($B86)="",$N86="Planned"),0,IF(COUNTIFS($B$6:$B$105,$B86,$C$6:$C$105,"&gt;"&amp;$C86,$N$6:$N$105,"&lt;&gt;Planned")+COUNTIFS($B87:$B$106,$B86,$C87:$C$106,$C86,$N87:$N$106,"&lt;&gt;Planned")=0,1,0))</f>
        <v/>
      </c>
      <c r="R86" s="22">
        <f>IF($Q86=1,$B86,"")</f>
        <v/>
      </c>
      <c r="S86" s="32">
        <f>IF($M86=0,0,IF(OR(TRIM($A86)="",COUNTIF($A$6:$A$105,$A86)&gt;1,TRIM($B86)="",AND($O86=0,$P86=0),NOT(ISNUMBER($C86)),AND($N86&lt;&gt;"Not run",OR(TRIM($K86)="",TRIM($D86)=""))),1,0))</f>
        <v/>
      </c>
      <c r="T86" s="32">
        <f>IF($M86=0,0,IF(TRIM($E86)="",IF(OR($N86="Passed",$N86="Failed"),1,0),IF(OR(SUMPRODUCT(--(TRIM(LEFT(Summary!$G$6:$G$13,FIND(" (",Summary!$G$6:$G$13&amp;" (")-1))=TRIM(LEFT($E86,FIND(" (",$E86&amp;" (")-1))))&gt;0,TRIM(LEFT($E86,FIND(" (",$E86&amp;" (")-1))=TRIM(LEFT($D86,FIND(" (",$D86&amp;" (")-1))),1,0)))</f>
        <v/>
      </c>
      <c r="U86" s="32">
        <f>IF($M86=0,0,IF(OR($N86="Passed",$N86="Failed"),IF(OR(TRIM($G86)="",TRIM($H86)="",NOT(ISNUMBER($C86)),AND($N86="Failed",TRIM($I86)="")),1,IF($C86&gt;Summary!$B$12,1,0)),IF($N86="Not run",IF(TRIM($I86)="",1,0),IF(OR(TRIM($G86)&lt;&gt;"",TRIM($H86)&lt;&gt;""),1,0))))</f>
        <v/>
      </c>
      <c r="V86" s="32">
        <f>IF(OR($M86=0,$N86&lt;&gt;"Planned",NOT(ISNUMBER($C86))),0,IF($C86&lt;Summary!$B$12,1,0))</f>
        <v/>
      </c>
      <c r="W86" s="32">
        <f>IF(OR($M86=0,$O86=0,$N86="Not run",TRIM($L86)=""),0,IF(TRIM($L86)=TRIM(INDEX(Criteria!$D$6:$D$105,MATCH($B86,Criteria!$A$6:$A$105,0))),0,1))</f>
        <v/>
      </c>
      <c r="X86" s="32">
        <f>IF(OR($M86=0,$O86=0,$N86="Not run"),0,IF(OR(TRIM($L86)="",AND($N86="Planned",TRIM(INDEX(Criteria!$D$6:$D$105,MATCH($B86,Criteria!$A$6:$A$105,0)))="")),1,0))</f>
        <v/>
      </c>
    </row>
    <row r="87">
      <c r="A87" s="27" t="n"/>
      <c r="B87" s="27" t="n"/>
      <c r="C87" s="29" t="n"/>
      <c r="D87" s="28" t="n"/>
      <c r="E87" s="28" t="n"/>
      <c r="F87" s="27" t="n"/>
      <c r="G87" s="28" t="n"/>
      <c r="H87" s="28" t="n"/>
      <c r="I87" s="28" t="n"/>
      <c r="J87" s="19">
        <f>IF($M87=0,"",IF(SUM($S87:$X87)=0,"○ Clear",IF($S87=1,"△ Run, For, Date, Tested on or Run by missing or wrong",IF($X87=1,IF(AND($N87="Planned",TRIM(INDEX(Criteria!$D$6:$D$105,MATCH($B87,Criteria!$A$6:$A$105,0)))=""),"△ The criterion has no Pass line","△ Pass line used is blank"),IF($T87=1,"△ Checked by a builder, the runner or nobody",IF($U87=1,IF($N87="Planned","△ Result or File typed on a planned run",IF(AND(OR($N87="Passed",$N87="Failed"),TRIM($G87)&lt;&gt;"",TRIM($H87)&lt;&gt;"",ISNUMBER($C87),NOT(AND($N87="Failed",TRIM($I87)=""))),"△ Result dated after the date the checks use","△ Result, File or Reason missing")),IF($V87=1,"△ Planned day has passed, with no result","△ Pass line has changed since this run was planned")))))&amp;IF(SUM($S87:$X87)&gt;1,", and "&amp;(SUM($S87:$X87)-1)&amp;" more","")))</f>
        <v/>
      </c>
      <c r="K87" s="28" t="n"/>
      <c r="L87" s="28" t="n"/>
      <c r="M87" s="32">
        <f>IF(COUNTA($A87:$I87)+COUNTA($K87:$L87)&gt;0,1,0)</f>
        <v/>
      </c>
      <c r="N87" s="22">
        <f>IF($M87=0,"",IF($F87="","Planned",$F87))</f>
        <v/>
      </c>
      <c r="O87" s="32">
        <f>IF(OR($M87=0,TRIM($B87)=""),0,IF(COUNTIF(Criteria!$A$6:$A$105,$B87)&gt;0,1,0))</f>
        <v/>
      </c>
      <c r="P87" s="32">
        <f>IF(OR($M87=0,TRIM($B87)=""),0,IF(AND(LEN($B87)&gt;1,ISNUMBER(MATCH(LEFT($B87,1),{"R","I","A","X"},0)),ISNUMBER(VALUE(MID($B87,2,5)))),1,0))</f>
        <v/>
      </c>
      <c r="Q87" s="32">
        <f>IF(OR($M87=0,TRIM($B87)="",$N87="Planned"),0,IF(COUNTIFS($B$6:$B$105,$B87,$C$6:$C$105,"&gt;"&amp;$C87,$N$6:$N$105,"&lt;&gt;Planned")+COUNTIFS($B88:$B$106,$B87,$C88:$C$106,$C87,$N88:$N$106,"&lt;&gt;Planned")=0,1,0))</f>
        <v/>
      </c>
      <c r="R87" s="22">
        <f>IF($Q87=1,$B87,"")</f>
        <v/>
      </c>
      <c r="S87" s="32">
        <f>IF($M87=0,0,IF(OR(TRIM($A87)="",COUNTIF($A$6:$A$105,$A87)&gt;1,TRIM($B87)="",AND($O87=0,$P87=0),NOT(ISNUMBER($C87)),AND($N87&lt;&gt;"Not run",OR(TRIM($K87)="",TRIM($D87)=""))),1,0))</f>
        <v/>
      </c>
      <c r="T87" s="32">
        <f>IF($M87=0,0,IF(TRIM($E87)="",IF(OR($N87="Passed",$N87="Failed"),1,0),IF(OR(SUMPRODUCT(--(TRIM(LEFT(Summary!$G$6:$G$13,FIND(" (",Summary!$G$6:$G$13&amp;" (")-1))=TRIM(LEFT($E87,FIND(" (",$E87&amp;" (")-1))))&gt;0,TRIM(LEFT($E87,FIND(" (",$E87&amp;" (")-1))=TRIM(LEFT($D87,FIND(" (",$D87&amp;" (")-1))),1,0)))</f>
        <v/>
      </c>
      <c r="U87" s="32">
        <f>IF($M87=0,0,IF(OR($N87="Passed",$N87="Failed"),IF(OR(TRIM($G87)="",TRIM($H87)="",NOT(ISNUMBER($C87)),AND($N87="Failed",TRIM($I87)="")),1,IF($C87&gt;Summary!$B$12,1,0)),IF($N87="Not run",IF(TRIM($I87)="",1,0),IF(OR(TRIM($G87)&lt;&gt;"",TRIM($H87)&lt;&gt;""),1,0))))</f>
        <v/>
      </c>
      <c r="V87" s="32">
        <f>IF(OR($M87=0,$N87&lt;&gt;"Planned",NOT(ISNUMBER($C87))),0,IF($C87&lt;Summary!$B$12,1,0))</f>
        <v/>
      </c>
      <c r="W87" s="32">
        <f>IF(OR($M87=0,$O87=0,$N87="Not run",TRIM($L87)=""),0,IF(TRIM($L87)=TRIM(INDEX(Criteria!$D$6:$D$105,MATCH($B87,Criteria!$A$6:$A$105,0))),0,1))</f>
        <v/>
      </c>
      <c r="X87" s="32">
        <f>IF(OR($M87=0,$O87=0,$N87="Not run"),0,IF(OR(TRIM($L87)="",AND($N87="Planned",TRIM(INDEX(Criteria!$D$6:$D$105,MATCH($B87,Criteria!$A$6:$A$105,0)))="")),1,0))</f>
        <v/>
      </c>
    </row>
    <row r="88">
      <c r="A88" s="27" t="n"/>
      <c r="B88" s="27" t="n"/>
      <c r="C88" s="29" t="n"/>
      <c r="D88" s="28" t="n"/>
      <c r="E88" s="28" t="n"/>
      <c r="F88" s="27" t="n"/>
      <c r="G88" s="28" t="n"/>
      <c r="H88" s="28" t="n"/>
      <c r="I88" s="28" t="n"/>
      <c r="J88" s="19">
        <f>IF($M88=0,"",IF(SUM($S88:$X88)=0,"○ Clear",IF($S88=1,"△ Run, For, Date, Tested on or Run by missing or wrong",IF($X88=1,IF(AND($N88="Planned",TRIM(INDEX(Criteria!$D$6:$D$105,MATCH($B88,Criteria!$A$6:$A$105,0)))=""),"△ The criterion has no Pass line","△ Pass line used is blank"),IF($T88=1,"△ Checked by a builder, the runner or nobody",IF($U88=1,IF($N88="Planned","△ Result or File typed on a planned run",IF(AND(OR($N88="Passed",$N88="Failed"),TRIM($G88)&lt;&gt;"",TRIM($H88)&lt;&gt;"",ISNUMBER($C88),NOT(AND($N88="Failed",TRIM($I88)=""))),"△ Result dated after the date the checks use","△ Result, File or Reason missing")),IF($V88=1,"△ Planned day has passed, with no result","△ Pass line has changed since this run was planned")))))&amp;IF(SUM($S88:$X88)&gt;1,", and "&amp;(SUM($S88:$X88)-1)&amp;" more","")))</f>
        <v/>
      </c>
      <c r="K88" s="28" t="n"/>
      <c r="L88" s="28" t="n"/>
      <c r="M88" s="32">
        <f>IF(COUNTA($A88:$I88)+COUNTA($K88:$L88)&gt;0,1,0)</f>
        <v/>
      </c>
      <c r="N88" s="22">
        <f>IF($M88=0,"",IF($F88="","Planned",$F88))</f>
        <v/>
      </c>
      <c r="O88" s="32">
        <f>IF(OR($M88=0,TRIM($B88)=""),0,IF(COUNTIF(Criteria!$A$6:$A$105,$B88)&gt;0,1,0))</f>
        <v/>
      </c>
      <c r="P88" s="32">
        <f>IF(OR($M88=0,TRIM($B88)=""),0,IF(AND(LEN($B88)&gt;1,ISNUMBER(MATCH(LEFT($B88,1),{"R","I","A","X"},0)),ISNUMBER(VALUE(MID($B88,2,5)))),1,0))</f>
        <v/>
      </c>
      <c r="Q88" s="32">
        <f>IF(OR($M88=0,TRIM($B88)="",$N88="Planned"),0,IF(COUNTIFS($B$6:$B$105,$B88,$C$6:$C$105,"&gt;"&amp;$C88,$N$6:$N$105,"&lt;&gt;Planned")+COUNTIFS($B89:$B$106,$B88,$C89:$C$106,$C88,$N89:$N$106,"&lt;&gt;Planned")=0,1,0))</f>
        <v/>
      </c>
      <c r="R88" s="22">
        <f>IF($Q88=1,$B88,"")</f>
        <v/>
      </c>
      <c r="S88" s="32">
        <f>IF($M88=0,0,IF(OR(TRIM($A88)="",COUNTIF($A$6:$A$105,$A88)&gt;1,TRIM($B88)="",AND($O88=0,$P88=0),NOT(ISNUMBER($C88)),AND($N88&lt;&gt;"Not run",OR(TRIM($K88)="",TRIM($D88)=""))),1,0))</f>
        <v/>
      </c>
      <c r="T88" s="32">
        <f>IF($M88=0,0,IF(TRIM($E88)="",IF(OR($N88="Passed",$N88="Failed"),1,0),IF(OR(SUMPRODUCT(--(TRIM(LEFT(Summary!$G$6:$G$13,FIND(" (",Summary!$G$6:$G$13&amp;" (")-1))=TRIM(LEFT($E88,FIND(" (",$E88&amp;" (")-1))))&gt;0,TRIM(LEFT($E88,FIND(" (",$E88&amp;" (")-1))=TRIM(LEFT($D88,FIND(" (",$D88&amp;" (")-1))),1,0)))</f>
        <v/>
      </c>
      <c r="U88" s="32">
        <f>IF($M88=0,0,IF(OR($N88="Passed",$N88="Failed"),IF(OR(TRIM($G88)="",TRIM($H88)="",NOT(ISNUMBER($C88)),AND($N88="Failed",TRIM($I88)="")),1,IF($C88&gt;Summary!$B$12,1,0)),IF($N88="Not run",IF(TRIM($I88)="",1,0),IF(OR(TRIM($G88)&lt;&gt;"",TRIM($H88)&lt;&gt;""),1,0))))</f>
        <v/>
      </c>
      <c r="V88" s="32">
        <f>IF(OR($M88=0,$N88&lt;&gt;"Planned",NOT(ISNUMBER($C88))),0,IF($C88&lt;Summary!$B$12,1,0))</f>
        <v/>
      </c>
      <c r="W88" s="32">
        <f>IF(OR($M88=0,$O88=0,$N88="Not run",TRIM($L88)=""),0,IF(TRIM($L88)=TRIM(INDEX(Criteria!$D$6:$D$105,MATCH($B88,Criteria!$A$6:$A$105,0))),0,1))</f>
        <v/>
      </c>
      <c r="X88" s="32">
        <f>IF(OR($M88=0,$O88=0,$N88="Not run"),0,IF(OR(TRIM($L88)="",AND($N88="Planned",TRIM(INDEX(Criteria!$D$6:$D$105,MATCH($B88,Criteria!$A$6:$A$105,0)))="")),1,0))</f>
        <v/>
      </c>
    </row>
    <row r="89">
      <c r="A89" s="27" t="n"/>
      <c r="B89" s="27" t="n"/>
      <c r="C89" s="29" t="n"/>
      <c r="D89" s="28" t="n"/>
      <c r="E89" s="28" t="n"/>
      <c r="F89" s="27" t="n"/>
      <c r="G89" s="28" t="n"/>
      <c r="H89" s="28" t="n"/>
      <c r="I89" s="28" t="n"/>
      <c r="J89" s="19">
        <f>IF($M89=0,"",IF(SUM($S89:$X89)=0,"○ Clear",IF($S89=1,"△ Run, For, Date, Tested on or Run by missing or wrong",IF($X89=1,IF(AND($N89="Planned",TRIM(INDEX(Criteria!$D$6:$D$105,MATCH($B89,Criteria!$A$6:$A$105,0)))=""),"△ The criterion has no Pass line","△ Pass line used is blank"),IF($T89=1,"△ Checked by a builder, the runner or nobody",IF($U89=1,IF($N89="Planned","△ Result or File typed on a planned run",IF(AND(OR($N89="Passed",$N89="Failed"),TRIM($G89)&lt;&gt;"",TRIM($H89)&lt;&gt;"",ISNUMBER($C89),NOT(AND($N89="Failed",TRIM($I89)=""))),"△ Result dated after the date the checks use","△ Result, File or Reason missing")),IF($V89=1,"△ Planned day has passed, with no result","△ Pass line has changed since this run was planned")))))&amp;IF(SUM($S89:$X89)&gt;1,", and "&amp;(SUM($S89:$X89)-1)&amp;" more","")))</f>
        <v/>
      </c>
      <c r="K89" s="28" t="n"/>
      <c r="L89" s="28" t="n"/>
      <c r="M89" s="32">
        <f>IF(COUNTA($A89:$I89)+COUNTA($K89:$L89)&gt;0,1,0)</f>
        <v/>
      </c>
      <c r="N89" s="22">
        <f>IF($M89=0,"",IF($F89="","Planned",$F89))</f>
        <v/>
      </c>
      <c r="O89" s="32">
        <f>IF(OR($M89=0,TRIM($B89)=""),0,IF(COUNTIF(Criteria!$A$6:$A$105,$B89)&gt;0,1,0))</f>
        <v/>
      </c>
      <c r="P89" s="32">
        <f>IF(OR($M89=0,TRIM($B89)=""),0,IF(AND(LEN($B89)&gt;1,ISNUMBER(MATCH(LEFT($B89,1),{"R","I","A","X"},0)),ISNUMBER(VALUE(MID($B89,2,5)))),1,0))</f>
        <v/>
      </c>
      <c r="Q89" s="32">
        <f>IF(OR($M89=0,TRIM($B89)="",$N89="Planned"),0,IF(COUNTIFS($B$6:$B$105,$B89,$C$6:$C$105,"&gt;"&amp;$C89,$N$6:$N$105,"&lt;&gt;Planned")+COUNTIFS($B90:$B$106,$B89,$C90:$C$106,$C89,$N90:$N$106,"&lt;&gt;Planned")=0,1,0))</f>
        <v/>
      </c>
      <c r="R89" s="22">
        <f>IF($Q89=1,$B89,"")</f>
        <v/>
      </c>
      <c r="S89" s="32">
        <f>IF($M89=0,0,IF(OR(TRIM($A89)="",COUNTIF($A$6:$A$105,$A89)&gt;1,TRIM($B89)="",AND($O89=0,$P89=0),NOT(ISNUMBER($C89)),AND($N89&lt;&gt;"Not run",OR(TRIM($K89)="",TRIM($D89)=""))),1,0))</f>
        <v/>
      </c>
      <c r="T89" s="32">
        <f>IF($M89=0,0,IF(TRIM($E89)="",IF(OR($N89="Passed",$N89="Failed"),1,0),IF(OR(SUMPRODUCT(--(TRIM(LEFT(Summary!$G$6:$G$13,FIND(" (",Summary!$G$6:$G$13&amp;" (")-1))=TRIM(LEFT($E89,FIND(" (",$E89&amp;" (")-1))))&gt;0,TRIM(LEFT($E89,FIND(" (",$E89&amp;" (")-1))=TRIM(LEFT($D89,FIND(" (",$D89&amp;" (")-1))),1,0)))</f>
        <v/>
      </c>
      <c r="U89" s="32">
        <f>IF($M89=0,0,IF(OR($N89="Passed",$N89="Failed"),IF(OR(TRIM($G89)="",TRIM($H89)="",NOT(ISNUMBER($C89)),AND($N89="Failed",TRIM($I89)="")),1,IF($C89&gt;Summary!$B$12,1,0)),IF($N89="Not run",IF(TRIM($I89)="",1,0),IF(OR(TRIM($G89)&lt;&gt;"",TRIM($H89)&lt;&gt;""),1,0))))</f>
        <v/>
      </c>
      <c r="V89" s="32">
        <f>IF(OR($M89=0,$N89&lt;&gt;"Planned",NOT(ISNUMBER($C89))),0,IF($C89&lt;Summary!$B$12,1,0))</f>
        <v/>
      </c>
      <c r="W89" s="32">
        <f>IF(OR($M89=0,$O89=0,$N89="Not run",TRIM($L89)=""),0,IF(TRIM($L89)=TRIM(INDEX(Criteria!$D$6:$D$105,MATCH($B89,Criteria!$A$6:$A$105,0))),0,1))</f>
        <v/>
      </c>
      <c r="X89" s="32">
        <f>IF(OR($M89=0,$O89=0,$N89="Not run"),0,IF(OR(TRIM($L89)="",AND($N89="Planned",TRIM(INDEX(Criteria!$D$6:$D$105,MATCH($B89,Criteria!$A$6:$A$105,0)))="")),1,0))</f>
        <v/>
      </c>
    </row>
    <row r="90">
      <c r="A90" s="27" t="n"/>
      <c r="B90" s="27" t="n"/>
      <c r="C90" s="29" t="n"/>
      <c r="D90" s="28" t="n"/>
      <c r="E90" s="28" t="n"/>
      <c r="F90" s="27" t="n"/>
      <c r="G90" s="28" t="n"/>
      <c r="H90" s="28" t="n"/>
      <c r="I90" s="28" t="n"/>
      <c r="J90" s="19">
        <f>IF($M90=0,"",IF(SUM($S90:$X90)=0,"○ Clear",IF($S90=1,"△ Run, For, Date, Tested on or Run by missing or wrong",IF($X90=1,IF(AND($N90="Planned",TRIM(INDEX(Criteria!$D$6:$D$105,MATCH($B90,Criteria!$A$6:$A$105,0)))=""),"△ The criterion has no Pass line","△ Pass line used is blank"),IF($T90=1,"△ Checked by a builder, the runner or nobody",IF($U90=1,IF($N90="Planned","△ Result or File typed on a planned run",IF(AND(OR($N90="Passed",$N90="Failed"),TRIM($G90)&lt;&gt;"",TRIM($H90)&lt;&gt;"",ISNUMBER($C90),NOT(AND($N90="Failed",TRIM($I90)=""))),"△ Result dated after the date the checks use","△ Result, File or Reason missing")),IF($V90=1,"△ Planned day has passed, with no result","△ Pass line has changed since this run was planned")))))&amp;IF(SUM($S90:$X90)&gt;1,", and "&amp;(SUM($S90:$X90)-1)&amp;" more","")))</f>
        <v/>
      </c>
      <c r="K90" s="28" t="n"/>
      <c r="L90" s="28" t="n"/>
      <c r="M90" s="32">
        <f>IF(COUNTA($A90:$I90)+COUNTA($K90:$L90)&gt;0,1,0)</f>
        <v/>
      </c>
      <c r="N90" s="22">
        <f>IF($M90=0,"",IF($F90="","Planned",$F90))</f>
        <v/>
      </c>
      <c r="O90" s="32">
        <f>IF(OR($M90=0,TRIM($B90)=""),0,IF(COUNTIF(Criteria!$A$6:$A$105,$B90)&gt;0,1,0))</f>
        <v/>
      </c>
      <c r="P90" s="32">
        <f>IF(OR($M90=0,TRIM($B90)=""),0,IF(AND(LEN($B90)&gt;1,ISNUMBER(MATCH(LEFT($B90,1),{"R","I","A","X"},0)),ISNUMBER(VALUE(MID($B90,2,5)))),1,0))</f>
        <v/>
      </c>
      <c r="Q90" s="32">
        <f>IF(OR($M90=0,TRIM($B90)="",$N90="Planned"),0,IF(COUNTIFS($B$6:$B$105,$B90,$C$6:$C$105,"&gt;"&amp;$C90,$N$6:$N$105,"&lt;&gt;Planned")+COUNTIFS($B91:$B$106,$B90,$C91:$C$106,$C90,$N91:$N$106,"&lt;&gt;Planned")=0,1,0))</f>
        <v/>
      </c>
      <c r="R90" s="22">
        <f>IF($Q90=1,$B90,"")</f>
        <v/>
      </c>
      <c r="S90" s="32">
        <f>IF($M90=0,0,IF(OR(TRIM($A90)="",COUNTIF($A$6:$A$105,$A90)&gt;1,TRIM($B90)="",AND($O90=0,$P90=0),NOT(ISNUMBER($C90)),AND($N90&lt;&gt;"Not run",OR(TRIM($K90)="",TRIM($D90)=""))),1,0))</f>
        <v/>
      </c>
      <c r="T90" s="32">
        <f>IF($M90=0,0,IF(TRIM($E90)="",IF(OR($N90="Passed",$N90="Failed"),1,0),IF(OR(SUMPRODUCT(--(TRIM(LEFT(Summary!$G$6:$G$13,FIND(" (",Summary!$G$6:$G$13&amp;" (")-1))=TRIM(LEFT($E90,FIND(" (",$E90&amp;" (")-1))))&gt;0,TRIM(LEFT($E90,FIND(" (",$E90&amp;" (")-1))=TRIM(LEFT($D90,FIND(" (",$D90&amp;" (")-1))),1,0)))</f>
        <v/>
      </c>
      <c r="U90" s="32">
        <f>IF($M90=0,0,IF(OR($N90="Passed",$N90="Failed"),IF(OR(TRIM($G90)="",TRIM($H90)="",NOT(ISNUMBER($C90)),AND($N90="Failed",TRIM($I90)="")),1,IF($C90&gt;Summary!$B$12,1,0)),IF($N90="Not run",IF(TRIM($I90)="",1,0),IF(OR(TRIM($G90)&lt;&gt;"",TRIM($H90)&lt;&gt;""),1,0))))</f>
        <v/>
      </c>
      <c r="V90" s="32">
        <f>IF(OR($M90=0,$N90&lt;&gt;"Planned",NOT(ISNUMBER($C90))),0,IF($C90&lt;Summary!$B$12,1,0))</f>
        <v/>
      </c>
      <c r="W90" s="32">
        <f>IF(OR($M90=0,$O90=0,$N90="Not run",TRIM($L90)=""),0,IF(TRIM($L90)=TRIM(INDEX(Criteria!$D$6:$D$105,MATCH($B90,Criteria!$A$6:$A$105,0))),0,1))</f>
        <v/>
      </c>
      <c r="X90" s="32">
        <f>IF(OR($M90=0,$O90=0,$N90="Not run"),0,IF(OR(TRIM($L90)="",AND($N90="Planned",TRIM(INDEX(Criteria!$D$6:$D$105,MATCH($B90,Criteria!$A$6:$A$105,0)))="")),1,0))</f>
        <v/>
      </c>
    </row>
    <row r="91">
      <c r="A91" s="27" t="n"/>
      <c r="B91" s="27" t="n"/>
      <c r="C91" s="29" t="n"/>
      <c r="D91" s="28" t="n"/>
      <c r="E91" s="28" t="n"/>
      <c r="F91" s="27" t="n"/>
      <c r="G91" s="28" t="n"/>
      <c r="H91" s="28" t="n"/>
      <c r="I91" s="28" t="n"/>
      <c r="J91" s="19">
        <f>IF($M91=0,"",IF(SUM($S91:$X91)=0,"○ Clear",IF($S91=1,"△ Run, For, Date, Tested on or Run by missing or wrong",IF($X91=1,IF(AND($N91="Planned",TRIM(INDEX(Criteria!$D$6:$D$105,MATCH($B91,Criteria!$A$6:$A$105,0)))=""),"△ The criterion has no Pass line","△ Pass line used is blank"),IF($T91=1,"△ Checked by a builder, the runner or nobody",IF($U91=1,IF($N91="Planned","△ Result or File typed on a planned run",IF(AND(OR($N91="Passed",$N91="Failed"),TRIM($G91)&lt;&gt;"",TRIM($H91)&lt;&gt;"",ISNUMBER($C91),NOT(AND($N91="Failed",TRIM($I91)=""))),"△ Result dated after the date the checks use","△ Result, File or Reason missing")),IF($V91=1,"△ Planned day has passed, with no result","△ Pass line has changed since this run was planned")))))&amp;IF(SUM($S91:$X91)&gt;1,", and "&amp;(SUM($S91:$X91)-1)&amp;" more","")))</f>
        <v/>
      </c>
      <c r="K91" s="28" t="n"/>
      <c r="L91" s="28" t="n"/>
      <c r="M91" s="32">
        <f>IF(COUNTA($A91:$I91)+COUNTA($K91:$L91)&gt;0,1,0)</f>
        <v/>
      </c>
      <c r="N91" s="22">
        <f>IF($M91=0,"",IF($F91="","Planned",$F91))</f>
        <v/>
      </c>
      <c r="O91" s="32">
        <f>IF(OR($M91=0,TRIM($B91)=""),0,IF(COUNTIF(Criteria!$A$6:$A$105,$B91)&gt;0,1,0))</f>
        <v/>
      </c>
      <c r="P91" s="32">
        <f>IF(OR($M91=0,TRIM($B91)=""),0,IF(AND(LEN($B91)&gt;1,ISNUMBER(MATCH(LEFT($B91,1),{"R","I","A","X"},0)),ISNUMBER(VALUE(MID($B91,2,5)))),1,0))</f>
        <v/>
      </c>
      <c r="Q91" s="32">
        <f>IF(OR($M91=0,TRIM($B91)="",$N91="Planned"),0,IF(COUNTIFS($B$6:$B$105,$B91,$C$6:$C$105,"&gt;"&amp;$C91,$N$6:$N$105,"&lt;&gt;Planned")+COUNTIFS($B92:$B$106,$B91,$C92:$C$106,$C91,$N92:$N$106,"&lt;&gt;Planned")=0,1,0))</f>
        <v/>
      </c>
      <c r="R91" s="22">
        <f>IF($Q91=1,$B91,"")</f>
        <v/>
      </c>
      <c r="S91" s="32">
        <f>IF($M91=0,0,IF(OR(TRIM($A91)="",COUNTIF($A$6:$A$105,$A91)&gt;1,TRIM($B91)="",AND($O91=0,$P91=0),NOT(ISNUMBER($C91)),AND($N91&lt;&gt;"Not run",OR(TRIM($K91)="",TRIM($D91)=""))),1,0))</f>
        <v/>
      </c>
      <c r="T91" s="32">
        <f>IF($M91=0,0,IF(TRIM($E91)="",IF(OR($N91="Passed",$N91="Failed"),1,0),IF(OR(SUMPRODUCT(--(TRIM(LEFT(Summary!$G$6:$G$13,FIND(" (",Summary!$G$6:$G$13&amp;" (")-1))=TRIM(LEFT($E91,FIND(" (",$E91&amp;" (")-1))))&gt;0,TRIM(LEFT($E91,FIND(" (",$E91&amp;" (")-1))=TRIM(LEFT($D91,FIND(" (",$D91&amp;" (")-1))),1,0)))</f>
        <v/>
      </c>
      <c r="U91" s="32">
        <f>IF($M91=0,0,IF(OR($N91="Passed",$N91="Failed"),IF(OR(TRIM($G91)="",TRIM($H91)="",NOT(ISNUMBER($C91)),AND($N91="Failed",TRIM($I91)="")),1,IF($C91&gt;Summary!$B$12,1,0)),IF($N91="Not run",IF(TRIM($I91)="",1,0),IF(OR(TRIM($G91)&lt;&gt;"",TRIM($H91)&lt;&gt;""),1,0))))</f>
        <v/>
      </c>
      <c r="V91" s="32">
        <f>IF(OR($M91=0,$N91&lt;&gt;"Planned",NOT(ISNUMBER($C91))),0,IF($C91&lt;Summary!$B$12,1,0))</f>
        <v/>
      </c>
      <c r="W91" s="32">
        <f>IF(OR($M91=0,$O91=0,$N91="Not run",TRIM($L91)=""),0,IF(TRIM($L91)=TRIM(INDEX(Criteria!$D$6:$D$105,MATCH($B91,Criteria!$A$6:$A$105,0))),0,1))</f>
        <v/>
      </c>
      <c r="X91" s="32">
        <f>IF(OR($M91=0,$O91=0,$N91="Not run"),0,IF(OR(TRIM($L91)="",AND($N91="Planned",TRIM(INDEX(Criteria!$D$6:$D$105,MATCH($B91,Criteria!$A$6:$A$105,0)))="")),1,0))</f>
        <v/>
      </c>
    </row>
    <row r="92">
      <c r="A92" s="27" t="n"/>
      <c r="B92" s="27" t="n"/>
      <c r="C92" s="29" t="n"/>
      <c r="D92" s="28" t="n"/>
      <c r="E92" s="28" t="n"/>
      <c r="F92" s="27" t="n"/>
      <c r="G92" s="28" t="n"/>
      <c r="H92" s="28" t="n"/>
      <c r="I92" s="28" t="n"/>
      <c r="J92" s="19">
        <f>IF($M92=0,"",IF(SUM($S92:$X92)=0,"○ Clear",IF($S92=1,"△ Run, For, Date, Tested on or Run by missing or wrong",IF($X92=1,IF(AND($N92="Planned",TRIM(INDEX(Criteria!$D$6:$D$105,MATCH($B92,Criteria!$A$6:$A$105,0)))=""),"△ The criterion has no Pass line","△ Pass line used is blank"),IF($T92=1,"△ Checked by a builder, the runner or nobody",IF($U92=1,IF($N92="Planned","△ Result or File typed on a planned run",IF(AND(OR($N92="Passed",$N92="Failed"),TRIM($G92)&lt;&gt;"",TRIM($H92)&lt;&gt;"",ISNUMBER($C92),NOT(AND($N92="Failed",TRIM($I92)=""))),"△ Result dated after the date the checks use","△ Result, File or Reason missing")),IF($V92=1,"△ Planned day has passed, with no result","△ Pass line has changed since this run was planned")))))&amp;IF(SUM($S92:$X92)&gt;1,", and "&amp;(SUM($S92:$X92)-1)&amp;" more","")))</f>
        <v/>
      </c>
      <c r="K92" s="28" t="n"/>
      <c r="L92" s="28" t="n"/>
      <c r="M92" s="32">
        <f>IF(COUNTA($A92:$I92)+COUNTA($K92:$L92)&gt;0,1,0)</f>
        <v/>
      </c>
      <c r="N92" s="22">
        <f>IF($M92=0,"",IF($F92="","Planned",$F92))</f>
        <v/>
      </c>
      <c r="O92" s="32">
        <f>IF(OR($M92=0,TRIM($B92)=""),0,IF(COUNTIF(Criteria!$A$6:$A$105,$B92)&gt;0,1,0))</f>
        <v/>
      </c>
      <c r="P92" s="32">
        <f>IF(OR($M92=0,TRIM($B92)=""),0,IF(AND(LEN($B92)&gt;1,ISNUMBER(MATCH(LEFT($B92,1),{"R","I","A","X"},0)),ISNUMBER(VALUE(MID($B92,2,5)))),1,0))</f>
        <v/>
      </c>
      <c r="Q92" s="32">
        <f>IF(OR($M92=0,TRIM($B92)="",$N92="Planned"),0,IF(COUNTIFS($B$6:$B$105,$B92,$C$6:$C$105,"&gt;"&amp;$C92,$N$6:$N$105,"&lt;&gt;Planned")+COUNTIFS($B93:$B$106,$B92,$C93:$C$106,$C92,$N93:$N$106,"&lt;&gt;Planned")=0,1,0))</f>
        <v/>
      </c>
      <c r="R92" s="22">
        <f>IF($Q92=1,$B92,"")</f>
        <v/>
      </c>
      <c r="S92" s="32">
        <f>IF($M92=0,0,IF(OR(TRIM($A92)="",COUNTIF($A$6:$A$105,$A92)&gt;1,TRIM($B92)="",AND($O92=0,$P92=0),NOT(ISNUMBER($C92)),AND($N92&lt;&gt;"Not run",OR(TRIM($K92)="",TRIM($D92)=""))),1,0))</f>
        <v/>
      </c>
      <c r="T92" s="32">
        <f>IF($M92=0,0,IF(TRIM($E92)="",IF(OR($N92="Passed",$N92="Failed"),1,0),IF(OR(SUMPRODUCT(--(TRIM(LEFT(Summary!$G$6:$G$13,FIND(" (",Summary!$G$6:$G$13&amp;" (")-1))=TRIM(LEFT($E92,FIND(" (",$E92&amp;" (")-1))))&gt;0,TRIM(LEFT($E92,FIND(" (",$E92&amp;" (")-1))=TRIM(LEFT($D92,FIND(" (",$D92&amp;" (")-1))),1,0)))</f>
        <v/>
      </c>
      <c r="U92" s="32">
        <f>IF($M92=0,0,IF(OR($N92="Passed",$N92="Failed"),IF(OR(TRIM($G92)="",TRIM($H92)="",NOT(ISNUMBER($C92)),AND($N92="Failed",TRIM($I92)="")),1,IF($C92&gt;Summary!$B$12,1,0)),IF($N92="Not run",IF(TRIM($I92)="",1,0),IF(OR(TRIM($G92)&lt;&gt;"",TRIM($H92)&lt;&gt;""),1,0))))</f>
        <v/>
      </c>
      <c r="V92" s="32">
        <f>IF(OR($M92=0,$N92&lt;&gt;"Planned",NOT(ISNUMBER($C92))),0,IF($C92&lt;Summary!$B$12,1,0))</f>
        <v/>
      </c>
      <c r="W92" s="32">
        <f>IF(OR($M92=0,$O92=0,$N92="Not run",TRIM($L92)=""),0,IF(TRIM($L92)=TRIM(INDEX(Criteria!$D$6:$D$105,MATCH($B92,Criteria!$A$6:$A$105,0))),0,1))</f>
        <v/>
      </c>
      <c r="X92" s="32">
        <f>IF(OR($M92=0,$O92=0,$N92="Not run"),0,IF(OR(TRIM($L92)="",AND($N92="Planned",TRIM(INDEX(Criteria!$D$6:$D$105,MATCH($B92,Criteria!$A$6:$A$105,0)))="")),1,0))</f>
        <v/>
      </c>
    </row>
    <row r="93">
      <c r="A93" s="27" t="n"/>
      <c r="B93" s="27" t="n"/>
      <c r="C93" s="29" t="n"/>
      <c r="D93" s="28" t="n"/>
      <c r="E93" s="28" t="n"/>
      <c r="F93" s="27" t="n"/>
      <c r="G93" s="28" t="n"/>
      <c r="H93" s="28" t="n"/>
      <c r="I93" s="28" t="n"/>
      <c r="J93" s="19">
        <f>IF($M93=0,"",IF(SUM($S93:$X93)=0,"○ Clear",IF($S93=1,"△ Run, For, Date, Tested on or Run by missing or wrong",IF($X93=1,IF(AND($N93="Planned",TRIM(INDEX(Criteria!$D$6:$D$105,MATCH($B93,Criteria!$A$6:$A$105,0)))=""),"△ The criterion has no Pass line","△ Pass line used is blank"),IF($T93=1,"△ Checked by a builder, the runner or nobody",IF($U93=1,IF($N93="Planned","△ Result or File typed on a planned run",IF(AND(OR($N93="Passed",$N93="Failed"),TRIM($G93)&lt;&gt;"",TRIM($H93)&lt;&gt;"",ISNUMBER($C93),NOT(AND($N93="Failed",TRIM($I93)=""))),"△ Result dated after the date the checks use","△ Result, File or Reason missing")),IF($V93=1,"△ Planned day has passed, with no result","△ Pass line has changed since this run was planned")))))&amp;IF(SUM($S93:$X93)&gt;1,", and "&amp;(SUM($S93:$X93)-1)&amp;" more","")))</f>
        <v/>
      </c>
      <c r="K93" s="28" t="n"/>
      <c r="L93" s="28" t="n"/>
      <c r="M93" s="32">
        <f>IF(COUNTA($A93:$I93)+COUNTA($K93:$L93)&gt;0,1,0)</f>
        <v/>
      </c>
      <c r="N93" s="22">
        <f>IF($M93=0,"",IF($F93="","Planned",$F93))</f>
        <v/>
      </c>
      <c r="O93" s="32">
        <f>IF(OR($M93=0,TRIM($B93)=""),0,IF(COUNTIF(Criteria!$A$6:$A$105,$B93)&gt;0,1,0))</f>
        <v/>
      </c>
      <c r="P93" s="32">
        <f>IF(OR($M93=0,TRIM($B93)=""),0,IF(AND(LEN($B93)&gt;1,ISNUMBER(MATCH(LEFT($B93,1),{"R","I","A","X"},0)),ISNUMBER(VALUE(MID($B93,2,5)))),1,0))</f>
        <v/>
      </c>
      <c r="Q93" s="32">
        <f>IF(OR($M93=0,TRIM($B93)="",$N93="Planned"),0,IF(COUNTIFS($B$6:$B$105,$B93,$C$6:$C$105,"&gt;"&amp;$C93,$N$6:$N$105,"&lt;&gt;Planned")+COUNTIFS($B94:$B$106,$B93,$C94:$C$106,$C93,$N94:$N$106,"&lt;&gt;Planned")=0,1,0))</f>
        <v/>
      </c>
      <c r="R93" s="22">
        <f>IF($Q93=1,$B93,"")</f>
        <v/>
      </c>
      <c r="S93" s="32">
        <f>IF($M93=0,0,IF(OR(TRIM($A93)="",COUNTIF($A$6:$A$105,$A93)&gt;1,TRIM($B93)="",AND($O93=0,$P93=0),NOT(ISNUMBER($C93)),AND($N93&lt;&gt;"Not run",OR(TRIM($K93)="",TRIM($D93)=""))),1,0))</f>
        <v/>
      </c>
      <c r="T93" s="32">
        <f>IF($M93=0,0,IF(TRIM($E93)="",IF(OR($N93="Passed",$N93="Failed"),1,0),IF(OR(SUMPRODUCT(--(TRIM(LEFT(Summary!$G$6:$G$13,FIND(" (",Summary!$G$6:$G$13&amp;" (")-1))=TRIM(LEFT($E93,FIND(" (",$E93&amp;" (")-1))))&gt;0,TRIM(LEFT($E93,FIND(" (",$E93&amp;" (")-1))=TRIM(LEFT($D93,FIND(" (",$D93&amp;" (")-1))),1,0)))</f>
        <v/>
      </c>
      <c r="U93" s="32">
        <f>IF($M93=0,0,IF(OR($N93="Passed",$N93="Failed"),IF(OR(TRIM($G93)="",TRIM($H93)="",NOT(ISNUMBER($C93)),AND($N93="Failed",TRIM($I93)="")),1,IF($C93&gt;Summary!$B$12,1,0)),IF($N93="Not run",IF(TRIM($I93)="",1,0),IF(OR(TRIM($G93)&lt;&gt;"",TRIM($H93)&lt;&gt;""),1,0))))</f>
        <v/>
      </c>
      <c r="V93" s="32">
        <f>IF(OR($M93=0,$N93&lt;&gt;"Planned",NOT(ISNUMBER($C93))),0,IF($C93&lt;Summary!$B$12,1,0))</f>
        <v/>
      </c>
      <c r="W93" s="32">
        <f>IF(OR($M93=0,$O93=0,$N93="Not run",TRIM($L93)=""),0,IF(TRIM($L93)=TRIM(INDEX(Criteria!$D$6:$D$105,MATCH($B93,Criteria!$A$6:$A$105,0))),0,1))</f>
        <v/>
      </c>
      <c r="X93" s="32">
        <f>IF(OR($M93=0,$O93=0,$N93="Not run"),0,IF(OR(TRIM($L93)="",AND($N93="Planned",TRIM(INDEX(Criteria!$D$6:$D$105,MATCH($B93,Criteria!$A$6:$A$105,0)))="")),1,0))</f>
        <v/>
      </c>
    </row>
    <row r="94">
      <c r="A94" s="27" t="n"/>
      <c r="B94" s="27" t="n"/>
      <c r="C94" s="29" t="n"/>
      <c r="D94" s="28" t="n"/>
      <c r="E94" s="28" t="n"/>
      <c r="F94" s="27" t="n"/>
      <c r="G94" s="28" t="n"/>
      <c r="H94" s="28" t="n"/>
      <c r="I94" s="28" t="n"/>
      <c r="J94" s="19">
        <f>IF($M94=0,"",IF(SUM($S94:$X94)=0,"○ Clear",IF($S94=1,"△ Run, For, Date, Tested on or Run by missing or wrong",IF($X94=1,IF(AND($N94="Planned",TRIM(INDEX(Criteria!$D$6:$D$105,MATCH($B94,Criteria!$A$6:$A$105,0)))=""),"△ The criterion has no Pass line","△ Pass line used is blank"),IF($T94=1,"△ Checked by a builder, the runner or nobody",IF($U94=1,IF($N94="Planned","△ Result or File typed on a planned run",IF(AND(OR($N94="Passed",$N94="Failed"),TRIM($G94)&lt;&gt;"",TRIM($H94)&lt;&gt;"",ISNUMBER($C94),NOT(AND($N94="Failed",TRIM($I94)=""))),"△ Result dated after the date the checks use","△ Result, File or Reason missing")),IF($V94=1,"△ Planned day has passed, with no result","△ Pass line has changed since this run was planned")))))&amp;IF(SUM($S94:$X94)&gt;1,", and "&amp;(SUM($S94:$X94)-1)&amp;" more","")))</f>
        <v/>
      </c>
      <c r="K94" s="28" t="n"/>
      <c r="L94" s="28" t="n"/>
      <c r="M94" s="32">
        <f>IF(COUNTA($A94:$I94)+COUNTA($K94:$L94)&gt;0,1,0)</f>
        <v/>
      </c>
      <c r="N94" s="22">
        <f>IF($M94=0,"",IF($F94="","Planned",$F94))</f>
        <v/>
      </c>
      <c r="O94" s="32">
        <f>IF(OR($M94=0,TRIM($B94)=""),0,IF(COUNTIF(Criteria!$A$6:$A$105,$B94)&gt;0,1,0))</f>
        <v/>
      </c>
      <c r="P94" s="32">
        <f>IF(OR($M94=0,TRIM($B94)=""),0,IF(AND(LEN($B94)&gt;1,ISNUMBER(MATCH(LEFT($B94,1),{"R","I","A","X"},0)),ISNUMBER(VALUE(MID($B94,2,5)))),1,0))</f>
        <v/>
      </c>
      <c r="Q94" s="32">
        <f>IF(OR($M94=0,TRIM($B94)="",$N94="Planned"),0,IF(COUNTIFS($B$6:$B$105,$B94,$C$6:$C$105,"&gt;"&amp;$C94,$N$6:$N$105,"&lt;&gt;Planned")+COUNTIFS($B95:$B$106,$B94,$C95:$C$106,$C94,$N95:$N$106,"&lt;&gt;Planned")=0,1,0))</f>
        <v/>
      </c>
      <c r="R94" s="22">
        <f>IF($Q94=1,$B94,"")</f>
        <v/>
      </c>
      <c r="S94" s="32">
        <f>IF($M94=0,0,IF(OR(TRIM($A94)="",COUNTIF($A$6:$A$105,$A94)&gt;1,TRIM($B94)="",AND($O94=0,$P94=0),NOT(ISNUMBER($C94)),AND($N94&lt;&gt;"Not run",OR(TRIM($K94)="",TRIM($D94)=""))),1,0))</f>
        <v/>
      </c>
      <c r="T94" s="32">
        <f>IF($M94=0,0,IF(TRIM($E94)="",IF(OR($N94="Passed",$N94="Failed"),1,0),IF(OR(SUMPRODUCT(--(TRIM(LEFT(Summary!$G$6:$G$13,FIND(" (",Summary!$G$6:$G$13&amp;" (")-1))=TRIM(LEFT($E94,FIND(" (",$E94&amp;" (")-1))))&gt;0,TRIM(LEFT($E94,FIND(" (",$E94&amp;" (")-1))=TRIM(LEFT($D94,FIND(" (",$D94&amp;" (")-1))),1,0)))</f>
        <v/>
      </c>
      <c r="U94" s="32">
        <f>IF($M94=0,0,IF(OR($N94="Passed",$N94="Failed"),IF(OR(TRIM($G94)="",TRIM($H94)="",NOT(ISNUMBER($C94)),AND($N94="Failed",TRIM($I94)="")),1,IF($C94&gt;Summary!$B$12,1,0)),IF($N94="Not run",IF(TRIM($I94)="",1,0),IF(OR(TRIM($G94)&lt;&gt;"",TRIM($H94)&lt;&gt;""),1,0))))</f>
        <v/>
      </c>
      <c r="V94" s="32">
        <f>IF(OR($M94=0,$N94&lt;&gt;"Planned",NOT(ISNUMBER($C94))),0,IF($C94&lt;Summary!$B$12,1,0))</f>
        <v/>
      </c>
      <c r="W94" s="32">
        <f>IF(OR($M94=0,$O94=0,$N94="Not run",TRIM($L94)=""),0,IF(TRIM($L94)=TRIM(INDEX(Criteria!$D$6:$D$105,MATCH($B94,Criteria!$A$6:$A$105,0))),0,1))</f>
        <v/>
      </c>
      <c r="X94" s="32">
        <f>IF(OR($M94=0,$O94=0,$N94="Not run"),0,IF(OR(TRIM($L94)="",AND($N94="Planned",TRIM(INDEX(Criteria!$D$6:$D$105,MATCH($B94,Criteria!$A$6:$A$105,0)))="")),1,0))</f>
        <v/>
      </c>
    </row>
    <row r="95">
      <c r="A95" s="27" t="n"/>
      <c r="B95" s="27" t="n"/>
      <c r="C95" s="29" t="n"/>
      <c r="D95" s="28" t="n"/>
      <c r="E95" s="28" t="n"/>
      <c r="F95" s="27" t="n"/>
      <c r="G95" s="28" t="n"/>
      <c r="H95" s="28" t="n"/>
      <c r="I95" s="28" t="n"/>
      <c r="J95" s="19">
        <f>IF($M95=0,"",IF(SUM($S95:$X95)=0,"○ Clear",IF($S95=1,"△ Run, For, Date, Tested on or Run by missing or wrong",IF($X95=1,IF(AND($N95="Planned",TRIM(INDEX(Criteria!$D$6:$D$105,MATCH($B95,Criteria!$A$6:$A$105,0)))=""),"△ The criterion has no Pass line","△ Pass line used is blank"),IF($T95=1,"△ Checked by a builder, the runner or nobody",IF($U95=1,IF($N95="Planned","△ Result or File typed on a planned run",IF(AND(OR($N95="Passed",$N95="Failed"),TRIM($G95)&lt;&gt;"",TRIM($H95)&lt;&gt;"",ISNUMBER($C95),NOT(AND($N95="Failed",TRIM($I95)=""))),"△ Result dated after the date the checks use","△ Result, File or Reason missing")),IF($V95=1,"△ Planned day has passed, with no result","△ Pass line has changed since this run was planned")))))&amp;IF(SUM($S95:$X95)&gt;1,", and "&amp;(SUM($S95:$X95)-1)&amp;" more","")))</f>
        <v/>
      </c>
      <c r="K95" s="28" t="n"/>
      <c r="L95" s="28" t="n"/>
      <c r="M95" s="32">
        <f>IF(COUNTA($A95:$I95)+COUNTA($K95:$L95)&gt;0,1,0)</f>
        <v/>
      </c>
      <c r="N95" s="22">
        <f>IF($M95=0,"",IF($F95="","Planned",$F95))</f>
        <v/>
      </c>
      <c r="O95" s="32">
        <f>IF(OR($M95=0,TRIM($B95)=""),0,IF(COUNTIF(Criteria!$A$6:$A$105,$B95)&gt;0,1,0))</f>
        <v/>
      </c>
      <c r="P95" s="32">
        <f>IF(OR($M95=0,TRIM($B95)=""),0,IF(AND(LEN($B95)&gt;1,ISNUMBER(MATCH(LEFT($B95,1),{"R","I","A","X"},0)),ISNUMBER(VALUE(MID($B95,2,5)))),1,0))</f>
        <v/>
      </c>
      <c r="Q95" s="32">
        <f>IF(OR($M95=0,TRIM($B95)="",$N95="Planned"),0,IF(COUNTIFS($B$6:$B$105,$B95,$C$6:$C$105,"&gt;"&amp;$C95,$N$6:$N$105,"&lt;&gt;Planned")+COUNTIFS($B96:$B$106,$B95,$C96:$C$106,$C95,$N96:$N$106,"&lt;&gt;Planned")=0,1,0))</f>
        <v/>
      </c>
      <c r="R95" s="22">
        <f>IF($Q95=1,$B95,"")</f>
        <v/>
      </c>
      <c r="S95" s="32">
        <f>IF($M95=0,0,IF(OR(TRIM($A95)="",COUNTIF($A$6:$A$105,$A95)&gt;1,TRIM($B95)="",AND($O95=0,$P95=0),NOT(ISNUMBER($C95)),AND($N95&lt;&gt;"Not run",OR(TRIM($K95)="",TRIM($D95)=""))),1,0))</f>
        <v/>
      </c>
      <c r="T95" s="32">
        <f>IF($M95=0,0,IF(TRIM($E95)="",IF(OR($N95="Passed",$N95="Failed"),1,0),IF(OR(SUMPRODUCT(--(TRIM(LEFT(Summary!$G$6:$G$13,FIND(" (",Summary!$G$6:$G$13&amp;" (")-1))=TRIM(LEFT($E95,FIND(" (",$E95&amp;" (")-1))))&gt;0,TRIM(LEFT($E95,FIND(" (",$E95&amp;" (")-1))=TRIM(LEFT($D95,FIND(" (",$D95&amp;" (")-1))),1,0)))</f>
        <v/>
      </c>
      <c r="U95" s="32">
        <f>IF($M95=0,0,IF(OR($N95="Passed",$N95="Failed"),IF(OR(TRIM($G95)="",TRIM($H95)="",NOT(ISNUMBER($C95)),AND($N95="Failed",TRIM($I95)="")),1,IF($C95&gt;Summary!$B$12,1,0)),IF($N95="Not run",IF(TRIM($I95)="",1,0),IF(OR(TRIM($G95)&lt;&gt;"",TRIM($H95)&lt;&gt;""),1,0))))</f>
        <v/>
      </c>
      <c r="V95" s="32">
        <f>IF(OR($M95=0,$N95&lt;&gt;"Planned",NOT(ISNUMBER($C95))),0,IF($C95&lt;Summary!$B$12,1,0))</f>
        <v/>
      </c>
      <c r="W95" s="32">
        <f>IF(OR($M95=0,$O95=0,$N95="Not run",TRIM($L95)=""),0,IF(TRIM($L95)=TRIM(INDEX(Criteria!$D$6:$D$105,MATCH($B95,Criteria!$A$6:$A$105,0))),0,1))</f>
        <v/>
      </c>
      <c r="X95" s="32">
        <f>IF(OR($M95=0,$O95=0,$N95="Not run"),0,IF(OR(TRIM($L95)="",AND($N95="Planned",TRIM(INDEX(Criteria!$D$6:$D$105,MATCH($B95,Criteria!$A$6:$A$105,0)))="")),1,0))</f>
        <v/>
      </c>
    </row>
    <row r="96">
      <c r="A96" s="27" t="n"/>
      <c r="B96" s="27" t="n"/>
      <c r="C96" s="29" t="n"/>
      <c r="D96" s="28" t="n"/>
      <c r="E96" s="28" t="n"/>
      <c r="F96" s="27" t="n"/>
      <c r="G96" s="28" t="n"/>
      <c r="H96" s="28" t="n"/>
      <c r="I96" s="28" t="n"/>
      <c r="J96" s="19">
        <f>IF($M96=0,"",IF(SUM($S96:$X96)=0,"○ Clear",IF($S96=1,"△ Run, For, Date, Tested on or Run by missing or wrong",IF($X96=1,IF(AND($N96="Planned",TRIM(INDEX(Criteria!$D$6:$D$105,MATCH($B96,Criteria!$A$6:$A$105,0)))=""),"△ The criterion has no Pass line","△ Pass line used is blank"),IF($T96=1,"△ Checked by a builder, the runner or nobody",IF($U96=1,IF($N96="Planned","△ Result or File typed on a planned run",IF(AND(OR($N96="Passed",$N96="Failed"),TRIM($G96)&lt;&gt;"",TRIM($H96)&lt;&gt;"",ISNUMBER($C96),NOT(AND($N96="Failed",TRIM($I96)=""))),"△ Result dated after the date the checks use","△ Result, File or Reason missing")),IF($V96=1,"△ Planned day has passed, with no result","△ Pass line has changed since this run was planned")))))&amp;IF(SUM($S96:$X96)&gt;1,", and "&amp;(SUM($S96:$X96)-1)&amp;" more","")))</f>
        <v/>
      </c>
      <c r="K96" s="28" t="n"/>
      <c r="L96" s="28" t="n"/>
      <c r="M96" s="32">
        <f>IF(COUNTA($A96:$I96)+COUNTA($K96:$L96)&gt;0,1,0)</f>
        <v/>
      </c>
      <c r="N96" s="22">
        <f>IF($M96=0,"",IF($F96="","Planned",$F96))</f>
        <v/>
      </c>
      <c r="O96" s="32">
        <f>IF(OR($M96=0,TRIM($B96)=""),0,IF(COUNTIF(Criteria!$A$6:$A$105,$B96)&gt;0,1,0))</f>
        <v/>
      </c>
      <c r="P96" s="32">
        <f>IF(OR($M96=0,TRIM($B96)=""),0,IF(AND(LEN($B96)&gt;1,ISNUMBER(MATCH(LEFT($B96,1),{"R","I","A","X"},0)),ISNUMBER(VALUE(MID($B96,2,5)))),1,0))</f>
        <v/>
      </c>
      <c r="Q96" s="32">
        <f>IF(OR($M96=0,TRIM($B96)="",$N96="Planned"),0,IF(COUNTIFS($B$6:$B$105,$B96,$C$6:$C$105,"&gt;"&amp;$C96,$N$6:$N$105,"&lt;&gt;Planned")+COUNTIFS($B97:$B$106,$B96,$C97:$C$106,$C96,$N97:$N$106,"&lt;&gt;Planned")=0,1,0))</f>
        <v/>
      </c>
      <c r="R96" s="22">
        <f>IF($Q96=1,$B96,"")</f>
        <v/>
      </c>
      <c r="S96" s="32">
        <f>IF($M96=0,0,IF(OR(TRIM($A96)="",COUNTIF($A$6:$A$105,$A96)&gt;1,TRIM($B96)="",AND($O96=0,$P96=0),NOT(ISNUMBER($C96)),AND($N96&lt;&gt;"Not run",OR(TRIM($K96)="",TRIM($D96)=""))),1,0))</f>
        <v/>
      </c>
      <c r="T96" s="32">
        <f>IF($M96=0,0,IF(TRIM($E96)="",IF(OR($N96="Passed",$N96="Failed"),1,0),IF(OR(SUMPRODUCT(--(TRIM(LEFT(Summary!$G$6:$G$13,FIND(" (",Summary!$G$6:$G$13&amp;" (")-1))=TRIM(LEFT($E96,FIND(" (",$E96&amp;" (")-1))))&gt;0,TRIM(LEFT($E96,FIND(" (",$E96&amp;" (")-1))=TRIM(LEFT($D96,FIND(" (",$D96&amp;" (")-1))),1,0)))</f>
        <v/>
      </c>
      <c r="U96" s="32">
        <f>IF($M96=0,0,IF(OR($N96="Passed",$N96="Failed"),IF(OR(TRIM($G96)="",TRIM($H96)="",NOT(ISNUMBER($C96)),AND($N96="Failed",TRIM($I96)="")),1,IF($C96&gt;Summary!$B$12,1,0)),IF($N96="Not run",IF(TRIM($I96)="",1,0),IF(OR(TRIM($G96)&lt;&gt;"",TRIM($H96)&lt;&gt;""),1,0))))</f>
        <v/>
      </c>
      <c r="V96" s="32">
        <f>IF(OR($M96=0,$N96&lt;&gt;"Planned",NOT(ISNUMBER($C96))),0,IF($C96&lt;Summary!$B$12,1,0))</f>
        <v/>
      </c>
      <c r="W96" s="32">
        <f>IF(OR($M96=0,$O96=0,$N96="Not run",TRIM($L96)=""),0,IF(TRIM($L96)=TRIM(INDEX(Criteria!$D$6:$D$105,MATCH($B96,Criteria!$A$6:$A$105,0))),0,1))</f>
        <v/>
      </c>
      <c r="X96" s="32">
        <f>IF(OR($M96=0,$O96=0,$N96="Not run"),0,IF(OR(TRIM($L96)="",AND($N96="Planned",TRIM(INDEX(Criteria!$D$6:$D$105,MATCH($B96,Criteria!$A$6:$A$105,0)))="")),1,0))</f>
        <v/>
      </c>
    </row>
    <row r="97">
      <c r="A97" s="27" t="n"/>
      <c r="B97" s="27" t="n"/>
      <c r="C97" s="29" t="n"/>
      <c r="D97" s="28" t="n"/>
      <c r="E97" s="28" t="n"/>
      <c r="F97" s="27" t="n"/>
      <c r="G97" s="28" t="n"/>
      <c r="H97" s="28" t="n"/>
      <c r="I97" s="28" t="n"/>
      <c r="J97" s="19">
        <f>IF($M97=0,"",IF(SUM($S97:$X97)=0,"○ Clear",IF($S97=1,"△ Run, For, Date, Tested on or Run by missing or wrong",IF($X97=1,IF(AND($N97="Planned",TRIM(INDEX(Criteria!$D$6:$D$105,MATCH($B97,Criteria!$A$6:$A$105,0)))=""),"△ The criterion has no Pass line","△ Pass line used is blank"),IF($T97=1,"△ Checked by a builder, the runner or nobody",IF($U97=1,IF($N97="Planned","△ Result or File typed on a planned run",IF(AND(OR($N97="Passed",$N97="Failed"),TRIM($G97)&lt;&gt;"",TRIM($H97)&lt;&gt;"",ISNUMBER($C97),NOT(AND($N97="Failed",TRIM($I97)=""))),"△ Result dated after the date the checks use","△ Result, File or Reason missing")),IF($V97=1,"△ Planned day has passed, with no result","△ Pass line has changed since this run was planned")))))&amp;IF(SUM($S97:$X97)&gt;1,", and "&amp;(SUM($S97:$X97)-1)&amp;" more","")))</f>
        <v/>
      </c>
      <c r="K97" s="28" t="n"/>
      <c r="L97" s="28" t="n"/>
      <c r="M97" s="32">
        <f>IF(COUNTA($A97:$I97)+COUNTA($K97:$L97)&gt;0,1,0)</f>
        <v/>
      </c>
      <c r="N97" s="22">
        <f>IF($M97=0,"",IF($F97="","Planned",$F97))</f>
        <v/>
      </c>
      <c r="O97" s="32">
        <f>IF(OR($M97=0,TRIM($B97)=""),0,IF(COUNTIF(Criteria!$A$6:$A$105,$B97)&gt;0,1,0))</f>
        <v/>
      </c>
      <c r="P97" s="32">
        <f>IF(OR($M97=0,TRIM($B97)=""),0,IF(AND(LEN($B97)&gt;1,ISNUMBER(MATCH(LEFT($B97,1),{"R","I","A","X"},0)),ISNUMBER(VALUE(MID($B97,2,5)))),1,0))</f>
        <v/>
      </c>
      <c r="Q97" s="32">
        <f>IF(OR($M97=0,TRIM($B97)="",$N97="Planned"),0,IF(COUNTIFS($B$6:$B$105,$B97,$C$6:$C$105,"&gt;"&amp;$C97,$N$6:$N$105,"&lt;&gt;Planned")+COUNTIFS($B98:$B$106,$B97,$C98:$C$106,$C97,$N98:$N$106,"&lt;&gt;Planned")=0,1,0))</f>
        <v/>
      </c>
      <c r="R97" s="22">
        <f>IF($Q97=1,$B97,"")</f>
        <v/>
      </c>
      <c r="S97" s="32">
        <f>IF($M97=0,0,IF(OR(TRIM($A97)="",COUNTIF($A$6:$A$105,$A97)&gt;1,TRIM($B97)="",AND($O97=0,$P97=0),NOT(ISNUMBER($C97)),AND($N97&lt;&gt;"Not run",OR(TRIM($K97)="",TRIM($D97)=""))),1,0))</f>
        <v/>
      </c>
      <c r="T97" s="32">
        <f>IF($M97=0,0,IF(TRIM($E97)="",IF(OR($N97="Passed",$N97="Failed"),1,0),IF(OR(SUMPRODUCT(--(TRIM(LEFT(Summary!$G$6:$G$13,FIND(" (",Summary!$G$6:$G$13&amp;" (")-1))=TRIM(LEFT($E97,FIND(" (",$E97&amp;" (")-1))))&gt;0,TRIM(LEFT($E97,FIND(" (",$E97&amp;" (")-1))=TRIM(LEFT($D97,FIND(" (",$D97&amp;" (")-1))),1,0)))</f>
        <v/>
      </c>
      <c r="U97" s="32">
        <f>IF($M97=0,0,IF(OR($N97="Passed",$N97="Failed"),IF(OR(TRIM($G97)="",TRIM($H97)="",NOT(ISNUMBER($C97)),AND($N97="Failed",TRIM($I97)="")),1,IF($C97&gt;Summary!$B$12,1,0)),IF($N97="Not run",IF(TRIM($I97)="",1,0),IF(OR(TRIM($G97)&lt;&gt;"",TRIM($H97)&lt;&gt;""),1,0))))</f>
        <v/>
      </c>
      <c r="V97" s="32">
        <f>IF(OR($M97=0,$N97&lt;&gt;"Planned",NOT(ISNUMBER($C97))),0,IF($C97&lt;Summary!$B$12,1,0))</f>
        <v/>
      </c>
      <c r="W97" s="32">
        <f>IF(OR($M97=0,$O97=0,$N97="Not run",TRIM($L97)=""),0,IF(TRIM($L97)=TRIM(INDEX(Criteria!$D$6:$D$105,MATCH($B97,Criteria!$A$6:$A$105,0))),0,1))</f>
        <v/>
      </c>
      <c r="X97" s="32">
        <f>IF(OR($M97=0,$O97=0,$N97="Not run"),0,IF(OR(TRIM($L97)="",AND($N97="Planned",TRIM(INDEX(Criteria!$D$6:$D$105,MATCH($B97,Criteria!$A$6:$A$105,0)))="")),1,0))</f>
        <v/>
      </c>
    </row>
    <row r="98">
      <c r="A98" s="27" t="n"/>
      <c r="B98" s="27" t="n"/>
      <c r="C98" s="29" t="n"/>
      <c r="D98" s="28" t="n"/>
      <c r="E98" s="28" t="n"/>
      <c r="F98" s="27" t="n"/>
      <c r="G98" s="28" t="n"/>
      <c r="H98" s="28" t="n"/>
      <c r="I98" s="28" t="n"/>
      <c r="J98" s="19">
        <f>IF($M98=0,"",IF(SUM($S98:$X98)=0,"○ Clear",IF($S98=1,"△ Run, For, Date, Tested on or Run by missing or wrong",IF($X98=1,IF(AND($N98="Planned",TRIM(INDEX(Criteria!$D$6:$D$105,MATCH($B98,Criteria!$A$6:$A$105,0)))=""),"△ The criterion has no Pass line","△ Pass line used is blank"),IF($T98=1,"△ Checked by a builder, the runner or nobody",IF($U98=1,IF($N98="Planned","△ Result or File typed on a planned run",IF(AND(OR($N98="Passed",$N98="Failed"),TRIM($G98)&lt;&gt;"",TRIM($H98)&lt;&gt;"",ISNUMBER($C98),NOT(AND($N98="Failed",TRIM($I98)=""))),"△ Result dated after the date the checks use","△ Result, File or Reason missing")),IF($V98=1,"△ Planned day has passed, with no result","△ Pass line has changed since this run was planned")))))&amp;IF(SUM($S98:$X98)&gt;1,", and "&amp;(SUM($S98:$X98)-1)&amp;" more","")))</f>
        <v/>
      </c>
      <c r="K98" s="28" t="n"/>
      <c r="L98" s="28" t="n"/>
      <c r="M98" s="32">
        <f>IF(COUNTA($A98:$I98)+COUNTA($K98:$L98)&gt;0,1,0)</f>
        <v/>
      </c>
      <c r="N98" s="22">
        <f>IF($M98=0,"",IF($F98="","Planned",$F98))</f>
        <v/>
      </c>
      <c r="O98" s="32">
        <f>IF(OR($M98=0,TRIM($B98)=""),0,IF(COUNTIF(Criteria!$A$6:$A$105,$B98)&gt;0,1,0))</f>
        <v/>
      </c>
      <c r="P98" s="32">
        <f>IF(OR($M98=0,TRIM($B98)=""),0,IF(AND(LEN($B98)&gt;1,ISNUMBER(MATCH(LEFT($B98,1),{"R","I","A","X"},0)),ISNUMBER(VALUE(MID($B98,2,5)))),1,0))</f>
        <v/>
      </c>
      <c r="Q98" s="32">
        <f>IF(OR($M98=0,TRIM($B98)="",$N98="Planned"),0,IF(COUNTIFS($B$6:$B$105,$B98,$C$6:$C$105,"&gt;"&amp;$C98,$N$6:$N$105,"&lt;&gt;Planned")+COUNTIFS($B99:$B$106,$B98,$C99:$C$106,$C98,$N99:$N$106,"&lt;&gt;Planned")=0,1,0))</f>
        <v/>
      </c>
      <c r="R98" s="22">
        <f>IF($Q98=1,$B98,"")</f>
        <v/>
      </c>
      <c r="S98" s="32">
        <f>IF($M98=0,0,IF(OR(TRIM($A98)="",COUNTIF($A$6:$A$105,$A98)&gt;1,TRIM($B98)="",AND($O98=0,$P98=0),NOT(ISNUMBER($C98)),AND($N98&lt;&gt;"Not run",OR(TRIM($K98)="",TRIM($D98)=""))),1,0))</f>
        <v/>
      </c>
      <c r="T98" s="32">
        <f>IF($M98=0,0,IF(TRIM($E98)="",IF(OR($N98="Passed",$N98="Failed"),1,0),IF(OR(SUMPRODUCT(--(TRIM(LEFT(Summary!$G$6:$G$13,FIND(" (",Summary!$G$6:$G$13&amp;" (")-1))=TRIM(LEFT($E98,FIND(" (",$E98&amp;" (")-1))))&gt;0,TRIM(LEFT($E98,FIND(" (",$E98&amp;" (")-1))=TRIM(LEFT($D98,FIND(" (",$D98&amp;" (")-1))),1,0)))</f>
        <v/>
      </c>
      <c r="U98" s="32">
        <f>IF($M98=0,0,IF(OR($N98="Passed",$N98="Failed"),IF(OR(TRIM($G98)="",TRIM($H98)="",NOT(ISNUMBER($C98)),AND($N98="Failed",TRIM($I98)="")),1,IF($C98&gt;Summary!$B$12,1,0)),IF($N98="Not run",IF(TRIM($I98)="",1,0),IF(OR(TRIM($G98)&lt;&gt;"",TRIM($H98)&lt;&gt;""),1,0))))</f>
        <v/>
      </c>
      <c r="V98" s="32">
        <f>IF(OR($M98=0,$N98&lt;&gt;"Planned",NOT(ISNUMBER($C98))),0,IF($C98&lt;Summary!$B$12,1,0))</f>
        <v/>
      </c>
      <c r="W98" s="32">
        <f>IF(OR($M98=0,$O98=0,$N98="Not run",TRIM($L98)=""),0,IF(TRIM($L98)=TRIM(INDEX(Criteria!$D$6:$D$105,MATCH($B98,Criteria!$A$6:$A$105,0))),0,1))</f>
        <v/>
      </c>
      <c r="X98" s="32">
        <f>IF(OR($M98=0,$O98=0,$N98="Not run"),0,IF(OR(TRIM($L98)="",AND($N98="Planned",TRIM(INDEX(Criteria!$D$6:$D$105,MATCH($B98,Criteria!$A$6:$A$105,0)))="")),1,0))</f>
        <v/>
      </c>
    </row>
    <row r="99">
      <c r="A99" s="27" t="n"/>
      <c r="B99" s="27" t="n"/>
      <c r="C99" s="29" t="n"/>
      <c r="D99" s="28" t="n"/>
      <c r="E99" s="28" t="n"/>
      <c r="F99" s="27" t="n"/>
      <c r="G99" s="28" t="n"/>
      <c r="H99" s="28" t="n"/>
      <c r="I99" s="28" t="n"/>
      <c r="J99" s="19">
        <f>IF($M99=0,"",IF(SUM($S99:$X99)=0,"○ Clear",IF($S99=1,"△ Run, For, Date, Tested on or Run by missing or wrong",IF($X99=1,IF(AND($N99="Planned",TRIM(INDEX(Criteria!$D$6:$D$105,MATCH($B99,Criteria!$A$6:$A$105,0)))=""),"△ The criterion has no Pass line","△ Pass line used is blank"),IF($T99=1,"△ Checked by a builder, the runner or nobody",IF($U99=1,IF($N99="Planned","△ Result or File typed on a planned run",IF(AND(OR($N99="Passed",$N99="Failed"),TRIM($G99)&lt;&gt;"",TRIM($H99)&lt;&gt;"",ISNUMBER($C99),NOT(AND($N99="Failed",TRIM($I99)=""))),"△ Result dated after the date the checks use","△ Result, File or Reason missing")),IF($V99=1,"△ Planned day has passed, with no result","△ Pass line has changed since this run was planned")))))&amp;IF(SUM($S99:$X99)&gt;1,", and "&amp;(SUM($S99:$X99)-1)&amp;" more","")))</f>
        <v/>
      </c>
      <c r="K99" s="28" t="n"/>
      <c r="L99" s="28" t="n"/>
      <c r="M99" s="32">
        <f>IF(COUNTA($A99:$I99)+COUNTA($K99:$L99)&gt;0,1,0)</f>
        <v/>
      </c>
      <c r="N99" s="22">
        <f>IF($M99=0,"",IF($F99="","Planned",$F99))</f>
        <v/>
      </c>
      <c r="O99" s="32">
        <f>IF(OR($M99=0,TRIM($B99)=""),0,IF(COUNTIF(Criteria!$A$6:$A$105,$B99)&gt;0,1,0))</f>
        <v/>
      </c>
      <c r="P99" s="32">
        <f>IF(OR($M99=0,TRIM($B99)=""),0,IF(AND(LEN($B99)&gt;1,ISNUMBER(MATCH(LEFT($B99,1),{"R","I","A","X"},0)),ISNUMBER(VALUE(MID($B99,2,5)))),1,0))</f>
        <v/>
      </c>
      <c r="Q99" s="32">
        <f>IF(OR($M99=0,TRIM($B99)="",$N99="Planned"),0,IF(COUNTIFS($B$6:$B$105,$B99,$C$6:$C$105,"&gt;"&amp;$C99,$N$6:$N$105,"&lt;&gt;Planned")+COUNTIFS($B100:$B$106,$B99,$C100:$C$106,$C99,$N100:$N$106,"&lt;&gt;Planned")=0,1,0))</f>
        <v/>
      </c>
      <c r="R99" s="22">
        <f>IF($Q99=1,$B99,"")</f>
        <v/>
      </c>
      <c r="S99" s="32">
        <f>IF($M99=0,0,IF(OR(TRIM($A99)="",COUNTIF($A$6:$A$105,$A99)&gt;1,TRIM($B99)="",AND($O99=0,$P99=0),NOT(ISNUMBER($C99)),AND($N99&lt;&gt;"Not run",OR(TRIM($K99)="",TRIM($D99)=""))),1,0))</f>
        <v/>
      </c>
      <c r="T99" s="32">
        <f>IF($M99=0,0,IF(TRIM($E99)="",IF(OR($N99="Passed",$N99="Failed"),1,0),IF(OR(SUMPRODUCT(--(TRIM(LEFT(Summary!$G$6:$G$13,FIND(" (",Summary!$G$6:$G$13&amp;" (")-1))=TRIM(LEFT($E99,FIND(" (",$E99&amp;" (")-1))))&gt;0,TRIM(LEFT($E99,FIND(" (",$E99&amp;" (")-1))=TRIM(LEFT($D99,FIND(" (",$D99&amp;" (")-1))),1,0)))</f>
        <v/>
      </c>
      <c r="U99" s="32">
        <f>IF($M99=0,0,IF(OR($N99="Passed",$N99="Failed"),IF(OR(TRIM($G99)="",TRIM($H99)="",NOT(ISNUMBER($C99)),AND($N99="Failed",TRIM($I99)="")),1,IF($C99&gt;Summary!$B$12,1,0)),IF($N99="Not run",IF(TRIM($I99)="",1,0),IF(OR(TRIM($G99)&lt;&gt;"",TRIM($H99)&lt;&gt;""),1,0))))</f>
        <v/>
      </c>
      <c r="V99" s="32">
        <f>IF(OR($M99=0,$N99&lt;&gt;"Planned",NOT(ISNUMBER($C99))),0,IF($C99&lt;Summary!$B$12,1,0))</f>
        <v/>
      </c>
      <c r="W99" s="32">
        <f>IF(OR($M99=0,$O99=0,$N99="Not run",TRIM($L99)=""),0,IF(TRIM($L99)=TRIM(INDEX(Criteria!$D$6:$D$105,MATCH($B99,Criteria!$A$6:$A$105,0))),0,1))</f>
        <v/>
      </c>
      <c r="X99" s="32">
        <f>IF(OR($M99=0,$O99=0,$N99="Not run"),0,IF(OR(TRIM($L99)="",AND($N99="Planned",TRIM(INDEX(Criteria!$D$6:$D$105,MATCH($B99,Criteria!$A$6:$A$105,0)))="")),1,0))</f>
        <v/>
      </c>
    </row>
    <row r="100">
      <c r="A100" s="27" t="n"/>
      <c r="B100" s="27" t="n"/>
      <c r="C100" s="29" t="n"/>
      <c r="D100" s="28" t="n"/>
      <c r="E100" s="28" t="n"/>
      <c r="F100" s="27" t="n"/>
      <c r="G100" s="28" t="n"/>
      <c r="H100" s="28" t="n"/>
      <c r="I100" s="28" t="n"/>
      <c r="J100" s="19">
        <f>IF($M100=0,"",IF(SUM($S100:$X100)=0,"○ Clear",IF($S100=1,"△ Run, For, Date, Tested on or Run by missing or wrong",IF($X100=1,IF(AND($N100="Planned",TRIM(INDEX(Criteria!$D$6:$D$105,MATCH($B100,Criteria!$A$6:$A$105,0)))=""),"△ The criterion has no Pass line","△ Pass line used is blank"),IF($T100=1,"△ Checked by a builder, the runner or nobody",IF($U100=1,IF($N100="Planned","△ Result or File typed on a planned run",IF(AND(OR($N100="Passed",$N100="Failed"),TRIM($G100)&lt;&gt;"",TRIM($H100)&lt;&gt;"",ISNUMBER($C100),NOT(AND($N100="Failed",TRIM($I100)=""))),"△ Result dated after the date the checks use","△ Result, File or Reason missing")),IF($V100=1,"△ Planned day has passed, with no result","△ Pass line has changed since this run was planned")))))&amp;IF(SUM($S100:$X100)&gt;1,", and "&amp;(SUM($S100:$X100)-1)&amp;" more","")))</f>
        <v/>
      </c>
      <c r="K100" s="28" t="n"/>
      <c r="L100" s="28" t="n"/>
      <c r="M100" s="32">
        <f>IF(COUNTA($A100:$I100)+COUNTA($K100:$L100)&gt;0,1,0)</f>
        <v/>
      </c>
      <c r="N100" s="22">
        <f>IF($M100=0,"",IF($F100="","Planned",$F100))</f>
        <v/>
      </c>
      <c r="O100" s="32">
        <f>IF(OR($M100=0,TRIM($B100)=""),0,IF(COUNTIF(Criteria!$A$6:$A$105,$B100)&gt;0,1,0))</f>
        <v/>
      </c>
      <c r="P100" s="32">
        <f>IF(OR($M100=0,TRIM($B100)=""),0,IF(AND(LEN($B100)&gt;1,ISNUMBER(MATCH(LEFT($B100,1),{"R","I","A","X"},0)),ISNUMBER(VALUE(MID($B100,2,5)))),1,0))</f>
        <v/>
      </c>
      <c r="Q100" s="32">
        <f>IF(OR($M100=0,TRIM($B100)="",$N100="Planned"),0,IF(COUNTIFS($B$6:$B$105,$B100,$C$6:$C$105,"&gt;"&amp;$C100,$N$6:$N$105,"&lt;&gt;Planned")+COUNTIFS($B101:$B$106,$B100,$C101:$C$106,$C100,$N101:$N$106,"&lt;&gt;Planned")=0,1,0))</f>
        <v/>
      </c>
      <c r="R100" s="22">
        <f>IF($Q100=1,$B100,"")</f>
        <v/>
      </c>
      <c r="S100" s="32">
        <f>IF($M100=0,0,IF(OR(TRIM($A100)="",COUNTIF($A$6:$A$105,$A100)&gt;1,TRIM($B100)="",AND($O100=0,$P100=0),NOT(ISNUMBER($C100)),AND($N100&lt;&gt;"Not run",OR(TRIM($K100)="",TRIM($D100)=""))),1,0))</f>
        <v/>
      </c>
      <c r="T100" s="32">
        <f>IF($M100=0,0,IF(TRIM($E100)="",IF(OR($N100="Passed",$N100="Failed"),1,0),IF(OR(SUMPRODUCT(--(TRIM(LEFT(Summary!$G$6:$G$13,FIND(" (",Summary!$G$6:$G$13&amp;" (")-1))=TRIM(LEFT($E100,FIND(" (",$E100&amp;" (")-1))))&gt;0,TRIM(LEFT($E100,FIND(" (",$E100&amp;" (")-1))=TRIM(LEFT($D100,FIND(" (",$D100&amp;" (")-1))),1,0)))</f>
        <v/>
      </c>
      <c r="U100" s="32">
        <f>IF($M100=0,0,IF(OR($N100="Passed",$N100="Failed"),IF(OR(TRIM($G100)="",TRIM($H100)="",NOT(ISNUMBER($C100)),AND($N100="Failed",TRIM($I100)="")),1,IF($C100&gt;Summary!$B$12,1,0)),IF($N100="Not run",IF(TRIM($I100)="",1,0),IF(OR(TRIM($G100)&lt;&gt;"",TRIM($H100)&lt;&gt;""),1,0))))</f>
        <v/>
      </c>
      <c r="V100" s="32">
        <f>IF(OR($M100=0,$N100&lt;&gt;"Planned",NOT(ISNUMBER($C100))),0,IF($C100&lt;Summary!$B$12,1,0))</f>
        <v/>
      </c>
      <c r="W100" s="32">
        <f>IF(OR($M100=0,$O100=0,$N100="Not run",TRIM($L100)=""),0,IF(TRIM($L100)=TRIM(INDEX(Criteria!$D$6:$D$105,MATCH($B100,Criteria!$A$6:$A$105,0))),0,1))</f>
        <v/>
      </c>
      <c r="X100" s="32">
        <f>IF(OR($M100=0,$O100=0,$N100="Not run"),0,IF(OR(TRIM($L100)="",AND($N100="Planned",TRIM(INDEX(Criteria!$D$6:$D$105,MATCH($B100,Criteria!$A$6:$A$105,0)))="")),1,0))</f>
        <v/>
      </c>
    </row>
    <row r="101">
      <c r="A101" s="27" t="n"/>
      <c r="B101" s="27" t="n"/>
      <c r="C101" s="29" t="n"/>
      <c r="D101" s="28" t="n"/>
      <c r="E101" s="28" t="n"/>
      <c r="F101" s="27" t="n"/>
      <c r="G101" s="28" t="n"/>
      <c r="H101" s="28" t="n"/>
      <c r="I101" s="28" t="n"/>
      <c r="J101" s="19">
        <f>IF($M101=0,"",IF(SUM($S101:$X101)=0,"○ Clear",IF($S101=1,"△ Run, For, Date, Tested on or Run by missing or wrong",IF($X101=1,IF(AND($N101="Planned",TRIM(INDEX(Criteria!$D$6:$D$105,MATCH($B101,Criteria!$A$6:$A$105,0)))=""),"△ The criterion has no Pass line","△ Pass line used is blank"),IF($T101=1,"△ Checked by a builder, the runner or nobody",IF($U101=1,IF($N101="Planned","△ Result or File typed on a planned run",IF(AND(OR($N101="Passed",$N101="Failed"),TRIM($G101)&lt;&gt;"",TRIM($H101)&lt;&gt;"",ISNUMBER($C101),NOT(AND($N101="Failed",TRIM($I101)=""))),"△ Result dated after the date the checks use","△ Result, File or Reason missing")),IF($V101=1,"△ Planned day has passed, with no result","△ Pass line has changed since this run was planned")))))&amp;IF(SUM($S101:$X101)&gt;1,", and "&amp;(SUM($S101:$X101)-1)&amp;" more","")))</f>
        <v/>
      </c>
      <c r="K101" s="28" t="n"/>
      <c r="L101" s="28" t="n"/>
      <c r="M101" s="32">
        <f>IF(COUNTA($A101:$I101)+COUNTA($K101:$L101)&gt;0,1,0)</f>
        <v/>
      </c>
      <c r="N101" s="22">
        <f>IF($M101=0,"",IF($F101="","Planned",$F101))</f>
        <v/>
      </c>
      <c r="O101" s="32">
        <f>IF(OR($M101=0,TRIM($B101)=""),0,IF(COUNTIF(Criteria!$A$6:$A$105,$B101)&gt;0,1,0))</f>
        <v/>
      </c>
      <c r="P101" s="32">
        <f>IF(OR($M101=0,TRIM($B101)=""),0,IF(AND(LEN($B101)&gt;1,ISNUMBER(MATCH(LEFT($B101,1),{"R","I","A","X"},0)),ISNUMBER(VALUE(MID($B101,2,5)))),1,0))</f>
        <v/>
      </c>
      <c r="Q101" s="32">
        <f>IF(OR($M101=0,TRIM($B101)="",$N101="Planned"),0,IF(COUNTIFS($B$6:$B$105,$B101,$C$6:$C$105,"&gt;"&amp;$C101,$N$6:$N$105,"&lt;&gt;Planned")+COUNTIFS($B102:$B$106,$B101,$C102:$C$106,$C101,$N102:$N$106,"&lt;&gt;Planned")=0,1,0))</f>
        <v/>
      </c>
      <c r="R101" s="22">
        <f>IF($Q101=1,$B101,"")</f>
        <v/>
      </c>
      <c r="S101" s="32">
        <f>IF($M101=0,0,IF(OR(TRIM($A101)="",COUNTIF($A$6:$A$105,$A101)&gt;1,TRIM($B101)="",AND($O101=0,$P101=0),NOT(ISNUMBER($C101)),AND($N101&lt;&gt;"Not run",OR(TRIM($K101)="",TRIM($D101)=""))),1,0))</f>
        <v/>
      </c>
      <c r="T101" s="32">
        <f>IF($M101=0,0,IF(TRIM($E101)="",IF(OR($N101="Passed",$N101="Failed"),1,0),IF(OR(SUMPRODUCT(--(TRIM(LEFT(Summary!$G$6:$G$13,FIND(" (",Summary!$G$6:$G$13&amp;" (")-1))=TRIM(LEFT($E101,FIND(" (",$E101&amp;" (")-1))))&gt;0,TRIM(LEFT($E101,FIND(" (",$E101&amp;" (")-1))=TRIM(LEFT($D101,FIND(" (",$D101&amp;" (")-1))),1,0)))</f>
        <v/>
      </c>
      <c r="U101" s="32">
        <f>IF($M101=0,0,IF(OR($N101="Passed",$N101="Failed"),IF(OR(TRIM($G101)="",TRIM($H101)="",NOT(ISNUMBER($C101)),AND($N101="Failed",TRIM($I101)="")),1,IF($C101&gt;Summary!$B$12,1,0)),IF($N101="Not run",IF(TRIM($I101)="",1,0),IF(OR(TRIM($G101)&lt;&gt;"",TRIM($H101)&lt;&gt;""),1,0))))</f>
        <v/>
      </c>
      <c r="V101" s="32">
        <f>IF(OR($M101=0,$N101&lt;&gt;"Planned",NOT(ISNUMBER($C101))),0,IF($C101&lt;Summary!$B$12,1,0))</f>
        <v/>
      </c>
      <c r="W101" s="32">
        <f>IF(OR($M101=0,$O101=0,$N101="Not run",TRIM($L101)=""),0,IF(TRIM($L101)=TRIM(INDEX(Criteria!$D$6:$D$105,MATCH($B101,Criteria!$A$6:$A$105,0))),0,1))</f>
        <v/>
      </c>
      <c r="X101" s="32">
        <f>IF(OR($M101=0,$O101=0,$N101="Not run"),0,IF(OR(TRIM($L101)="",AND($N101="Planned",TRIM(INDEX(Criteria!$D$6:$D$105,MATCH($B101,Criteria!$A$6:$A$105,0)))="")),1,0))</f>
        <v/>
      </c>
    </row>
    <row r="102">
      <c r="A102" s="27" t="n"/>
      <c r="B102" s="27" t="n"/>
      <c r="C102" s="29" t="n"/>
      <c r="D102" s="28" t="n"/>
      <c r="E102" s="28" t="n"/>
      <c r="F102" s="27" t="n"/>
      <c r="G102" s="28" t="n"/>
      <c r="H102" s="28" t="n"/>
      <c r="I102" s="28" t="n"/>
      <c r="J102" s="19">
        <f>IF($M102=0,"",IF(SUM($S102:$X102)=0,"○ Clear",IF($S102=1,"△ Run, For, Date, Tested on or Run by missing or wrong",IF($X102=1,IF(AND($N102="Planned",TRIM(INDEX(Criteria!$D$6:$D$105,MATCH($B102,Criteria!$A$6:$A$105,0)))=""),"△ The criterion has no Pass line","△ Pass line used is blank"),IF($T102=1,"△ Checked by a builder, the runner or nobody",IF($U102=1,IF($N102="Planned","△ Result or File typed on a planned run",IF(AND(OR($N102="Passed",$N102="Failed"),TRIM($G102)&lt;&gt;"",TRIM($H102)&lt;&gt;"",ISNUMBER($C102),NOT(AND($N102="Failed",TRIM($I102)=""))),"△ Result dated after the date the checks use","△ Result, File or Reason missing")),IF($V102=1,"△ Planned day has passed, with no result","△ Pass line has changed since this run was planned")))))&amp;IF(SUM($S102:$X102)&gt;1,", and "&amp;(SUM($S102:$X102)-1)&amp;" more","")))</f>
        <v/>
      </c>
      <c r="K102" s="28" t="n"/>
      <c r="L102" s="28" t="n"/>
      <c r="M102" s="32">
        <f>IF(COUNTA($A102:$I102)+COUNTA($K102:$L102)&gt;0,1,0)</f>
        <v/>
      </c>
      <c r="N102" s="22">
        <f>IF($M102=0,"",IF($F102="","Planned",$F102))</f>
        <v/>
      </c>
      <c r="O102" s="32">
        <f>IF(OR($M102=0,TRIM($B102)=""),0,IF(COUNTIF(Criteria!$A$6:$A$105,$B102)&gt;0,1,0))</f>
        <v/>
      </c>
      <c r="P102" s="32">
        <f>IF(OR($M102=0,TRIM($B102)=""),0,IF(AND(LEN($B102)&gt;1,ISNUMBER(MATCH(LEFT($B102,1),{"R","I","A","X"},0)),ISNUMBER(VALUE(MID($B102,2,5)))),1,0))</f>
        <v/>
      </c>
      <c r="Q102" s="32">
        <f>IF(OR($M102=0,TRIM($B102)="",$N102="Planned"),0,IF(COUNTIFS($B$6:$B$105,$B102,$C$6:$C$105,"&gt;"&amp;$C102,$N$6:$N$105,"&lt;&gt;Planned")+COUNTIFS($B103:$B$106,$B102,$C103:$C$106,$C102,$N103:$N$106,"&lt;&gt;Planned")=0,1,0))</f>
        <v/>
      </c>
      <c r="R102" s="22">
        <f>IF($Q102=1,$B102,"")</f>
        <v/>
      </c>
      <c r="S102" s="32">
        <f>IF($M102=0,0,IF(OR(TRIM($A102)="",COUNTIF($A$6:$A$105,$A102)&gt;1,TRIM($B102)="",AND($O102=0,$P102=0),NOT(ISNUMBER($C102)),AND($N102&lt;&gt;"Not run",OR(TRIM($K102)="",TRIM($D102)=""))),1,0))</f>
        <v/>
      </c>
      <c r="T102" s="32">
        <f>IF($M102=0,0,IF(TRIM($E102)="",IF(OR($N102="Passed",$N102="Failed"),1,0),IF(OR(SUMPRODUCT(--(TRIM(LEFT(Summary!$G$6:$G$13,FIND(" (",Summary!$G$6:$G$13&amp;" (")-1))=TRIM(LEFT($E102,FIND(" (",$E102&amp;" (")-1))))&gt;0,TRIM(LEFT($E102,FIND(" (",$E102&amp;" (")-1))=TRIM(LEFT($D102,FIND(" (",$D102&amp;" (")-1))),1,0)))</f>
        <v/>
      </c>
      <c r="U102" s="32">
        <f>IF($M102=0,0,IF(OR($N102="Passed",$N102="Failed"),IF(OR(TRIM($G102)="",TRIM($H102)="",NOT(ISNUMBER($C102)),AND($N102="Failed",TRIM($I102)="")),1,IF($C102&gt;Summary!$B$12,1,0)),IF($N102="Not run",IF(TRIM($I102)="",1,0),IF(OR(TRIM($G102)&lt;&gt;"",TRIM($H102)&lt;&gt;""),1,0))))</f>
        <v/>
      </c>
      <c r="V102" s="32">
        <f>IF(OR($M102=0,$N102&lt;&gt;"Planned",NOT(ISNUMBER($C102))),0,IF($C102&lt;Summary!$B$12,1,0))</f>
        <v/>
      </c>
      <c r="W102" s="32">
        <f>IF(OR($M102=0,$O102=0,$N102="Not run",TRIM($L102)=""),0,IF(TRIM($L102)=TRIM(INDEX(Criteria!$D$6:$D$105,MATCH($B102,Criteria!$A$6:$A$105,0))),0,1))</f>
        <v/>
      </c>
      <c r="X102" s="32">
        <f>IF(OR($M102=0,$O102=0,$N102="Not run"),0,IF(OR(TRIM($L102)="",AND($N102="Planned",TRIM(INDEX(Criteria!$D$6:$D$105,MATCH($B102,Criteria!$A$6:$A$105,0)))="")),1,0))</f>
        <v/>
      </c>
    </row>
    <row r="103">
      <c r="A103" s="27" t="n"/>
      <c r="B103" s="27" t="n"/>
      <c r="C103" s="29" t="n"/>
      <c r="D103" s="28" t="n"/>
      <c r="E103" s="28" t="n"/>
      <c r="F103" s="27" t="n"/>
      <c r="G103" s="28" t="n"/>
      <c r="H103" s="28" t="n"/>
      <c r="I103" s="28" t="n"/>
      <c r="J103" s="19">
        <f>IF($M103=0,"",IF(SUM($S103:$X103)=0,"○ Clear",IF($S103=1,"△ Run, For, Date, Tested on or Run by missing or wrong",IF($X103=1,IF(AND($N103="Planned",TRIM(INDEX(Criteria!$D$6:$D$105,MATCH($B103,Criteria!$A$6:$A$105,0)))=""),"△ The criterion has no Pass line","△ Pass line used is blank"),IF($T103=1,"△ Checked by a builder, the runner or nobody",IF($U103=1,IF($N103="Planned","△ Result or File typed on a planned run",IF(AND(OR($N103="Passed",$N103="Failed"),TRIM($G103)&lt;&gt;"",TRIM($H103)&lt;&gt;"",ISNUMBER($C103),NOT(AND($N103="Failed",TRIM($I103)=""))),"△ Result dated after the date the checks use","△ Result, File or Reason missing")),IF($V103=1,"△ Planned day has passed, with no result","△ Pass line has changed since this run was planned")))))&amp;IF(SUM($S103:$X103)&gt;1,", and "&amp;(SUM($S103:$X103)-1)&amp;" more","")))</f>
        <v/>
      </c>
      <c r="K103" s="28" t="n"/>
      <c r="L103" s="28" t="n"/>
      <c r="M103" s="32">
        <f>IF(COUNTA($A103:$I103)+COUNTA($K103:$L103)&gt;0,1,0)</f>
        <v/>
      </c>
      <c r="N103" s="22">
        <f>IF($M103=0,"",IF($F103="","Planned",$F103))</f>
        <v/>
      </c>
      <c r="O103" s="32">
        <f>IF(OR($M103=0,TRIM($B103)=""),0,IF(COUNTIF(Criteria!$A$6:$A$105,$B103)&gt;0,1,0))</f>
        <v/>
      </c>
      <c r="P103" s="32">
        <f>IF(OR($M103=0,TRIM($B103)=""),0,IF(AND(LEN($B103)&gt;1,ISNUMBER(MATCH(LEFT($B103,1),{"R","I","A","X"},0)),ISNUMBER(VALUE(MID($B103,2,5)))),1,0))</f>
        <v/>
      </c>
      <c r="Q103" s="32">
        <f>IF(OR($M103=0,TRIM($B103)="",$N103="Planned"),0,IF(COUNTIFS($B$6:$B$105,$B103,$C$6:$C$105,"&gt;"&amp;$C103,$N$6:$N$105,"&lt;&gt;Planned")+COUNTIFS($B104:$B$106,$B103,$C104:$C$106,$C103,$N104:$N$106,"&lt;&gt;Planned")=0,1,0))</f>
        <v/>
      </c>
      <c r="R103" s="22">
        <f>IF($Q103=1,$B103,"")</f>
        <v/>
      </c>
      <c r="S103" s="32">
        <f>IF($M103=0,0,IF(OR(TRIM($A103)="",COUNTIF($A$6:$A$105,$A103)&gt;1,TRIM($B103)="",AND($O103=0,$P103=0),NOT(ISNUMBER($C103)),AND($N103&lt;&gt;"Not run",OR(TRIM($K103)="",TRIM($D103)=""))),1,0))</f>
        <v/>
      </c>
      <c r="T103" s="32">
        <f>IF($M103=0,0,IF(TRIM($E103)="",IF(OR($N103="Passed",$N103="Failed"),1,0),IF(OR(SUMPRODUCT(--(TRIM(LEFT(Summary!$G$6:$G$13,FIND(" (",Summary!$G$6:$G$13&amp;" (")-1))=TRIM(LEFT($E103,FIND(" (",$E103&amp;" (")-1))))&gt;0,TRIM(LEFT($E103,FIND(" (",$E103&amp;" (")-1))=TRIM(LEFT($D103,FIND(" (",$D103&amp;" (")-1))),1,0)))</f>
        <v/>
      </c>
      <c r="U103" s="32">
        <f>IF($M103=0,0,IF(OR($N103="Passed",$N103="Failed"),IF(OR(TRIM($G103)="",TRIM($H103)="",NOT(ISNUMBER($C103)),AND($N103="Failed",TRIM($I103)="")),1,IF($C103&gt;Summary!$B$12,1,0)),IF($N103="Not run",IF(TRIM($I103)="",1,0),IF(OR(TRIM($G103)&lt;&gt;"",TRIM($H103)&lt;&gt;""),1,0))))</f>
        <v/>
      </c>
      <c r="V103" s="32">
        <f>IF(OR($M103=0,$N103&lt;&gt;"Planned",NOT(ISNUMBER($C103))),0,IF($C103&lt;Summary!$B$12,1,0))</f>
        <v/>
      </c>
      <c r="W103" s="32">
        <f>IF(OR($M103=0,$O103=0,$N103="Not run",TRIM($L103)=""),0,IF(TRIM($L103)=TRIM(INDEX(Criteria!$D$6:$D$105,MATCH($B103,Criteria!$A$6:$A$105,0))),0,1))</f>
        <v/>
      </c>
      <c r="X103" s="32">
        <f>IF(OR($M103=0,$O103=0,$N103="Not run"),0,IF(OR(TRIM($L103)="",AND($N103="Planned",TRIM(INDEX(Criteria!$D$6:$D$105,MATCH($B103,Criteria!$A$6:$A$105,0)))="")),1,0))</f>
        <v/>
      </c>
    </row>
    <row r="104">
      <c r="A104" s="27" t="n"/>
      <c r="B104" s="27" t="n"/>
      <c r="C104" s="29" t="n"/>
      <c r="D104" s="28" t="n"/>
      <c r="E104" s="28" t="n"/>
      <c r="F104" s="27" t="n"/>
      <c r="G104" s="28" t="n"/>
      <c r="H104" s="28" t="n"/>
      <c r="I104" s="28" t="n"/>
      <c r="J104" s="19">
        <f>IF($M104=0,"",IF(SUM($S104:$X104)=0,"○ Clear",IF($S104=1,"△ Run, For, Date, Tested on or Run by missing or wrong",IF($X104=1,IF(AND($N104="Planned",TRIM(INDEX(Criteria!$D$6:$D$105,MATCH($B104,Criteria!$A$6:$A$105,0)))=""),"△ The criterion has no Pass line","△ Pass line used is blank"),IF($T104=1,"△ Checked by a builder, the runner or nobody",IF($U104=1,IF($N104="Planned","△ Result or File typed on a planned run",IF(AND(OR($N104="Passed",$N104="Failed"),TRIM($G104)&lt;&gt;"",TRIM($H104)&lt;&gt;"",ISNUMBER($C104),NOT(AND($N104="Failed",TRIM($I104)=""))),"△ Result dated after the date the checks use","△ Result, File or Reason missing")),IF($V104=1,"△ Planned day has passed, with no result","△ Pass line has changed since this run was planned")))))&amp;IF(SUM($S104:$X104)&gt;1,", and "&amp;(SUM($S104:$X104)-1)&amp;" more","")))</f>
        <v/>
      </c>
      <c r="K104" s="28" t="n"/>
      <c r="L104" s="28" t="n"/>
      <c r="M104" s="32">
        <f>IF(COUNTA($A104:$I104)+COUNTA($K104:$L104)&gt;0,1,0)</f>
        <v/>
      </c>
      <c r="N104" s="22">
        <f>IF($M104=0,"",IF($F104="","Planned",$F104))</f>
        <v/>
      </c>
      <c r="O104" s="32">
        <f>IF(OR($M104=0,TRIM($B104)=""),0,IF(COUNTIF(Criteria!$A$6:$A$105,$B104)&gt;0,1,0))</f>
        <v/>
      </c>
      <c r="P104" s="32">
        <f>IF(OR($M104=0,TRIM($B104)=""),0,IF(AND(LEN($B104)&gt;1,ISNUMBER(MATCH(LEFT($B104,1),{"R","I","A","X"},0)),ISNUMBER(VALUE(MID($B104,2,5)))),1,0))</f>
        <v/>
      </c>
      <c r="Q104" s="32">
        <f>IF(OR($M104=0,TRIM($B104)="",$N104="Planned"),0,IF(COUNTIFS($B$6:$B$105,$B104,$C$6:$C$105,"&gt;"&amp;$C104,$N$6:$N$105,"&lt;&gt;Planned")+COUNTIFS($B105:$B$106,$B104,$C105:$C$106,$C104,$N105:$N$106,"&lt;&gt;Planned")=0,1,0))</f>
        <v/>
      </c>
      <c r="R104" s="22">
        <f>IF($Q104=1,$B104,"")</f>
        <v/>
      </c>
      <c r="S104" s="32">
        <f>IF($M104=0,0,IF(OR(TRIM($A104)="",COUNTIF($A$6:$A$105,$A104)&gt;1,TRIM($B104)="",AND($O104=0,$P104=0),NOT(ISNUMBER($C104)),AND($N104&lt;&gt;"Not run",OR(TRIM($K104)="",TRIM($D104)=""))),1,0))</f>
        <v/>
      </c>
      <c r="T104" s="32">
        <f>IF($M104=0,0,IF(TRIM($E104)="",IF(OR($N104="Passed",$N104="Failed"),1,0),IF(OR(SUMPRODUCT(--(TRIM(LEFT(Summary!$G$6:$G$13,FIND(" (",Summary!$G$6:$G$13&amp;" (")-1))=TRIM(LEFT($E104,FIND(" (",$E104&amp;" (")-1))))&gt;0,TRIM(LEFT($E104,FIND(" (",$E104&amp;" (")-1))=TRIM(LEFT($D104,FIND(" (",$D104&amp;" (")-1))),1,0)))</f>
        <v/>
      </c>
      <c r="U104" s="32">
        <f>IF($M104=0,0,IF(OR($N104="Passed",$N104="Failed"),IF(OR(TRIM($G104)="",TRIM($H104)="",NOT(ISNUMBER($C104)),AND($N104="Failed",TRIM($I104)="")),1,IF($C104&gt;Summary!$B$12,1,0)),IF($N104="Not run",IF(TRIM($I104)="",1,0),IF(OR(TRIM($G104)&lt;&gt;"",TRIM($H104)&lt;&gt;""),1,0))))</f>
        <v/>
      </c>
      <c r="V104" s="32">
        <f>IF(OR($M104=0,$N104&lt;&gt;"Planned",NOT(ISNUMBER($C104))),0,IF($C104&lt;Summary!$B$12,1,0))</f>
        <v/>
      </c>
      <c r="W104" s="32">
        <f>IF(OR($M104=0,$O104=0,$N104="Not run",TRIM($L104)=""),0,IF(TRIM($L104)=TRIM(INDEX(Criteria!$D$6:$D$105,MATCH($B104,Criteria!$A$6:$A$105,0))),0,1))</f>
        <v/>
      </c>
      <c r="X104" s="32">
        <f>IF(OR($M104=0,$O104=0,$N104="Not run"),0,IF(OR(TRIM($L104)="",AND($N104="Planned",TRIM(INDEX(Criteria!$D$6:$D$105,MATCH($B104,Criteria!$A$6:$A$105,0)))="")),1,0))</f>
        <v/>
      </c>
    </row>
    <row r="105">
      <c r="A105" s="27" t="n"/>
      <c r="B105" s="27" t="n"/>
      <c r="C105" s="29" t="n"/>
      <c r="D105" s="28" t="n"/>
      <c r="E105" s="28" t="n"/>
      <c r="F105" s="27" t="n"/>
      <c r="G105" s="28" t="n"/>
      <c r="H105" s="28" t="n"/>
      <c r="I105" s="28" t="n"/>
      <c r="J105" s="19">
        <f>IF($M105=0,"",IF(SUM($S105:$X105)=0,"○ Clear",IF($S105=1,"△ Run, For, Date, Tested on or Run by missing or wrong",IF($X105=1,IF(AND($N105="Planned",TRIM(INDEX(Criteria!$D$6:$D$105,MATCH($B105,Criteria!$A$6:$A$105,0)))=""),"△ The criterion has no Pass line","△ Pass line used is blank"),IF($T105=1,"△ Checked by a builder, the runner or nobody",IF($U105=1,IF($N105="Planned","△ Result or File typed on a planned run",IF(AND(OR($N105="Passed",$N105="Failed"),TRIM($G105)&lt;&gt;"",TRIM($H105)&lt;&gt;"",ISNUMBER($C105),NOT(AND($N105="Failed",TRIM($I105)=""))),"△ Result dated after the date the checks use","△ Result, File or Reason missing")),IF($V105=1,"△ Planned day has passed, with no result","△ Pass line has changed since this run was planned")))))&amp;IF(SUM($S105:$X105)&gt;1,", and "&amp;(SUM($S105:$X105)-1)&amp;" more","")))</f>
        <v/>
      </c>
      <c r="K105" s="28" t="n"/>
      <c r="L105" s="28" t="n"/>
      <c r="M105" s="32">
        <f>IF(COUNTA($A105:$I105)+COUNTA($K105:$L105)&gt;0,1,0)</f>
        <v/>
      </c>
      <c r="N105" s="22">
        <f>IF($M105=0,"",IF($F105="","Planned",$F105))</f>
        <v/>
      </c>
      <c r="O105" s="32">
        <f>IF(OR($M105=0,TRIM($B105)=""),0,IF(COUNTIF(Criteria!$A$6:$A$105,$B105)&gt;0,1,0))</f>
        <v/>
      </c>
      <c r="P105" s="32">
        <f>IF(OR($M105=0,TRIM($B105)=""),0,IF(AND(LEN($B105)&gt;1,ISNUMBER(MATCH(LEFT($B105,1),{"R","I","A","X"},0)),ISNUMBER(VALUE(MID($B105,2,5)))),1,0))</f>
        <v/>
      </c>
      <c r="Q105" s="32">
        <f>IF(OR($M105=0,TRIM($B105)="",$N105="Planned"),0,IF(COUNTIFS($B$6:$B$105,$B105,$C$6:$C$105,"&gt;"&amp;$C105,$N$6:$N$105,"&lt;&gt;Planned")+COUNTIFS($B106:$B$106,$B105,$C106:$C$106,$C105,$N106:$N$106,"&lt;&gt;Planned")=0,1,0))</f>
        <v/>
      </c>
      <c r="R105" s="22">
        <f>IF($Q105=1,$B105,"")</f>
        <v/>
      </c>
      <c r="S105" s="32">
        <f>IF($M105=0,0,IF(OR(TRIM($A105)="",COUNTIF($A$6:$A$105,$A105)&gt;1,TRIM($B105)="",AND($O105=0,$P105=0),NOT(ISNUMBER($C105)),AND($N105&lt;&gt;"Not run",OR(TRIM($K105)="",TRIM($D105)=""))),1,0))</f>
        <v/>
      </c>
      <c r="T105" s="32">
        <f>IF($M105=0,0,IF(TRIM($E105)="",IF(OR($N105="Passed",$N105="Failed"),1,0),IF(OR(SUMPRODUCT(--(TRIM(LEFT(Summary!$G$6:$G$13,FIND(" (",Summary!$G$6:$G$13&amp;" (")-1))=TRIM(LEFT($E105,FIND(" (",$E105&amp;" (")-1))))&gt;0,TRIM(LEFT($E105,FIND(" (",$E105&amp;" (")-1))=TRIM(LEFT($D105,FIND(" (",$D105&amp;" (")-1))),1,0)))</f>
        <v/>
      </c>
      <c r="U105" s="32">
        <f>IF($M105=0,0,IF(OR($N105="Passed",$N105="Failed"),IF(OR(TRIM($G105)="",TRIM($H105)="",NOT(ISNUMBER($C105)),AND($N105="Failed",TRIM($I105)="")),1,IF($C105&gt;Summary!$B$12,1,0)),IF($N105="Not run",IF(TRIM($I105)="",1,0),IF(OR(TRIM($G105)&lt;&gt;"",TRIM($H105)&lt;&gt;""),1,0))))</f>
        <v/>
      </c>
      <c r="V105" s="32">
        <f>IF(OR($M105=0,$N105&lt;&gt;"Planned",NOT(ISNUMBER($C105))),0,IF($C105&lt;Summary!$B$12,1,0))</f>
        <v/>
      </c>
      <c r="W105" s="32">
        <f>IF(OR($M105=0,$O105=0,$N105="Not run",TRIM($L105)=""),0,IF(TRIM($L105)=TRIM(INDEX(Criteria!$D$6:$D$105,MATCH($B105,Criteria!$A$6:$A$105,0))),0,1))</f>
        <v/>
      </c>
      <c r="X105" s="32">
        <f>IF(OR($M105=0,$O105=0,$N105="Not run"),0,IF(OR(TRIM($L105)="",AND($N105="Planned",TRIM(INDEX(Criteria!$D$6:$D$105,MATCH($B105,Criteria!$A$6:$A$105,0)))="")),1,0))</f>
        <v/>
      </c>
    </row>
  </sheetData>
  <sheetProtection selectLockedCells="0" selectUnlockedCells="0" sheet="1" objects="0" insertRows="1" insertHyperlinks="1" autoFilter="0" scenarios="0" formatColumns="0" deleteColumns="1" insertColumns="1" pivotTables="1" deleteRows="1" formatCells="0" formatRows="0" sort="0"/>
  <autoFilter ref="A5:L105"/>
  <conditionalFormatting sqref="J6:J105">
    <cfRule type="expression" priority="1" dxfId="1" stopIfTrue="0">
      <formula>LEFT($J6,1)="△"</formula>
    </cfRule>
  </conditionalFormatting>
  <dataValidations count="12">
    <dataValidation sqref="A6:A105" showDropDown="0" showInputMessage="1" showErrorMessage="1" allowBlank="1" errorTitle="Check this entry" error="Another run already has this number. Never reuse one." promptTitle="Run" prompt="Number runs yourself: T-01, T-02 and so on. Never reuse one. After a failure, plan a new row with a new number." type="custom" errorStyle="stop">
      <formula1>COUNTIF($A$6:$A$105,A6)=1</formula1>
    </dataValidation>
    <dataValidation sqref="B6:B105" showDropDown="0" showInputMessage="1" showErrorMessage="1" allowBlank="1" errorTitle="Check this entry" error="That isn't a criterion ID on Criteria or a RAID Id such as R5. You can keep it, and check 1 will flag it." promptTitle="For" prompt="The criterion's ID from Criteria, such as C-04, or a RAID log Id, such as R5, when the run answers a risk." type="custom" errorStyle="warning">
      <formula1>OR(COUNTIF(Criteria!$A$6:$A$105,B6)&gt;0,AND(LEN(B6)&gt;1,OR(LEFT(B6,1)="R",LEFT(B6,1)="I",LEFT(B6,1)="A",LEFT(B6,1)="X"),ISNUMBER(VALUE(MID(B6,2,5)))))</formula1>
    </dataValidation>
    <dataValidation sqref="C6:C105" showDropDown="0" showInputMessage="1" showErrorMessage="1" allowBlank="1" errorTitle="Check this entry" error="Type a date, such as 14 Oct 2026." promptTitle="Date" prompt="The day the result is read. For a planned run, the day it's planned for." type="date" errorStyle="stop" operator="between">
      <formula1>36526</formula1>
      <formula2>73415</formula2>
    </dataValidation>
    <dataValidation sqref="D6:D105" showDropDown="0" showInputMessage="1" showErrorMessage="0" allowBlank="1" promptTitle="Run by" prompt="The one person who runs it, such as Backend engineer 1. The Build agent counts as one. Never a team." errorStyle="stop"/>
    <dataValidation sqref="E6:E105" showDropDown="0" showInputMessage="1" showErrorMessage="0" allowBlank="1" promptTitle="Checked by" prompt="The person who reads the result and sets the Outcome. By default the criterion's Owner. Never a builder or the person who ran it." errorStyle="stop"/>
    <dataValidation sqref="G6:G105" showDropDown="0" showInputMessage="1" showErrorMessage="0" allowBlank="1" promptTitle="Result" prompt="The figure read, such as 40 of 40 match to the cent. If the checker confirmed by message, add the message's date." errorStyle="stop"/>
    <dataValidation sqref="H6:H105" showDropDown="0" showInputMessage="1" showErrorMessage="0" allowBlank="1" promptTitle="File" prompt="Where the results are kept, by name and date, such as Comparison run report, 14 Oct 2026. Add a path or link if you have one." errorStyle="stop"/>
    <dataValidation sqref="I6:I105" showDropDown="0" showInputMessage="1" showErrorMessage="0" allowBlank="1" promptTitle="Reason" prompt="Needed when Failed (what happens next) or Not run (why). A planned run may carry a note." errorStyle="stop"/>
    <dataValidation sqref="J6:J105" showDropDown="0" showInputMessage="1" showErrorMessage="0" allowBlank="1" promptTitle="Row check" prompt="Worked out: the first thing wrong with this row. Filter on △ to list them." errorStyle="stop"/>
    <dataValidation sqref="K6:K105" showDropDown="0" showInputMessage="1" showErrorMessage="0" allowBlank="1" promptTitle="Tested on" prompt="What the run was tested on, such as both engines, 40 sample accounts." errorStyle="stop"/>
    <dataValidation sqref="L6:L105" showDropDown="0" showInputMessage="1" showErrorMessage="0" allowBlank="1" promptTitle="Pass line used" prompt="Copy the criterion's Pass line here on the day you plan the run, and never update it. Check 7 compares it with Criteria." errorStyle="stop"/>
    <dataValidation sqref="F6:F105" showDropDown="0" showInputMessage="1" showErrorMessage="1" allowBlank="1" errorTitle="Check this entry" error="Pick Planned, Passed, Failed or Not run, or leave it blank." promptTitle="Outcome" prompt="Planned, Passed, Failed or Not run. Blank reads as Planned. The checker sets it, or confirms it by message." type="list" errorStyle="stop">
      <formula1>"Planned,Passed,Failed,Not run"</formula1>
    </dataValidation>
  </dataValidations>
  <printOptions horizontalCentered="0"/>
  <pageMargins left="0.25" right="0.25" top="0.5" bottom="0.5" header="0.25" footer="0.25"/>
  <pageSetup orientation="landscape" paperSize="9" scale="100"/>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2026-10-24T09:54:46Z</dcterms:created>
  <dcterms:modified xmlns:dcterms="http://purl.org/dc/terms/" xmlns:xsi="http://www.w3.org/2001/XMLSchema-instance" xsi:type="dcterms:W3CDTF">2026-10-24T09:54:48Z</dcterms:modified>
</cp:coreProperties>
</file>